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workbookProtection lockStructure="1"/>
  <bookViews>
    <workbookView xWindow="600" yWindow="105" windowWidth="17400" windowHeight="10920" tabRatio="774" firstSheet="2" activeTab="12"/>
  </bookViews>
  <sheets>
    <sheet name="165" sheetId="3" r:id="rId1"/>
    <sheet name="5201" sheetId="34" r:id="rId2"/>
    <sheet name="5213" sheetId="26" r:id="rId3"/>
    <sheet name="5216" sheetId="29" r:id="rId4"/>
    <sheet name="5217" sheetId="30" r:id="rId5"/>
    <sheet name="5214" sheetId="27" r:id="rId6"/>
    <sheet name="5211" sheetId="32" r:id="rId7"/>
    <sheet name="5251" sheetId="33" r:id="rId8"/>
    <sheet name="5224" sheetId="61" r:id="rId9"/>
    <sheet name="5225" sheetId="60" r:id="rId10"/>
    <sheet name="5226" sheetId="59" r:id="rId11"/>
    <sheet name="5227" sheetId="58" r:id="rId12"/>
    <sheet name="מגדל השתלמות- נספח 1" sheetId="35" r:id="rId13"/>
    <sheet name="מגדל השתלמות-נספח 2" sheetId="54" r:id="rId14"/>
    <sheet name="מגדל השתלמות-נספח 3" sheetId="53" r:id="rId15"/>
    <sheet name="גיליון1" sheetId="83" r:id="rId16"/>
  </sheets>
  <definedNames>
    <definedName name="_xlnm.Print_Area" localSheetId="12">'מגדל השתלמות- נספח 1'!$A$1:$C$42</definedName>
  </definedNames>
  <calcPr calcId="145621"/>
</workbook>
</file>

<file path=xl/calcChain.xml><?xml version="1.0" encoding="utf-8"?>
<calcChain xmlns="http://schemas.openxmlformats.org/spreadsheetml/2006/main">
  <c r="C57" i="53" l="1"/>
  <c r="C15" i="53"/>
  <c r="C36" i="53" l="1"/>
  <c r="D32" i="54"/>
  <c r="D16" i="54"/>
  <c r="C14" i="60"/>
  <c r="C14" i="26"/>
  <c r="C14" i="34"/>
  <c r="C14" i="3"/>
  <c r="C27" i="59"/>
  <c r="C10" i="59"/>
  <c r="C14" i="59"/>
  <c r="C29" i="60"/>
  <c r="C27" i="61"/>
  <c r="C27" i="33"/>
  <c r="C10" i="30"/>
  <c r="C41" i="3"/>
  <c r="C60" i="35"/>
  <c r="C39" i="32"/>
  <c r="C39" i="27"/>
  <c r="C39" i="29"/>
  <c r="C39" i="58"/>
  <c r="C10" i="3" l="1"/>
  <c r="C29" i="35" l="1"/>
  <c r="C41" i="35"/>
  <c r="D69" i="54" s="1"/>
  <c r="C33" i="35"/>
  <c r="C32" i="35"/>
  <c r="C28" i="35"/>
  <c r="C27" i="35"/>
  <c r="C26" i="35"/>
  <c r="C25" i="35"/>
  <c r="C24" i="35"/>
  <c r="C23" i="35"/>
  <c r="C22" i="35"/>
  <c r="C19" i="35"/>
  <c r="C18" i="35"/>
  <c r="C17" i="35"/>
  <c r="C14" i="35"/>
  <c r="C13" i="35"/>
  <c r="C10" i="35"/>
  <c r="C9" i="35"/>
  <c r="C10" i="33"/>
  <c r="C14" i="33"/>
  <c r="C14" i="58"/>
  <c r="C14" i="61"/>
  <c r="C14" i="30"/>
  <c r="C14" i="29"/>
  <c r="C14" i="27"/>
  <c r="C14" i="32"/>
  <c r="C62" i="53" l="1"/>
  <c r="C58" i="53"/>
  <c r="C37" i="53"/>
  <c r="C16" i="53"/>
  <c r="D35" i="54"/>
  <c r="D57" i="54"/>
  <c r="D46" i="54"/>
  <c r="D19" i="54"/>
  <c r="C60" i="53" l="1"/>
  <c r="D67" i="54"/>
  <c r="C31" i="3"/>
  <c r="C21" i="3"/>
  <c r="C38" i="3" s="1"/>
  <c r="C16" i="3"/>
  <c r="C12" i="3"/>
  <c r="C8" i="3"/>
  <c r="C31" i="34"/>
  <c r="C21" i="34"/>
  <c r="C38" i="34" s="1"/>
  <c r="C16" i="34"/>
  <c r="C12" i="34"/>
  <c r="C8" i="34"/>
  <c r="C31" i="32"/>
  <c r="C21" i="32"/>
  <c r="C38" i="32" s="1"/>
  <c r="C16" i="32"/>
  <c r="C12" i="32"/>
  <c r="C8" i="32"/>
  <c r="C31" i="26"/>
  <c r="C21" i="26"/>
  <c r="C38" i="26" s="1"/>
  <c r="C16" i="26"/>
  <c r="C12" i="26"/>
  <c r="C8" i="26"/>
  <c r="C31" i="27"/>
  <c r="C21" i="27"/>
  <c r="C38" i="27" s="1"/>
  <c r="C16" i="27"/>
  <c r="C12" i="27"/>
  <c r="C8" i="27"/>
  <c r="C31" i="29"/>
  <c r="C21" i="29"/>
  <c r="C38" i="29" s="1"/>
  <c r="C16" i="29"/>
  <c r="C12" i="29"/>
  <c r="C8" i="29"/>
  <c r="C31" i="30"/>
  <c r="C21" i="30"/>
  <c r="C38" i="30" s="1"/>
  <c r="C16" i="30"/>
  <c r="C12" i="30"/>
  <c r="C8" i="30"/>
  <c r="C31" i="61"/>
  <c r="C21" i="61"/>
  <c r="C38" i="61" s="1"/>
  <c r="C16" i="61"/>
  <c r="C12" i="61"/>
  <c r="C8" i="61"/>
  <c r="C31" i="60"/>
  <c r="C21" i="60"/>
  <c r="C38" i="60" s="1"/>
  <c r="C16" i="60"/>
  <c r="C12" i="60"/>
  <c r="C8" i="60"/>
  <c r="C31" i="59"/>
  <c r="C21" i="59"/>
  <c r="C38" i="59" s="1"/>
  <c r="C16" i="59"/>
  <c r="C12" i="59"/>
  <c r="C8" i="59"/>
  <c r="C31" i="58"/>
  <c r="C21" i="58"/>
  <c r="C38" i="58" s="1"/>
  <c r="C16" i="58"/>
  <c r="C12" i="58"/>
  <c r="C8" i="58"/>
  <c r="C31" i="33"/>
  <c r="C21" i="33"/>
  <c r="C38" i="33" s="1"/>
  <c r="C16" i="33"/>
  <c r="C12" i="33"/>
  <c r="C8" i="33"/>
  <c r="C31" i="35"/>
  <c r="C21" i="35"/>
  <c r="C16" i="35"/>
  <c r="C12" i="35"/>
  <c r="C8" i="35"/>
  <c r="C35" i="35" l="1"/>
  <c r="C39" i="35" s="1"/>
  <c r="C38" i="35"/>
  <c r="C35" i="58"/>
  <c r="C35" i="59"/>
  <c r="C39" i="59" s="1"/>
  <c r="C35" i="60"/>
  <c r="C39" i="60" s="1"/>
  <c r="C35" i="61"/>
  <c r="C39" i="61" s="1"/>
  <c r="C35" i="33"/>
  <c r="C39" i="33" s="1"/>
  <c r="C35" i="32"/>
  <c r="C35" i="27"/>
  <c r="C35" i="30"/>
  <c r="C39" i="30" s="1"/>
  <c r="C35" i="29"/>
  <c r="C35" i="26"/>
  <c r="C39" i="26" s="1"/>
  <c r="C35" i="34"/>
  <c r="C39" i="34" s="1"/>
  <c r="C35" i="3"/>
  <c r="C39" i="3" s="1"/>
</calcChain>
</file>

<file path=xl/sharedStrings.xml><?xml version="1.0" encoding="utf-8"?>
<sst xmlns="http://schemas.openxmlformats.org/spreadsheetml/2006/main" count="642" uniqueCount="122">
  <si>
    <t xml:space="preserve">אלפי ₪ </t>
  </si>
  <si>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</si>
  <si>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</si>
  <si>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</si>
  <si>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</si>
  <si>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</si>
  <si>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</si>
  <si>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</si>
  <si>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UBS</t>
  </si>
  <si>
    <t>בנק לאומי</t>
  </si>
  <si>
    <t>סך תשלומים למנהלי תיקים זרים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</si>
  <si>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</si>
  <si>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</si>
  <si>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</si>
  <si>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</si>
  <si>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</si>
  <si>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</si>
  <si>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</si>
  <si>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</si>
  <si>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</si>
  <si>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</si>
  <si>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</si>
  <si>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</si>
  <si>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</si>
  <si>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</si>
  <si>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</si>
  <si>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</si>
  <si>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</si>
  <si>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</si>
  <si>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</si>
  <si>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</si>
  <si>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</si>
  <si>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</si>
  <si>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</si>
  <si>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</si>
  <si>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</si>
  <si>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</si>
  <si>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</si>
  <si>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</si>
  <si>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</si>
  <si>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</si>
  <si>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</si>
  <si>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</si>
  <si>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</si>
  <si>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</si>
  <si>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</si>
  <si>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</si>
  <si>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</si>
  <si>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</si>
  <si>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</si>
  <si>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</si>
  <si>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</si>
  <si>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</si>
  <si>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</si>
  <si>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</si>
  <si>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</si>
  <si>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</si>
  <si>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</si>
  <si>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</si>
  <si>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</si>
  <si>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</si>
  <si>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</si>
  <si>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</si>
  <si>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</si>
  <si>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/>
  </si>
  <si>
    <t>יו בנק</t>
  </si>
  <si>
    <t>גוף 1</t>
  </si>
  <si>
    <t>גוף 2</t>
  </si>
  <si>
    <t xml:space="preserve">סך תשלומים בגין השקעת בקרנות נאמנות </t>
  </si>
  <si>
    <t>גוף 3</t>
  </si>
  <si>
    <t>גוף 4</t>
  </si>
  <si>
    <t>NEUBERGER BERMAN</t>
  </si>
  <si>
    <t>בנק דיסקונט</t>
  </si>
  <si>
    <t>בנק הפועלים</t>
  </si>
  <si>
    <t>אחר</t>
  </si>
  <si>
    <t>גורם 1</t>
  </si>
  <si>
    <t>גורם 2</t>
  </si>
  <si>
    <t>גורם 3</t>
  </si>
  <si>
    <t>BROOKFIELD</t>
  </si>
  <si>
    <t>M&amp;G Investments</t>
  </si>
  <si>
    <t>גורם 4</t>
  </si>
  <si>
    <t>גורם 5</t>
  </si>
  <si>
    <t>מגדל מקפת קרנות פנסיה וקופות גמל בע"מ</t>
  </si>
  <si>
    <t>נספח 3- פירוט עמלות ניהול חיצוני לשנה המסתיימת ביום:</t>
  </si>
  <si>
    <t xml:space="preserve">נספח 2 - פירוט עמלות והוצאות לשנה המסתיימת ביום </t>
  </si>
  <si>
    <t xml:space="preserve">נספח 1 - סך התשלומים ששולמו בעד כל סוג של הוצאה ישירה לשנה המסתיימת ביום </t>
  </si>
  <si>
    <t>מגדל השתלמות- מסלול פאסיבי כללי- מספר באוצר 7256</t>
  </si>
  <si>
    <t>מגדל השתלמות- מסלול לבני 60 ומעלה- מספר באוצר 470</t>
  </si>
  <si>
    <t>מגדל השתלמות- מסלול לבני 50 עד 60- מספר באוצר 7254</t>
  </si>
  <si>
    <t>מגדל השתלמות- מסלול לבני 50 ומטה- מספר באוצר 7253</t>
  </si>
  <si>
    <t>מגדל השתלמות- מסלול כהלכה- מספר באוצר 2048</t>
  </si>
  <si>
    <t>מגדל השתלמות- מסלול אג"ח- מספר באוצר 199</t>
  </si>
  <si>
    <t>מגדל השתלמות- מסלול שקלי טווח קצר- מספר באוצר 864</t>
  </si>
  <si>
    <t>מגדל השתלמות- מסלול אג"ח ממשלתי ישראלי- מספר באוצר 865</t>
  </si>
  <si>
    <t>מגדל השתלמות- מסלול חו"ל- מספר באוצר 868</t>
  </si>
  <si>
    <t>מגדל השתלמות- מסלול מניות- מספר באוצר 869</t>
  </si>
  <si>
    <t>מגדל השתלמות- מסלול אג"ח עד 10% מניות- מספר באוצר 599</t>
  </si>
  <si>
    <t>מגדל השתלמות- מסלול כללי- מספר באוצר 579</t>
  </si>
  <si>
    <t>31.12.2018</t>
  </si>
  <si>
    <t>מגדל השתלמות- מצרפי (מספרים באוצר- 579, 199, 599, 865, 868, 864, 869, 2048, 7253, 7254, 7256, 470)</t>
  </si>
  <si>
    <t>שיעור סך הוצאות ישירות ממתוך יתרת נכסים ממוצעת (באחוזים)</t>
  </si>
  <si>
    <t>בנק איגוד</t>
  </si>
  <si>
    <t>דש</t>
  </si>
  <si>
    <t>פסגות</t>
  </si>
  <si>
    <t>אקסלנס נשואה</t>
  </si>
  <si>
    <t>גורם 6</t>
  </si>
  <si>
    <t>Credit Suisse Fund Service Lux</t>
  </si>
  <si>
    <t>Guggenheim Partners</t>
  </si>
  <si>
    <t>PIONEER ASSET MANAGEMENT</t>
  </si>
  <si>
    <t>BlackRock</t>
  </si>
  <si>
    <t>Deutsche Bank</t>
  </si>
  <si>
    <t>State Street Corp</t>
  </si>
  <si>
    <t>Fimi</t>
  </si>
  <si>
    <t>כלירמרק</t>
  </si>
  <si>
    <t>APOLLO</t>
  </si>
  <si>
    <t>BLACKSTONE REAL ESTATE</t>
  </si>
  <si>
    <t>Meridiam</t>
  </si>
  <si>
    <t>trilantic</t>
  </si>
  <si>
    <t>VANGUARD</t>
  </si>
  <si>
    <t>DAIWA ASSET MANAGEMENT</t>
  </si>
  <si>
    <t>WisdomTree Investments</t>
  </si>
  <si>
    <t>Lyxor Intl Asset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</si>
</sst>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11"/>
      <name val="Arial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7" fillId="0" borderId="0"/>
    <xf numFmtId="0" fontId="10" fillId="0" borderId="0"/>
  </cellStyleXfs>
  <cellXfs count="89">
    <xf numFmtId="0" fontId="0" fillId="0" borderId="0" xfId="0"/>
    <xf numFmtId="0" fontId="2" fillId="0" borderId="0" xfId="0" applyFont="1" applyAlignment="1"/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 wrapText="1"/>
    </xf>
    <xf numFmtId="165" fontId="0" fillId="3" borderId="3" xfId="1" applyNumberFormat="1" applyFont="1" applyFill="1" applyBorder="1"/>
    <xf numFmtId="165" fontId="0" fillId="2" borderId="3" xfId="1" applyNumberFormat="1" applyFont="1" applyFill="1" applyBorder="1"/>
    <xf numFmtId="0" fontId="2" fillId="2" borderId="4" xfId="0" applyFont="1" applyFill="1" applyBorder="1" applyAlignment="1"/>
    <xf numFmtId="0" fontId="5" fillId="0" borderId="0" xfId="0" applyFont="1" applyAlignment="1"/>
    <xf numFmtId="0" fontId="5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5" fillId="2" borderId="13" xfId="0" applyFont="1" applyFill="1" applyBorder="1" applyAlignment="1"/>
    <xf numFmtId="0" fontId="0" fillId="2" borderId="4" xfId="0" applyFill="1" applyBorder="1" applyAlignment="1"/>
    <xf numFmtId="0" fontId="4" fillId="2" borderId="4" xfId="0" applyFont="1" applyFill="1" applyBorder="1" applyAlignment="1"/>
    <xf numFmtId="0" fontId="2" fillId="2" borderId="14" xfId="0" applyFont="1" applyFill="1" applyBorder="1" applyAlignment="1"/>
    <xf numFmtId="0" fontId="6" fillId="0" borderId="0" xfId="0" applyFont="1"/>
    <xf numFmtId="165" fontId="0" fillId="0" borderId="0" xfId="0" applyNumberFormat="1"/>
    <xf numFmtId="0" fontId="5" fillId="0" borderId="0" xfId="0" applyFont="1"/>
    <xf numFmtId="0" fontId="0" fillId="0" borderId="0" xfId="0" applyBorder="1"/>
    <xf numFmtId="0" fontId="2" fillId="0" borderId="0" xfId="0" applyFont="1" applyFill="1" applyBorder="1" applyAlignment="1"/>
    <xf numFmtId="0" fontId="0" fillId="2" borderId="13" xfId="0" applyFill="1" applyBorder="1" applyAlignment="1"/>
    <xf numFmtId="0" fontId="0" fillId="2" borderId="7" xfId="0" applyFill="1" applyBorder="1" applyAlignment="1"/>
    <xf numFmtId="0" fontId="8" fillId="0" borderId="0" xfId="0" applyFont="1"/>
    <xf numFmtId="0" fontId="2" fillId="2" borderId="8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165" fontId="0" fillId="2" borderId="3" xfId="1" applyNumberFormat="1" applyFont="1" applyFill="1" applyBorder="1" applyAlignment="1">
      <alignment horizontal="right"/>
    </xf>
    <xf numFmtId="0" fontId="7" fillId="2" borderId="21" xfId="0" applyNumberFormat="1" applyFont="1" applyFill="1" applyBorder="1" applyAlignment="1">
      <alignment horizontal="right" readingOrder="2"/>
    </xf>
    <xf numFmtId="0" fontId="7" fillId="2" borderId="9" xfId="0" applyFont="1" applyFill="1" applyBorder="1" applyAlignment="1">
      <alignment horizontal="right"/>
    </xf>
    <xf numFmtId="165" fontId="0" fillId="3" borderId="3" xfId="1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7" fillId="2" borderId="20" xfId="0" applyNumberFormat="1" applyFont="1" applyFill="1" applyBorder="1" applyAlignment="1">
      <alignment horizontal="right" readingOrder="2"/>
    </xf>
    <xf numFmtId="0" fontId="7" fillId="2" borderId="7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7" fillId="2" borderId="15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7" fillId="2" borderId="23" xfId="0" applyFont="1" applyFill="1" applyBorder="1" applyAlignment="1">
      <alignment horizontal="right"/>
    </xf>
    <xf numFmtId="165" fontId="0" fillId="3" borderId="5" xfId="1" applyNumberFormat="1" applyFont="1" applyFill="1" applyBorder="1" applyAlignment="1">
      <alignment horizontal="right"/>
    </xf>
    <xf numFmtId="0" fontId="7" fillId="2" borderId="20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17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7" fillId="2" borderId="17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right"/>
    </xf>
    <xf numFmtId="0" fontId="0" fillId="2" borderId="13" xfId="0" applyFill="1" applyBorder="1" applyAlignment="1"/>
    <xf numFmtId="0" fontId="0" fillId="2" borderId="7" xfId="0" applyFill="1" applyBorder="1" applyAlignment="1"/>
    <xf numFmtId="0" fontId="2" fillId="2" borderId="27" xfId="0" applyFont="1" applyFill="1" applyBorder="1" applyAlignment="1">
      <alignment horizontal="right"/>
    </xf>
    <xf numFmtId="0" fontId="2" fillId="2" borderId="28" xfId="0" applyFont="1" applyFill="1" applyBorder="1" applyAlignment="1">
      <alignment horizontal="right"/>
    </xf>
    <xf numFmtId="0" fontId="7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7" fillId="2" borderId="28" xfId="0" applyNumberFormat="1" applyFont="1" applyFill="1" applyBorder="1" applyAlignment="1">
      <alignment horizontal="right" readingOrder="2"/>
    </xf>
    <xf numFmtId="165" fontId="2" fillId="4" borderId="3" xfId="1" applyNumberFormat="1" applyFont="1" applyFill="1" applyBorder="1" applyAlignment="1">
      <alignment horizontal="right"/>
    </xf>
    <xf numFmtId="165" fontId="11" fillId="2" borderId="3" xfId="1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164" fontId="0" fillId="0" borderId="0" xfId="0" applyNumberFormat="1"/>
    <xf numFmtId="165" fontId="5" fillId="4" borderId="3" xfId="1" applyNumberFormat="1" applyFont="1" applyFill="1" applyBorder="1" applyProtection="1"/>
    <xf numFmtId="10" fontId="5" fillId="4" borderId="3" xfId="2" applyNumberFormat="1" applyFont="1" applyFill="1" applyBorder="1" applyProtection="1"/>
    <xf numFmtId="165" fontId="5" fillId="4" borderId="3" xfId="1" applyNumberFormat="1" applyFont="1" applyFill="1" applyBorder="1"/>
    <xf numFmtId="165" fontId="5" fillId="4" borderId="11" xfId="1" applyNumberFormat="1" applyFont="1" applyFill="1" applyBorder="1"/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 wrapText="1"/>
    </xf>
    <xf numFmtId="0" fontId="0" fillId="2" borderId="6" xfId="0" applyFill="1" applyBorder="1" applyAlignment="1"/>
    <xf numFmtId="0" fontId="0" fillId="2" borderId="7" xfId="0" applyFill="1" applyBorder="1" applyAlignment="1"/>
    <xf numFmtId="165" fontId="2" fillId="2" borderId="1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0" fontId="0" fillId="2" borderId="12" xfId="0" applyFill="1" applyBorder="1" applyAlignment="1"/>
    <xf numFmtId="0" fontId="0" fillId="2" borderId="13" xfId="0" applyFill="1" applyBorder="1" applyAlignment="1"/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theme="5" tint="0.39997558519241921"/>
  </sheetPr>
  <dimension ref="A1:G60"/>
  <sheetViews>
    <sheetView rightToLeft="1" workbookViewId="0">
      <selection activeCell="D10" sqref="D10"/>
    </sheetView>
  </sheetViews>
  <sheetFormatPr defaultRowHeight="14.25" x14ac:dyDescent="0.2"/>
  <cols>
    <col min="1" max="1" width="1.75" bestFit="1" customWidth="1"/>
    <col min="2" max="2" width="55.875" bestFit="1" customWidth="1"/>
    <col min="3" max="3" width="13.5" bestFit="1" customWidth="1"/>
    <col min="5" max="7" width="10.75" customWidth="1"/>
    <col min="8" max="8" width="11.5" customWidth="1"/>
  </cols>
  <sheetData>
    <row r="1" spans="1:7" ht="15" x14ac:dyDescent="0.25">
      <c r="B1" s="27" t="s">
        <v>82</v>
      </c>
    </row>
    <row r="2" spans="1:7" x14ac:dyDescent="0.2">
      <c r="B2" s="1" t="s">
        <v>85</v>
      </c>
      <c r="C2" s="4" t="s">
        <v>98</v>
      </c>
    </row>
    <row r="3" spans="1:7" x14ac:dyDescent="0.2">
      <c r="B3" s="3"/>
      <c r="D3" s="5"/>
      <c r="G3" s="20"/>
    </row>
    <row r="4" spans="1:7" ht="15" x14ac:dyDescent="0.25">
      <c r="B4" s="10" t="s">
        <v>5</v>
      </c>
      <c r="C4" s="2"/>
      <c r="G4" s="20"/>
    </row>
    <row r="5" spans="1:7" ht="16.5" thickBot="1" x14ac:dyDescent="0.3">
      <c r="B5" s="81" t="s">
        <v>97</v>
      </c>
      <c r="C5" s="2"/>
    </row>
    <row r="6" spans="1:7" ht="14.25" customHeight="1" x14ac:dyDescent="0.2">
      <c r="A6" s="87"/>
      <c r="B6" s="83"/>
      <c r="C6" s="85" t="s">
        <v>0</v>
      </c>
    </row>
    <row r="7" spans="1:7" x14ac:dyDescent="0.2">
      <c r="A7" s="88"/>
      <c r="B7" s="84"/>
      <c r="C7" s="86"/>
    </row>
    <row r="8" spans="1:7" ht="15" x14ac:dyDescent="0.25">
      <c r="A8" s="16">
        <v>1</v>
      </c>
      <c r="B8" s="11" t="s">
        <v>11</v>
      </c>
      <c r="C8" s="77">
        <f t="shared" ref="C8" si="0">SUM(C9:C10)</f>
        <v>2696.4838982895781</v>
      </c>
    </row>
    <row r="9" spans="1:7" x14ac:dyDescent="0.2">
      <c r="A9" s="9"/>
      <c r="B9" s="12" t="s">
        <v>12</v>
      </c>
      <c r="C9" s="7">
        <v>28.050338188027922</v>
      </c>
    </row>
    <row r="10" spans="1:7" x14ac:dyDescent="0.2">
      <c r="A10" s="9"/>
      <c r="B10" s="12" t="s">
        <v>13</v>
      </c>
      <c r="C10" s="7">
        <f>2668.23356010155-0.8+1</f>
        <v>2668.43356010155</v>
      </c>
    </row>
    <row r="11" spans="1:7" x14ac:dyDescent="0.2">
      <c r="A11" s="9"/>
      <c r="B11" s="12"/>
      <c r="C11" s="8">
        <v>0</v>
      </c>
    </row>
    <row r="12" spans="1:7" ht="15" x14ac:dyDescent="0.25">
      <c r="A12" s="16">
        <v>2</v>
      </c>
      <c r="B12" s="11" t="s">
        <v>14</v>
      </c>
      <c r="C12" s="77">
        <f t="shared" ref="C12" si="1">SUM(C13:C14)</f>
        <v>901.11171746839898</v>
      </c>
    </row>
    <row r="13" spans="1:7" x14ac:dyDescent="0.2">
      <c r="A13" s="9"/>
      <c r="B13" s="13" t="s">
        <v>1</v>
      </c>
      <c r="C13" s="7">
        <v>0</v>
      </c>
    </row>
    <row r="14" spans="1:7" x14ac:dyDescent="0.2">
      <c r="A14" s="9"/>
      <c r="B14" s="13" t="s">
        <v>2</v>
      </c>
      <c r="C14" s="7">
        <f>824.069067468399+76.74265+0.3</f>
        <v>901.11171746839898</v>
      </c>
    </row>
    <row r="15" spans="1:7" x14ac:dyDescent="0.2">
      <c r="A15" s="25"/>
      <c r="B15" s="26"/>
      <c r="C15" s="8">
        <v>0</v>
      </c>
    </row>
    <row r="16" spans="1:7" ht="15" x14ac:dyDescent="0.25">
      <c r="A16" s="16">
        <v>3</v>
      </c>
      <c r="B16" s="11" t="s">
        <v>7</v>
      </c>
      <c r="C16" s="77">
        <f t="shared" ref="C16" si="2">SUM(C17:C19)</f>
        <v>1869.1961333648678</v>
      </c>
    </row>
    <row r="17" spans="1:3" ht="25.5" x14ac:dyDescent="0.2">
      <c r="A17" s="9" t="s">
        <v>15</v>
      </c>
      <c r="B17" s="28" t="s">
        <v>16</v>
      </c>
      <c r="C17" s="7">
        <v>315.29095250724993</v>
      </c>
    </row>
    <row r="18" spans="1:3" x14ac:dyDescent="0.2">
      <c r="A18" s="9" t="s">
        <v>17</v>
      </c>
      <c r="B18" s="28" t="s">
        <v>18</v>
      </c>
      <c r="C18" s="7">
        <v>25.03753</v>
      </c>
    </row>
    <row r="19" spans="1:3" x14ac:dyDescent="0.2">
      <c r="A19" s="9" t="s">
        <v>19</v>
      </c>
      <c r="B19" s="12" t="s">
        <v>3</v>
      </c>
      <c r="C19" s="7">
        <v>1528.8676508576179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7">
        <f>SUM(C22:C29)</f>
        <v>15286.25309990908</v>
      </c>
    </row>
    <row r="22" spans="1:3" x14ac:dyDescent="0.2">
      <c r="A22" s="9"/>
      <c r="B22" s="12" t="s">
        <v>21</v>
      </c>
      <c r="C22" s="7">
        <v>1642.9601961464991</v>
      </c>
    </row>
    <row r="23" spans="1:3" x14ac:dyDescent="0.2">
      <c r="A23" s="9"/>
      <c r="B23" s="12" t="s">
        <v>22</v>
      </c>
      <c r="C23" s="7">
        <v>6656.6632437625794</v>
      </c>
    </row>
    <row r="24" spans="1:3" x14ac:dyDescent="0.2">
      <c r="A24" s="9"/>
      <c r="B24" s="12" t="s">
        <v>23</v>
      </c>
      <c r="C24" s="7"/>
    </row>
    <row r="25" spans="1:3" x14ac:dyDescent="0.2">
      <c r="A25" s="9"/>
      <c r="B25" s="12" t="s">
        <v>10</v>
      </c>
      <c r="C25" s="7"/>
    </row>
    <row r="26" spans="1:3" x14ac:dyDescent="0.2">
      <c r="A26" s="9"/>
      <c r="B26" s="12" t="s">
        <v>6</v>
      </c>
      <c r="C26" s="7">
        <v>0</v>
      </c>
    </row>
    <row r="27" spans="1:3" x14ac:dyDescent="0.2">
      <c r="A27" s="9"/>
      <c r="B27" s="12" t="s">
        <v>24</v>
      </c>
      <c r="C27" s="7">
        <v>2396.1615100000008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4590.4681499999988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7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79">
        <f>C31+C21+C16+C12+C8</f>
        <v>20753.044849031925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78">
        <f t="shared" ref="C38" si="4">(C33+C21+C17)/C41</f>
        <v>1.3194462436728945E-3</v>
      </c>
    </row>
    <row r="39" spans="1:4" ht="15" x14ac:dyDescent="0.25">
      <c r="A39" s="9" t="s">
        <v>17</v>
      </c>
      <c r="B39" s="12" t="s">
        <v>100</v>
      </c>
      <c r="C39" s="78">
        <f>C35/C60</f>
        <v>1.7807693329952448E-3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32</v>
      </c>
      <c r="C41" s="80">
        <f>11283674+540638</f>
        <v>11824312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  <row r="51" spans="3:6" x14ac:dyDescent="0.2">
      <c r="F51" s="21"/>
    </row>
    <row r="59" spans="3:6" ht="15" x14ac:dyDescent="0.25">
      <c r="C59" s="78"/>
    </row>
    <row r="60" spans="3:6" ht="15.75" thickBot="1" x14ac:dyDescent="0.3">
      <c r="C60" s="80">
        <v>11653977</v>
      </c>
    </row>
  </sheetData>
  <sheetProtection sheet="1" objects="1" scenarios="1"/>
  <mergeCells count="3">
    <mergeCell ref="B6:B7"/>
    <mergeCell ref="C6:C7"/>
    <mergeCell ref="A6:A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60"/>
  <sheetViews>
    <sheetView rightToLeft="1" topLeftCell="A16" workbookViewId="0">
      <selection activeCell="E18" sqref="E18"/>
    </sheetView>
  </sheetViews>
  <sheetFormatPr defaultRowHeight="14.25" x14ac:dyDescent="0.2"/>
  <cols>
    <col min="1" max="1" width="1.75" bestFit="1" customWidth="1"/>
    <col min="2" max="2" width="59.75" bestFit="1" customWidth="1"/>
    <col min="3" max="3" width="9.875" bestFit="1" customWidth="1"/>
  </cols>
  <sheetData>
    <row r="1" spans="1:6" ht="15" x14ac:dyDescent="0.25">
      <c r="B1" s="27" t="s">
        <v>82</v>
      </c>
    </row>
    <row r="2" spans="1:6" x14ac:dyDescent="0.2">
      <c r="B2" s="1" t="s">
        <v>85</v>
      </c>
      <c r="C2" s="4" t="s">
        <v>98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  <c r="F4" s="20"/>
    </row>
    <row r="5" spans="1:6" ht="16.5" thickBot="1" x14ac:dyDescent="0.3">
      <c r="B5" s="81" t="s">
        <v>88</v>
      </c>
      <c r="C5" s="2"/>
    </row>
    <row r="6" spans="1:6" ht="14.25" customHeight="1" x14ac:dyDescent="0.2">
      <c r="A6" s="87"/>
      <c r="B6" s="83"/>
      <c r="C6" s="85" t="s">
        <v>0</v>
      </c>
    </row>
    <row r="7" spans="1:6" x14ac:dyDescent="0.2">
      <c r="A7" s="88"/>
      <c r="B7" s="84"/>
      <c r="C7" s="86"/>
    </row>
    <row r="8" spans="1:6" ht="15" x14ac:dyDescent="0.25">
      <c r="A8" s="16">
        <v>1</v>
      </c>
      <c r="B8" s="11" t="s">
        <v>11</v>
      </c>
      <c r="C8" s="77">
        <f t="shared" ref="C8" si="0">SUM(C9:C10)</f>
        <v>26.614907660294524</v>
      </c>
    </row>
    <row r="9" spans="1:6" x14ac:dyDescent="0.2">
      <c r="A9" s="9"/>
      <c r="B9" s="12" t="s">
        <v>12</v>
      </c>
      <c r="C9" s="7">
        <v>0.10857463324717</v>
      </c>
    </row>
    <row r="10" spans="1:6" x14ac:dyDescent="0.2">
      <c r="A10" s="9"/>
      <c r="B10" s="12" t="s">
        <v>13</v>
      </c>
      <c r="C10" s="7">
        <v>26.506333027047354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7">
        <f t="shared" ref="C12" si="1">SUM(C13:C14)</f>
        <v>14.997740079392001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f>14.161770079392+0.53597+0.3</f>
        <v>14.997740079392001</v>
      </c>
    </row>
    <row r="15" spans="1:6" x14ac:dyDescent="0.2">
      <c r="A15" s="65"/>
      <c r="B15" s="66"/>
      <c r="C15" s="8">
        <v>0</v>
      </c>
    </row>
    <row r="16" spans="1:6" ht="15" x14ac:dyDescent="0.25">
      <c r="A16" s="16">
        <v>3</v>
      </c>
      <c r="B16" s="11" t="s">
        <v>7</v>
      </c>
      <c r="C16" s="77">
        <f t="shared" ref="C16" si="2">SUM(C17:C19)</f>
        <v>0.36964000000000002</v>
      </c>
    </row>
    <row r="17" spans="1:3" ht="25.5" x14ac:dyDescent="0.2">
      <c r="A17" s="9" t="s">
        <v>15</v>
      </c>
      <c r="B17" s="28" t="s">
        <v>16</v>
      </c>
      <c r="C17" s="7">
        <v>0.36964000000000002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7">
        <f>SUM(C22:C29)</f>
        <v>40.126989999999999</v>
      </c>
    </row>
    <row r="22" spans="1:3" x14ac:dyDescent="0.2">
      <c r="A22" s="9"/>
      <c r="B22" s="12" t="s">
        <v>21</v>
      </c>
      <c r="C22" s="7">
        <v>0</v>
      </c>
    </row>
    <row r="23" spans="1:3" x14ac:dyDescent="0.2">
      <c r="A23" s="9"/>
      <c r="B23" s="12" t="s">
        <v>22</v>
      </c>
      <c r="C23" s="7">
        <v>0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>
        <v>0</v>
      </c>
    </row>
    <row r="27" spans="1:3" x14ac:dyDescent="0.2">
      <c r="A27" s="9"/>
      <c r="B27" s="12" t="s">
        <v>24</v>
      </c>
      <c r="C27" s="7">
        <v>35.101909999999997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f>5.42508-0.4</f>
        <v>5.02508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7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79">
        <f>C31+C21+C16+C12+C8</f>
        <v>82.109277739686519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78">
        <f t="shared" ref="C38" si="4">(C33+C21+C17)/C41</f>
        <v>9.4031694801123826E-4</v>
      </c>
    </row>
    <row r="39" spans="1:4" ht="15" x14ac:dyDescent="0.25">
      <c r="A39" s="9" t="s">
        <v>17</v>
      </c>
      <c r="B39" s="12" t="s">
        <v>100</v>
      </c>
      <c r="C39" s="78">
        <f>C35/C60</f>
        <v>1.3191622858561378E-3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32</v>
      </c>
      <c r="C41" s="80">
        <v>43067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  <row r="59" spans="3:3" ht="15" x14ac:dyDescent="0.25">
      <c r="C59" s="78"/>
    </row>
    <row r="60" spans="3:3" ht="15.75" thickBot="1" x14ac:dyDescent="0.3">
      <c r="C60" s="80">
        <v>62243.5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60"/>
  <sheetViews>
    <sheetView rightToLeft="1" topLeftCell="A16" workbookViewId="0">
      <selection activeCell="F24" sqref="F24"/>
    </sheetView>
  </sheetViews>
  <sheetFormatPr defaultRowHeight="14.25" x14ac:dyDescent="0.2"/>
  <cols>
    <col min="1" max="1" width="1.75" bestFit="1" customWidth="1"/>
    <col min="2" max="2" width="59.75" bestFit="1" customWidth="1"/>
    <col min="3" max="3" width="9.875" bestFit="1" customWidth="1"/>
  </cols>
  <sheetData>
    <row r="1" spans="1:6" ht="15" x14ac:dyDescent="0.25">
      <c r="B1" s="27" t="s">
        <v>82</v>
      </c>
    </row>
    <row r="2" spans="1:6" x14ac:dyDescent="0.2">
      <c r="B2" s="1" t="s">
        <v>85</v>
      </c>
      <c r="C2" s="4" t="s">
        <v>98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  <c r="F4" s="20"/>
    </row>
    <row r="5" spans="1:6" ht="16.5" thickBot="1" x14ac:dyDescent="0.3">
      <c r="B5" s="81" t="s">
        <v>87</v>
      </c>
      <c r="C5" s="2"/>
    </row>
    <row r="6" spans="1:6" ht="14.25" customHeight="1" x14ac:dyDescent="0.2">
      <c r="A6" s="87"/>
      <c r="B6" s="83"/>
      <c r="C6" s="85" t="s">
        <v>0</v>
      </c>
    </row>
    <row r="7" spans="1:6" x14ac:dyDescent="0.2">
      <c r="A7" s="88"/>
      <c r="B7" s="84"/>
      <c r="C7" s="86"/>
    </row>
    <row r="8" spans="1:6" ht="15" x14ac:dyDescent="0.25">
      <c r="A8" s="16">
        <v>1</v>
      </c>
      <c r="B8" s="11" t="s">
        <v>11</v>
      </c>
      <c r="C8" s="77">
        <f t="shared" ref="C8" si="0">SUM(C9:C10)</f>
        <v>27.77993305768792</v>
      </c>
    </row>
    <row r="9" spans="1:6" x14ac:dyDescent="0.2">
      <c r="A9" s="9"/>
      <c r="B9" s="12" t="s">
        <v>12</v>
      </c>
      <c r="C9" s="7">
        <v>0.20467342893672</v>
      </c>
    </row>
    <row r="10" spans="1:6" x14ac:dyDescent="0.2">
      <c r="A10" s="9"/>
      <c r="B10" s="12" t="s">
        <v>13</v>
      </c>
      <c r="C10" s="7">
        <f>27.2752596287512+0.3</f>
        <v>27.575259628751201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7">
        <f t="shared" ref="C12" si="1">SUM(C13:C14)</f>
        <v>14.360419794689701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f>13.6011497946897+0.75927</f>
        <v>14.360419794689701</v>
      </c>
    </row>
    <row r="15" spans="1:6" x14ac:dyDescent="0.2">
      <c r="A15" s="65"/>
      <c r="B15" s="66"/>
      <c r="C15" s="8">
        <v>0</v>
      </c>
    </row>
    <row r="16" spans="1:6" ht="15" x14ac:dyDescent="0.25">
      <c r="A16" s="16">
        <v>3</v>
      </c>
      <c r="B16" s="11" t="s">
        <v>7</v>
      </c>
      <c r="C16" s="77">
        <f t="shared" ref="C16" si="2">SUM(C17:C19)</f>
        <v>0.29196</v>
      </c>
    </row>
    <row r="17" spans="1:3" ht="25.5" x14ac:dyDescent="0.2">
      <c r="A17" s="9" t="s">
        <v>15</v>
      </c>
      <c r="B17" s="28" t="s">
        <v>16</v>
      </c>
      <c r="C17" s="7">
        <v>0.29196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7">
        <f>SUM(C22:C29)</f>
        <v>22.904420000000002</v>
      </c>
    </row>
    <row r="22" spans="1:3" x14ac:dyDescent="0.2">
      <c r="A22" s="9"/>
      <c r="B22" s="12" t="s">
        <v>21</v>
      </c>
      <c r="C22" s="7">
        <v>0</v>
      </c>
    </row>
    <row r="23" spans="1:3" x14ac:dyDescent="0.2">
      <c r="A23" s="9"/>
      <c r="B23" s="12" t="s">
        <v>22</v>
      </c>
      <c r="C23" s="7">
        <v>0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>
        <v>0</v>
      </c>
    </row>
    <row r="27" spans="1:3" x14ac:dyDescent="0.2">
      <c r="A27" s="9"/>
      <c r="B27" s="12" t="s">
        <v>24</v>
      </c>
      <c r="C27" s="7">
        <f>20.8518-0.3</f>
        <v>20.5518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2.3526199999999999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7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79">
        <f>C31+C21+C16+C12+C8</f>
        <v>65.336732852377622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78">
        <f t="shared" ref="C38" si="4">(C33+C21+C17)/C41</f>
        <v>5.1351235278491102E-4</v>
      </c>
    </row>
    <row r="39" spans="1:4" ht="15" x14ac:dyDescent="0.25">
      <c r="A39" s="9" t="s">
        <v>17</v>
      </c>
      <c r="B39" s="12" t="s">
        <v>100</v>
      </c>
      <c r="C39" s="78">
        <f>C35/C60</f>
        <v>9.4406329979738796E-4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32</v>
      </c>
      <c r="C41" s="80">
        <v>45172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  <row r="59" spans="3:3" ht="15" x14ac:dyDescent="0.25">
      <c r="C59" s="78"/>
    </row>
    <row r="60" spans="3:3" ht="15.75" thickBot="1" x14ac:dyDescent="0.3">
      <c r="C60" s="80">
        <v>69208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60"/>
  <sheetViews>
    <sheetView rightToLeft="1" topLeftCell="A22" workbookViewId="0">
      <selection activeCell="D43" sqref="D43"/>
    </sheetView>
  </sheetViews>
  <sheetFormatPr defaultRowHeight="14.25" x14ac:dyDescent="0.2"/>
  <cols>
    <col min="1" max="1" width="1.75" bestFit="1" customWidth="1"/>
    <col min="2" max="2" width="59.75" bestFit="1" customWidth="1"/>
    <col min="3" max="3" width="9.875" bestFit="1" customWidth="1"/>
  </cols>
  <sheetData>
    <row r="1" spans="1:6" ht="15" x14ac:dyDescent="0.25">
      <c r="B1" s="27" t="s">
        <v>82</v>
      </c>
    </row>
    <row r="2" spans="1:6" x14ac:dyDescent="0.2">
      <c r="B2" s="1" t="s">
        <v>85</v>
      </c>
      <c r="C2" s="4" t="s">
        <v>98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  <c r="F4" s="20"/>
    </row>
    <row r="5" spans="1:6" ht="16.5" thickBot="1" x14ac:dyDescent="0.3">
      <c r="B5" s="81" t="s">
        <v>86</v>
      </c>
      <c r="C5" s="2"/>
    </row>
    <row r="6" spans="1:6" ht="14.25" customHeight="1" x14ac:dyDescent="0.2">
      <c r="A6" s="87"/>
      <c r="B6" s="83"/>
      <c r="C6" s="85" t="s">
        <v>0</v>
      </c>
    </row>
    <row r="7" spans="1:6" x14ac:dyDescent="0.2">
      <c r="A7" s="88"/>
      <c r="B7" s="84"/>
      <c r="C7" s="86"/>
    </row>
    <row r="8" spans="1:6" ht="15" x14ac:dyDescent="0.25">
      <c r="A8" s="16">
        <v>1</v>
      </c>
      <c r="B8" s="11" t="s">
        <v>11</v>
      </c>
      <c r="C8" s="77">
        <f t="shared" ref="C8" si="0">SUM(C9:C10)</f>
        <v>14.48</v>
      </c>
    </row>
    <row r="9" spans="1:6" x14ac:dyDescent="0.2">
      <c r="A9" s="9"/>
      <c r="B9" s="12" t="s">
        <v>12</v>
      </c>
      <c r="C9" s="7">
        <v>0</v>
      </c>
    </row>
    <row r="10" spans="1:6" x14ac:dyDescent="0.2">
      <c r="A10" s="9"/>
      <c r="B10" s="12" t="s">
        <v>13</v>
      </c>
      <c r="C10" s="7">
        <v>14.48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7">
        <f t="shared" ref="C12" si="1">SUM(C13:C14)</f>
        <v>9.6220299999999988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f>9.4545+0.16753</f>
        <v>9.6220299999999988</v>
      </c>
    </row>
    <row r="15" spans="1:6" x14ac:dyDescent="0.2">
      <c r="A15" s="65"/>
      <c r="B15" s="66"/>
      <c r="C15" s="8">
        <v>0</v>
      </c>
    </row>
    <row r="16" spans="1:6" ht="15" x14ac:dyDescent="0.25">
      <c r="A16" s="16">
        <v>3</v>
      </c>
      <c r="B16" s="11" t="s">
        <v>7</v>
      </c>
      <c r="C16" s="77">
        <f t="shared" ref="C16" si="2">SUM(C17:C19)</f>
        <v>0</v>
      </c>
    </row>
    <row r="17" spans="1:3" ht="25.5" x14ac:dyDescent="0.2">
      <c r="A17" s="9" t="s">
        <v>15</v>
      </c>
      <c r="B17" s="28" t="s">
        <v>16</v>
      </c>
      <c r="C17" s="7">
        <v>0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7">
        <f>SUM(C22:C29)</f>
        <v>35.182900000000004</v>
      </c>
    </row>
    <row r="22" spans="1:3" x14ac:dyDescent="0.2">
      <c r="A22" s="9"/>
      <c r="B22" s="12" t="s">
        <v>21</v>
      </c>
      <c r="C22" s="7">
        <v>0</v>
      </c>
    </row>
    <row r="23" spans="1:3" x14ac:dyDescent="0.2">
      <c r="A23" s="9"/>
      <c r="B23" s="12" t="s">
        <v>22</v>
      </c>
      <c r="C23" s="7">
        <v>0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>
        <v>0</v>
      </c>
    </row>
    <row r="27" spans="1:3" x14ac:dyDescent="0.2">
      <c r="A27" s="9"/>
      <c r="B27" s="12" t="s">
        <v>24</v>
      </c>
      <c r="C27" s="7">
        <v>35.182900000000004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0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7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79">
        <f>C31+C21+C16+C12+C8</f>
        <v>59.284930000000003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78">
        <f t="shared" ref="C38" si="4">(C33+C21+C17)/C41</f>
        <v>7.0413681303286245E-4</v>
      </c>
    </row>
    <row r="39" spans="1:4" ht="15" x14ac:dyDescent="0.25">
      <c r="A39" s="9" t="s">
        <v>17</v>
      </c>
      <c r="B39" s="12" t="s">
        <v>100</v>
      </c>
      <c r="C39" s="78">
        <f>C35/C60</f>
        <v>1.1929157402283817E-3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32</v>
      </c>
      <c r="C41" s="80">
        <v>49966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  <row r="59" spans="3:3" ht="15" x14ac:dyDescent="0.25">
      <c r="C59" s="78"/>
    </row>
    <row r="60" spans="3:3" ht="15.75" thickBot="1" x14ac:dyDescent="0.3">
      <c r="C60" s="80">
        <v>49697.5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3">
    <tabColor theme="5" tint="0.39997558519241921"/>
    <pageSetUpPr fitToPage="1"/>
  </sheetPr>
  <dimension ref="A1:D60"/>
  <sheetViews>
    <sheetView rightToLeft="1" tabSelected="1" workbookViewId="0">
      <selection activeCell="C22" sqref="C22:C23"/>
    </sheetView>
  </sheetViews>
  <sheetFormatPr defaultRowHeight="14.25" x14ac:dyDescent="0.2"/>
  <cols>
    <col min="1" max="1" width="1.875" bestFit="1" customWidth="1"/>
    <col min="2" max="2" width="60.875" customWidth="1"/>
    <col min="3" max="3" width="11.375" customWidth="1"/>
    <col min="5" max="5" width="10.625" customWidth="1"/>
    <col min="6" max="6" width="10.75" customWidth="1"/>
    <col min="7" max="7" width="11.375" customWidth="1"/>
    <col min="8" max="8" width="11.125" customWidth="1"/>
  </cols>
  <sheetData>
    <row r="1" spans="1:4" ht="15" x14ac:dyDescent="0.25">
      <c r="B1" s="27" t="s">
        <v>82</v>
      </c>
    </row>
    <row r="2" spans="1:4" x14ac:dyDescent="0.2">
      <c r="B2" s="1" t="s">
        <v>85</v>
      </c>
      <c r="C2" s="4" t="s">
        <v>98</v>
      </c>
    </row>
    <row r="3" spans="1:4" x14ac:dyDescent="0.2">
      <c r="B3" s="3"/>
      <c r="D3" s="5"/>
    </row>
    <row r="4" spans="1:4" ht="15" x14ac:dyDescent="0.25">
      <c r="B4" s="10" t="s">
        <v>5</v>
      </c>
      <c r="C4" s="2"/>
    </row>
    <row r="5" spans="1:4" ht="32.25" thickBot="1" x14ac:dyDescent="0.3">
      <c r="B5" s="82" t="s">
        <v>99</v>
      </c>
      <c r="C5" s="2"/>
    </row>
    <row r="6" spans="1:4" ht="14.25" customHeight="1" x14ac:dyDescent="0.2">
      <c r="A6" s="87"/>
      <c r="B6" s="83"/>
      <c r="C6" s="85" t="s">
        <v>0</v>
      </c>
    </row>
    <row r="7" spans="1:4" x14ac:dyDescent="0.2">
      <c r="A7" s="88"/>
      <c r="B7" s="84"/>
      <c r="C7" s="86"/>
    </row>
    <row r="8" spans="1:4" ht="15" x14ac:dyDescent="0.25">
      <c r="A8" s="16">
        <v>1</v>
      </c>
      <c r="B8" s="11" t="s">
        <v>11</v>
      </c>
      <c r="C8" s="77">
        <f t="shared" ref="C8" si="0">SUM(C9:C10)</f>
        <v>3188.0656005542755</v>
      </c>
    </row>
    <row r="9" spans="1:4" x14ac:dyDescent="0.2">
      <c r="A9" s="9"/>
      <c r="B9" s="12" t="s">
        <v>12</v>
      </c>
      <c r="C9" s="7">
        <f>'5251'!C9+'5227'!C9+'5226'!C9+'5225'!C9+'5224'!C9+'5217'!C9+'5216'!C9+'5214'!C9+'5213'!C9+'5211'!C9+'5201'!C9+'165'!C9</f>
        <v>36.795120249994184</v>
      </c>
    </row>
    <row r="10" spans="1:4" x14ac:dyDescent="0.2">
      <c r="A10" s="9"/>
      <c r="B10" s="12" t="s">
        <v>13</v>
      </c>
      <c r="C10" s="7">
        <f>'5251'!C10+'5227'!C10+'5226'!C10+'5225'!C10+'5224'!C10+'5217'!C10+'5216'!C10+'5214'!C10+'5213'!C10+'5211'!C10+'5201'!C10+'165'!C10</f>
        <v>3151.2704803042811</v>
      </c>
    </row>
    <row r="11" spans="1:4" x14ac:dyDescent="0.2">
      <c r="A11" s="9"/>
      <c r="B11" s="12"/>
      <c r="C11" s="8">
        <v>0</v>
      </c>
    </row>
    <row r="12" spans="1:4" ht="15" x14ac:dyDescent="0.25">
      <c r="A12" s="16">
        <v>2</v>
      </c>
      <c r="B12" s="11" t="s">
        <v>14</v>
      </c>
      <c r="C12" s="77">
        <f t="shared" ref="C12" si="1">SUM(C13:C14)</f>
        <v>1140.5803041797287</v>
      </c>
    </row>
    <row r="13" spans="1:4" x14ac:dyDescent="0.2">
      <c r="A13" s="9"/>
      <c r="B13" s="13" t="s">
        <v>1</v>
      </c>
      <c r="C13" s="7">
        <f>'5251'!C13+'5227'!C13+'5226'!C13+'5225'!C13+'5224'!C13+'5217'!C13+'5216'!C13+'5214'!C13+'5213'!C13+'5211'!C13+'5201'!C13+'165'!C13</f>
        <v>0</v>
      </c>
    </row>
    <row r="14" spans="1:4" x14ac:dyDescent="0.2">
      <c r="A14" s="9"/>
      <c r="B14" s="13" t="s">
        <v>2</v>
      </c>
      <c r="C14" s="7">
        <f>'5251'!C14+'5227'!C14+'5226'!C14+'5225'!C14+'5224'!C14+'5217'!C14+'5216'!C14+'5214'!C14+'5213'!C14+'5211'!C14+'5201'!C14+'165'!C14</f>
        <v>1140.5803041797287</v>
      </c>
    </row>
    <row r="15" spans="1:4" x14ac:dyDescent="0.2">
      <c r="A15" s="25"/>
      <c r="B15" s="26"/>
      <c r="C15" s="8">
        <v>0</v>
      </c>
    </row>
    <row r="16" spans="1:4" ht="15" x14ac:dyDescent="0.25">
      <c r="A16" s="16">
        <v>3</v>
      </c>
      <c r="B16" s="11" t="s">
        <v>7</v>
      </c>
      <c r="C16" s="77">
        <f t="shared" ref="C16" si="2">SUM(C17:C19)</f>
        <v>1879.3111833648679</v>
      </c>
    </row>
    <row r="17" spans="1:3" ht="25.5" x14ac:dyDescent="0.2">
      <c r="A17" s="9" t="s">
        <v>15</v>
      </c>
      <c r="B17" s="28" t="s">
        <v>16</v>
      </c>
      <c r="C17" s="7">
        <f>'5251'!C17+'5227'!C17+'5226'!C17+'5225'!C17+'5224'!C17+'5217'!C17+'5216'!C17+'5214'!C17+'5213'!C17+'5211'!C17+'5201'!C17+'165'!C17</f>
        <v>325.40600250724992</v>
      </c>
    </row>
    <row r="18" spans="1:3" x14ac:dyDescent="0.2">
      <c r="A18" s="9" t="s">
        <v>17</v>
      </c>
      <c r="B18" s="28" t="s">
        <v>18</v>
      </c>
      <c r="C18" s="7">
        <f>'5251'!C18+'5227'!C18+'5226'!C18+'5225'!C18+'5224'!C18+'5217'!C18+'5216'!C18+'5214'!C18+'5213'!C18+'5211'!C18+'5201'!C18+'165'!C18</f>
        <v>25.03753</v>
      </c>
    </row>
    <row r="19" spans="1:3" x14ac:dyDescent="0.2">
      <c r="A19" s="9" t="s">
        <v>19</v>
      </c>
      <c r="B19" s="12" t="s">
        <v>3</v>
      </c>
      <c r="C19" s="7">
        <f>'5251'!C19+'5227'!C19+'5226'!C19+'5225'!C19+'5224'!C19+'5217'!C19+'5216'!C19+'5214'!C19+'5213'!C19+'5211'!C19+'5201'!C19+'165'!C19</f>
        <v>1528.8676508576179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7">
        <f>SUM(C22:C29)</f>
        <v>15984.291846768208</v>
      </c>
    </row>
    <row r="22" spans="1:3" x14ac:dyDescent="0.2">
      <c r="A22" s="9"/>
      <c r="B22" s="12" t="s">
        <v>21</v>
      </c>
      <c r="C22" s="7">
        <f>'5251'!C22+'5227'!C22+'5226'!C22+'5225'!C22+'5224'!C22+'5217'!C22+'5216'!C22+'5214'!C22+'5213'!C22+'5211'!C22+'5201'!C22+'165'!C22</f>
        <v>1645.9942021464992</v>
      </c>
    </row>
    <row r="23" spans="1:3" x14ac:dyDescent="0.2">
      <c r="A23" s="9"/>
      <c r="B23" s="12" t="s">
        <v>22</v>
      </c>
      <c r="C23" s="7">
        <f>'5251'!C23+'5227'!C23+'5226'!C23+'5225'!C23+'5224'!C23+'5217'!C23+'5216'!C23+'5214'!C23+'5213'!C23+'5211'!C23+'5201'!C23+'165'!C23</f>
        <v>6667.7983546217101</v>
      </c>
    </row>
    <row r="24" spans="1:3" x14ac:dyDescent="0.2">
      <c r="A24" s="9"/>
      <c r="B24" s="12" t="s">
        <v>23</v>
      </c>
      <c r="C24" s="7">
        <f>'5251'!C24+'5227'!C24+'5226'!C24+'5225'!C24+'5224'!C24+'5217'!C24+'5216'!C24+'5214'!C24+'5213'!C24+'5211'!C24+'5201'!C24+'165'!C24</f>
        <v>0</v>
      </c>
    </row>
    <row r="25" spans="1:3" x14ac:dyDescent="0.2">
      <c r="A25" s="9"/>
      <c r="B25" s="12" t="s">
        <v>10</v>
      </c>
      <c r="C25" s="7">
        <f>'5251'!C25+'5227'!C25+'5226'!C25+'5225'!C25+'5224'!C25+'5217'!C25+'5216'!C25+'5214'!C25+'5213'!C25+'5211'!C25+'5201'!C25+'165'!C25</f>
        <v>0</v>
      </c>
    </row>
    <row r="26" spans="1:3" x14ac:dyDescent="0.2">
      <c r="A26" s="9"/>
      <c r="B26" s="12" t="s">
        <v>6</v>
      </c>
      <c r="C26" s="7">
        <f>'5251'!C26+'5227'!C26+'5226'!C26+'5225'!C26+'5224'!C26+'5217'!C26+'5216'!C26+'5214'!C26+'5213'!C26+'5211'!C26+'5201'!C26+'165'!C26</f>
        <v>0.44974999999999998</v>
      </c>
    </row>
    <row r="27" spans="1:3" x14ac:dyDescent="0.2">
      <c r="A27" s="9"/>
      <c r="B27" s="12" t="s">
        <v>24</v>
      </c>
      <c r="C27" s="7">
        <f>'5251'!C27+'5227'!C27+'5226'!C27+'5225'!C27+'5224'!C27+'5217'!C27+'5216'!C27+'5214'!C27+'5213'!C27+'5211'!C27+'5201'!C27+'165'!C27</f>
        <v>2945.9530600000007</v>
      </c>
    </row>
    <row r="28" spans="1:3" x14ac:dyDescent="0.2">
      <c r="A28" s="9"/>
      <c r="B28" s="12" t="s">
        <v>25</v>
      </c>
      <c r="C28" s="7">
        <f>'5251'!C28+'5227'!C28+'5226'!C28+'5225'!C28+'5224'!C28+'5217'!C28+'5216'!C28+'5214'!C28+'5213'!C28+'5211'!C28+'5201'!C28+'165'!C28</f>
        <v>0</v>
      </c>
    </row>
    <row r="29" spans="1:3" x14ac:dyDescent="0.2">
      <c r="A29" s="9"/>
      <c r="B29" s="12" t="s">
        <v>26</v>
      </c>
      <c r="C29" s="7">
        <f>'5251'!C29+'5227'!C29+'5226'!C29+'5225'!C29+'5224'!C29+'5217'!C29+'5216'!C29+'5214'!C29+'5213'!C29+'5211'!C29+'5201'!C29+'165'!C29+0.2</f>
        <v>4724.0964799999983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7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f>'5251'!C32+'5227'!C32+'5226'!C32+'5225'!C32+'5224'!C32+'5217'!C32+'5216'!C32+'5214'!C32+'5213'!C32+'5211'!C32+'5201'!C32+'165'!C32</f>
        <v>0</v>
      </c>
    </row>
    <row r="33" spans="1:4" x14ac:dyDescent="0.2">
      <c r="A33" s="9" t="s">
        <v>17</v>
      </c>
      <c r="B33" s="12" t="s">
        <v>29</v>
      </c>
      <c r="C33" s="7">
        <f>'5251'!C33+'5227'!C33+'5226'!C33+'5225'!C33+'5224'!C33+'5217'!C33+'5216'!C33+'5214'!C33+'5213'!C33+'5211'!C33+'5201'!C33+'165'!C33</f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79">
        <f>C31+C21+C16+C12+C8-0.4</f>
        <v>22191.848934867081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78">
        <f t="shared" ref="C38" si="4">(C33+C21+C17)/C41</f>
        <v>1.2186726107466244E-3</v>
      </c>
    </row>
    <row r="39" spans="1:4" ht="15" x14ac:dyDescent="0.25">
      <c r="A39" s="9" t="s">
        <v>17</v>
      </c>
      <c r="B39" s="12" t="s">
        <v>100</v>
      </c>
      <c r="C39" s="78">
        <f>C35/C60</f>
        <v>1.6724752342140389E-3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32</v>
      </c>
      <c r="C41" s="79">
        <f>'5251'!C41+'5227'!C41+'5226'!C41+'5225'!C41+'5224'!C41+'5217'!C41+'5216'!C41+'5214'!C41+'5213'!C41+'5211'!C41+'5201'!C41+'165'!C41</f>
        <v>13383166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  <row r="60" spans="3:3" ht="15" x14ac:dyDescent="0.25">
      <c r="C60" s="79">
        <f>'5251'!C60+'5227'!C60+'5226'!C60+'5225'!C60+'5224'!C60+'5217'!C60+'5216'!C60+'5214'!C60+'5213'!C60+'5211'!C60+'5201'!C60+'165'!C60</f>
        <v>13268865.5</v>
      </c>
    </row>
  </sheetData>
  <sheetProtection sheet="1" objects="1" scenarios="1"/>
  <mergeCells count="3">
    <mergeCell ref="A6:A7"/>
    <mergeCell ref="B6:B7"/>
    <mergeCell ref="C6:C7"/>
  </mergeCells>
  <pageMargins left="0.70866141732283461" right="0.70866141732283461" top="0.3543307086614173" bottom="0.3543307086614173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rightToLeft="1" workbookViewId="0">
      <selection activeCell="C13" sqref="C13"/>
    </sheetView>
  </sheetViews>
  <sheetFormatPr defaultRowHeight="14.25" x14ac:dyDescent="0.2"/>
  <cols>
    <col min="1" max="1" width="4.5" customWidth="1"/>
    <col min="2" max="2" width="7.25" customWidth="1"/>
    <col min="3" max="3" width="77.25" customWidth="1"/>
    <col min="4" max="4" width="10.625" customWidth="1"/>
  </cols>
  <sheetData>
    <row r="1" spans="1:4" ht="15" x14ac:dyDescent="0.25">
      <c r="A1" s="27" t="s">
        <v>82</v>
      </c>
      <c r="B1" s="27"/>
    </row>
    <row r="2" spans="1:4" x14ac:dyDescent="0.2">
      <c r="A2" s="30" t="s">
        <v>84</v>
      </c>
      <c r="B2" s="29"/>
      <c r="C2" s="4"/>
      <c r="D2" t="s">
        <v>98</v>
      </c>
    </row>
    <row r="3" spans="1:4" ht="15" x14ac:dyDescent="0.25">
      <c r="A3" s="10" t="s">
        <v>5</v>
      </c>
      <c r="B3" s="30"/>
      <c r="C3" s="31"/>
    </row>
    <row r="4" spans="1:4" ht="16.5" thickBot="1" x14ac:dyDescent="0.3">
      <c r="A4" s="81" t="s">
        <v>99</v>
      </c>
    </row>
    <row r="5" spans="1:4" x14ac:dyDescent="0.2">
      <c r="A5" s="32" t="s">
        <v>33</v>
      </c>
      <c r="B5" s="67"/>
      <c r="C5" s="33"/>
      <c r="D5" s="34" t="s">
        <v>0</v>
      </c>
    </row>
    <row r="6" spans="1:4" x14ac:dyDescent="0.2">
      <c r="A6" s="35" t="s">
        <v>34</v>
      </c>
      <c r="B6" s="68"/>
      <c r="C6" s="46"/>
      <c r="D6" s="36"/>
    </row>
    <row r="7" spans="1:4" x14ac:dyDescent="0.2">
      <c r="A7" s="37"/>
      <c r="B7" s="69">
        <v>1</v>
      </c>
      <c r="C7" s="43" t="s">
        <v>101</v>
      </c>
      <c r="D7" s="39">
        <v>36.795120249994191</v>
      </c>
    </row>
    <row r="8" spans="1:4" x14ac:dyDescent="0.2">
      <c r="A8" s="37"/>
      <c r="B8" s="69">
        <v>2</v>
      </c>
      <c r="C8" s="43" t="s">
        <v>64</v>
      </c>
      <c r="D8" s="39">
        <v>0</v>
      </c>
    </row>
    <row r="9" spans="1:4" x14ac:dyDescent="0.2">
      <c r="A9" s="37"/>
      <c r="B9" s="69">
        <v>3</v>
      </c>
      <c r="C9" s="43" t="s">
        <v>64</v>
      </c>
      <c r="D9" s="39">
        <v>0</v>
      </c>
    </row>
    <row r="10" spans="1:4" x14ac:dyDescent="0.2">
      <c r="A10" s="40" t="s">
        <v>35</v>
      </c>
      <c r="B10" s="70"/>
      <c r="C10" s="38"/>
      <c r="D10" s="36"/>
    </row>
    <row r="11" spans="1:4" x14ac:dyDescent="0.2">
      <c r="A11" s="42"/>
      <c r="B11" s="71">
        <v>1</v>
      </c>
      <c r="C11" s="43" t="s">
        <v>9</v>
      </c>
      <c r="D11" s="39">
        <v>688.1199682117599</v>
      </c>
    </row>
    <row r="12" spans="1:4" x14ac:dyDescent="0.2">
      <c r="A12" s="42"/>
      <c r="B12" s="69">
        <v>2</v>
      </c>
      <c r="C12" s="43" t="s">
        <v>8</v>
      </c>
      <c r="D12" s="39">
        <v>307</v>
      </c>
    </row>
    <row r="13" spans="1:4" x14ac:dyDescent="0.2">
      <c r="A13" s="42"/>
      <c r="B13" s="71">
        <v>3</v>
      </c>
      <c r="C13" s="43" t="s">
        <v>102</v>
      </c>
      <c r="D13" s="39">
        <v>300</v>
      </c>
    </row>
    <row r="14" spans="1:4" x14ac:dyDescent="0.2">
      <c r="A14" s="42"/>
      <c r="B14" s="69">
        <v>4</v>
      </c>
      <c r="C14" s="43" t="s">
        <v>103</v>
      </c>
      <c r="D14" s="39">
        <v>284</v>
      </c>
    </row>
    <row r="15" spans="1:4" x14ac:dyDescent="0.2">
      <c r="A15" s="42"/>
      <c r="B15" s="71">
        <v>5</v>
      </c>
      <c r="C15" s="43" t="s">
        <v>104</v>
      </c>
      <c r="D15" s="39">
        <v>267</v>
      </c>
    </row>
    <row r="16" spans="1:4" x14ac:dyDescent="0.2">
      <c r="A16" s="42"/>
      <c r="B16" s="69">
        <v>6</v>
      </c>
      <c r="C16" s="43" t="s">
        <v>64</v>
      </c>
      <c r="D16" s="39">
        <f>'מגדל השתלמות- נספח 1'!C10-D11-D12-D13-D14-D15</f>
        <v>1305.1505120925212</v>
      </c>
    </row>
    <row r="17" spans="1:5" x14ac:dyDescent="0.2">
      <c r="A17" s="42"/>
      <c r="B17" s="71">
        <v>7</v>
      </c>
      <c r="C17" s="43" t="s">
        <v>64</v>
      </c>
      <c r="D17" s="39">
        <v>0</v>
      </c>
    </row>
    <row r="18" spans="1:5" x14ac:dyDescent="0.2">
      <c r="A18" s="42"/>
      <c r="B18" s="69">
        <v>8</v>
      </c>
      <c r="C18" s="43" t="s">
        <v>64</v>
      </c>
      <c r="D18" s="39">
        <v>0</v>
      </c>
    </row>
    <row r="19" spans="1:5" x14ac:dyDescent="0.2">
      <c r="A19" s="44" t="s">
        <v>37</v>
      </c>
      <c r="B19" s="70"/>
      <c r="C19" s="41"/>
      <c r="D19" s="72">
        <f>SUM(D7:D18)</f>
        <v>3188.0656005542751</v>
      </c>
    </row>
    <row r="20" spans="1:5" x14ac:dyDescent="0.2">
      <c r="A20" s="44"/>
      <c r="B20" s="45"/>
      <c r="C20" s="45"/>
      <c r="D20" s="36"/>
    </row>
    <row r="21" spans="1:5" x14ac:dyDescent="0.2">
      <c r="A21" s="44" t="s">
        <v>38</v>
      </c>
      <c r="B21" s="45"/>
      <c r="C21" s="46"/>
      <c r="D21" s="36"/>
    </row>
    <row r="22" spans="1:5" x14ac:dyDescent="0.2">
      <c r="A22" s="44" t="s">
        <v>34</v>
      </c>
      <c r="B22" s="45"/>
      <c r="C22" s="38"/>
      <c r="D22" s="73"/>
    </row>
    <row r="23" spans="1:5" x14ac:dyDescent="0.2">
      <c r="A23" s="58"/>
      <c r="B23" s="43">
        <v>1</v>
      </c>
      <c r="C23" s="43" t="s">
        <v>36</v>
      </c>
      <c r="D23" s="39">
        <v>0</v>
      </c>
    </row>
    <row r="24" spans="1:5" x14ac:dyDescent="0.2">
      <c r="A24" s="58"/>
      <c r="B24" s="43">
        <v>2</v>
      </c>
      <c r="C24" s="43" t="s">
        <v>64</v>
      </c>
      <c r="D24" s="39">
        <v>0</v>
      </c>
    </row>
    <row r="25" spans="1:5" x14ac:dyDescent="0.2">
      <c r="A25" s="58"/>
      <c r="B25" s="43">
        <v>3</v>
      </c>
      <c r="C25" s="43" t="s">
        <v>64</v>
      </c>
      <c r="D25" s="39">
        <v>0</v>
      </c>
    </row>
    <row r="26" spans="1:5" x14ac:dyDescent="0.2">
      <c r="A26" s="44" t="s">
        <v>35</v>
      </c>
      <c r="B26" s="45"/>
      <c r="C26" s="38"/>
      <c r="D26" s="36"/>
    </row>
    <row r="27" spans="1:5" x14ac:dyDescent="0.2">
      <c r="A27" s="58"/>
      <c r="B27" s="43">
        <v>1</v>
      </c>
      <c r="C27" s="43" t="s">
        <v>8</v>
      </c>
      <c r="D27" s="39">
        <v>298.42418918116374</v>
      </c>
    </row>
    <row r="28" spans="1:5" x14ac:dyDescent="0.2">
      <c r="A28" s="58"/>
      <c r="B28" s="43">
        <v>2</v>
      </c>
      <c r="C28" s="43" t="s">
        <v>73</v>
      </c>
      <c r="D28" s="39">
        <v>273.32809793219769</v>
      </c>
    </row>
    <row r="29" spans="1:5" x14ac:dyDescent="0.2">
      <c r="A29" s="58"/>
      <c r="B29" s="43">
        <v>3</v>
      </c>
      <c r="C29" s="43" t="s">
        <v>9</v>
      </c>
      <c r="D29" s="39">
        <v>263.78364706636785</v>
      </c>
    </row>
    <row r="30" spans="1:5" x14ac:dyDescent="0.2">
      <c r="A30" s="58"/>
      <c r="B30" s="43">
        <v>4</v>
      </c>
      <c r="C30" s="43" t="s">
        <v>72</v>
      </c>
      <c r="D30" s="39">
        <v>203.73</v>
      </c>
      <c r="E30" s="23"/>
    </row>
    <row r="31" spans="1:5" x14ac:dyDescent="0.2">
      <c r="A31" s="58"/>
      <c r="B31" s="43">
        <v>5</v>
      </c>
      <c r="C31" s="43" t="s">
        <v>65</v>
      </c>
      <c r="D31" s="39">
        <v>5.54</v>
      </c>
    </row>
    <row r="32" spans="1:5" x14ac:dyDescent="0.2">
      <c r="A32" s="58"/>
      <c r="B32" s="43">
        <v>6</v>
      </c>
      <c r="C32" s="43" t="s">
        <v>36</v>
      </c>
      <c r="D32" s="39">
        <f>'מגדל השתלמות- נספח 1'!C14-D27-D28-D29-D30-D31</f>
        <v>95.774369999999507</v>
      </c>
    </row>
    <row r="33" spans="1:4" x14ac:dyDescent="0.2">
      <c r="A33" s="58"/>
      <c r="B33" s="43">
        <v>7</v>
      </c>
      <c r="C33" s="43" t="s">
        <v>64</v>
      </c>
      <c r="D33" s="39">
        <v>0</v>
      </c>
    </row>
    <row r="34" spans="1:4" x14ac:dyDescent="0.2">
      <c r="A34" s="58"/>
      <c r="B34" s="43">
        <v>8</v>
      </c>
      <c r="C34" s="43" t="s">
        <v>64</v>
      </c>
      <c r="D34" s="39">
        <v>0</v>
      </c>
    </row>
    <row r="35" spans="1:4" x14ac:dyDescent="0.2">
      <c r="A35" s="44" t="s">
        <v>39</v>
      </c>
      <c r="B35" s="70"/>
      <c r="C35" s="41"/>
      <c r="D35" s="72">
        <f>SUM(D23:D34)</f>
        <v>1140.5803041797287</v>
      </c>
    </row>
    <row r="36" spans="1:4" x14ac:dyDescent="0.2">
      <c r="A36" s="44"/>
      <c r="B36" s="45"/>
      <c r="C36" s="45"/>
      <c r="D36" s="36"/>
    </row>
    <row r="37" spans="1:4" x14ac:dyDescent="0.2">
      <c r="A37" s="44" t="s">
        <v>40</v>
      </c>
      <c r="B37" s="70"/>
      <c r="C37" s="41"/>
      <c r="D37" s="36"/>
    </row>
    <row r="38" spans="1:4" x14ac:dyDescent="0.2">
      <c r="A38" s="42"/>
      <c r="B38" s="71">
        <v>1</v>
      </c>
      <c r="C38" s="47" t="s">
        <v>66</v>
      </c>
      <c r="D38" s="39">
        <v>187.69099999999992</v>
      </c>
    </row>
    <row r="39" spans="1:4" x14ac:dyDescent="0.2">
      <c r="A39" s="42"/>
      <c r="B39" s="71">
        <v>2</v>
      </c>
      <c r="C39" s="47" t="s">
        <v>67</v>
      </c>
      <c r="D39" s="39">
        <v>70.66819000000001</v>
      </c>
    </row>
    <row r="40" spans="1:4" x14ac:dyDescent="0.2">
      <c r="A40" s="42"/>
      <c r="B40" s="71">
        <v>3</v>
      </c>
      <c r="C40" s="47" t="s">
        <v>69</v>
      </c>
      <c r="D40" s="39">
        <v>31.768329999999999</v>
      </c>
    </row>
    <row r="41" spans="1:4" x14ac:dyDescent="0.2">
      <c r="A41" s="42"/>
      <c r="B41" s="71">
        <v>4</v>
      </c>
      <c r="C41" s="47" t="s">
        <v>70</v>
      </c>
      <c r="D41" s="39">
        <v>26.550939999999997</v>
      </c>
    </row>
    <row r="42" spans="1:4" x14ac:dyDescent="0.2">
      <c r="A42" s="42"/>
      <c r="B42" s="71">
        <v>5</v>
      </c>
      <c r="C42" s="47" t="s">
        <v>74</v>
      </c>
      <c r="D42" s="39">
        <v>33.765072507249975</v>
      </c>
    </row>
    <row r="43" spans="1:4" x14ac:dyDescent="0.2">
      <c r="A43" s="42"/>
      <c r="B43" s="71">
        <v>6</v>
      </c>
      <c r="C43" s="47" t="s">
        <v>64</v>
      </c>
      <c r="D43" s="39">
        <v>0</v>
      </c>
    </row>
    <row r="44" spans="1:4" x14ac:dyDescent="0.2">
      <c r="A44" s="42"/>
      <c r="B44" s="71">
        <v>7</v>
      </c>
      <c r="C44" s="47" t="s">
        <v>64</v>
      </c>
      <c r="D44" s="39">
        <v>0</v>
      </c>
    </row>
    <row r="45" spans="1:4" x14ac:dyDescent="0.2">
      <c r="A45" s="42"/>
      <c r="B45" s="69">
        <v>8</v>
      </c>
      <c r="C45" s="47" t="s">
        <v>64</v>
      </c>
      <c r="D45" s="39">
        <v>0</v>
      </c>
    </row>
    <row r="46" spans="1:4" x14ac:dyDescent="0.2">
      <c r="A46" s="44" t="s">
        <v>41</v>
      </c>
      <c r="B46" s="70"/>
      <c r="C46" s="41"/>
      <c r="D46" s="72">
        <f>SUM(D38:D45)</f>
        <v>350.44353250724981</v>
      </c>
    </row>
    <row r="47" spans="1:4" x14ac:dyDescent="0.2">
      <c r="A47" s="44"/>
      <c r="B47" s="45"/>
      <c r="C47" s="45"/>
      <c r="D47" s="36"/>
    </row>
    <row r="48" spans="1:4" x14ac:dyDescent="0.2">
      <c r="A48" s="44" t="s">
        <v>42</v>
      </c>
      <c r="B48" s="70"/>
      <c r="C48" s="41"/>
      <c r="D48" s="36"/>
    </row>
    <row r="49" spans="1:4" x14ac:dyDescent="0.2">
      <c r="A49" s="42"/>
      <c r="B49" s="71">
        <v>1</v>
      </c>
      <c r="C49" s="47" t="s">
        <v>75</v>
      </c>
      <c r="D49" s="39">
        <v>536.3323192623526</v>
      </c>
    </row>
    <row r="50" spans="1:4" x14ac:dyDescent="0.2">
      <c r="A50" s="42"/>
      <c r="B50" s="71">
        <v>2</v>
      </c>
      <c r="C50" s="47" t="s">
        <v>76</v>
      </c>
      <c r="D50" s="39">
        <v>283.46875359449245</v>
      </c>
    </row>
    <row r="51" spans="1:4" x14ac:dyDescent="0.2">
      <c r="A51" s="42"/>
      <c r="B51" s="71">
        <v>3</v>
      </c>
      <c r="C51" s="47" t="s">
        <v>77</v>
      </c>
      <c r="D51" s="39">
        <v>272.36146929243159</v>
      </c>
    </row>
    <row r="52" spans="1:4" x14ac:dyDescent="0.2">
      <c r="A52" s="42"/>
      <c r="B52" s="71">
        <v>4</v>
      </c>
      <c r="C52" s="47" t="s">
        <v>80</v>
      </c>
      <c r="D52" s="39">
        <v>196.66030028309461</v>
      </c>
    </row>
    <row r="53" spans="1:4" x14ac:dyDescent="0.2">
      <c r="A53" s="42"/>
      <c r="B53" s="71">
        <v>5</v>
      </c>
      <c r="C53" s="47" t="s">
        <v>81</v>
      </c>
      <c r="D53" s="39">
        <v>151.68</v>
      </c>
    </row>
    <row r="54" spans="1:4" x14ac:dyDescent="0.2">
      <c r="A54" s="42"/>
      <c r="B54" s="71">
        <v>6</v>
      </c>
      <c r="C54" s="47" t="s">
        <v>105</v>
      </c>
      <c r="D54" s="39">
        <v>88.364808425247304</v>
      </c>
    </row>
    <row r="55" spans="1:4" x14ac:dyDescent="0.2">
      <c r="A55" s="42"/>
      <c r="B55" s="71">
        <v>7</v>
      </c>
      <c r="C55" s="47" t="s">
        <v>64</v>
      </c>
      <c r="D55" s="39">
        <v>0</v>
      </c>
    </row>
    <row r="56" spans="1:4" x14ac:dyDescent="0.2">
      <c r="A56" s="42"/>
      <c r="B56" s="71">
        <v>8</v>
      </c>
      <c r="C56" s="47" t="s">
        <v>64</v>
      </c>
      <c r="D56" s="39">
        <v>0</v>
      </c>
    </row>
    <row r="57" spans="1:4" x14ac:dyDescent="0.2">
      <c r="A57" s="44" t="s">
        <v>3</v>
      </c>
      <c r="B57" s="45"/>
      <c r="C57" s="45"/>
      <c r="D57" s="72">
        <f>SUM(D49:D56)</f>
        <v>1528.8676508576186</v>
      </c>
    </row>
    <row r="58" spans="1:4" x14ac:dyDescent="0.2">
      <c r="A58" s="44"/>
      <c r="B58" s="45"/>
      <c r="C58" s="45"/>
      <c r="D58" s="36"/>
    </row>
    <row r="59" spans="1:4" x14ac:dyDescent="0.2">
      <c r="A59" s="44" t="s">
        <v>43</v>
      </c>
      <c r="B59" s="45"/>
      <c r="C59" s="45"/>
      <c r="D59" s="36"/>
    </row>
    <row r="60" spans="1:4" x14ac:dyDescent="0.2">
      <c r="A60" s="42"/>
      <c r="B60" s="71">
        <v>1</v>
      </c>
      <c r="C60" s="47" t="s">
        <v>36</v>
      </c>
      <c r="D60" s="39"/>
    </row>
    <row r="61" spans="1:4" x14ac:dyDescent="0.2">
      <c r="A61" s="42"/>
      <c r="B61" s="71"/>
      <c r="C61" s="45" t="s">
        <v>44</v>
      </c>
      <c r="D61" s="72"/>
    </row>
    <row r="62" spans="1:4" x14ac:dyDescent="0.2">
      <c r="A62" s="44"/>
      <c r="B62" s="45"/>
      <c r="C62" s="47"/>
      <c r="D62" s="36"/>
    </row>
    <row r="63" spans="1:4" x14ac:dyDescent="0.2">
      <c r="A63" s="44" t="s">
        <v>45</v>
      </c>
      <c r="B63" s="45"/>
      <c r="C63" s="45"/>
      <c r="D63" s="36"/>
    </row>
    <row r="64" spans="1:4" x14ac:dyDescent="0.2">
      <c r="A64" s="42"/>
      <c r="B64" s="71">
        <v>1</v>
      </c>
      <c r="C64" s="47" t="s">
        <v>46</v>
      </c>
      <c r="D64" s="39"/>
    </row>
    <row r="65" spans="1:4" x14ac:dyDescent="0.2">
      <c r="A65" s="42"/>
      <c r="B65" s="71"/>
      <c r="C65" s="45" t="s">
        <v>29</v>
      </c>
      <c r="D65" s="72"/>
    </row>
    <row r="66" spans="1:4" x14ac:dyDescent="0.2">
      <c r="A66" s="42"/>
      <c r="B66" s="71"/>
      <c r="C66" s="45"/>
      <c r="D66" s="36"/>
    </row>
    <row r="67" spans="1:4" x14ac:dyDescent="0.2">
      <c r="A67" s="44"/>
      <c r="B67" s="45"/>
      <c r="C67" s="45" t="s">
        <v>47</v>
      </c>
      <c r="D67" s="72">
        <f>D57+D61+D65+D46+D35+D19</f>
        <v>6207.9570880988722</v>
      </c>
    </row>
    <row r="68" spans="1:4" x14ac:dyDescent="0.2">
      <c r="A68" s="44"/>
      <c r="B68" s="45"/>
      <c r="C68" s="45"/>
      <c r="D68" s="36"/>
    </row>
    <row r="69" spans="1:4" ht="15" thickBot="1" x14ac:dyDescent="0.25">
      <c r="A69" s="48"/>
      <c r="B69" s="49"/>
      <c r="C69" s="49" t="s">
        <v>63</v>
      </c>
      <c r="D69" s="72">
        <f>'מגדל השתלמות- נספח 1'!C41</f>
        <v>13383166</v>
      </c>
    </row>
  </sheetData>
  <sheetProtection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rightToLeft="1" workbookViewId="0">
      <selection activeCell="E53" sqref="E53"/>
    </sheetView>
  </sheetViews>
  <sheetFormatPr defaultRowHeight="14.25" x14ac:dyDescent="0.2"/>
  <cols>
    <col min="1" max="1" width="4.5" customWidth="1"/>
    <col min="2" max="2" width="76" customWidth="1"/>
    <col min="3" max="3" width="10.875" bestFit="1" customWidth="1"/>
    <col min="5" max="5" width="9.875" bestFit="1" customWidth="1"/>
  </cols>
  <sheetData>
    <row r="1" spans="1:6" ht="15" x14ac:dyDescent="0.25">
      <c r="A1" s="27" t="s">
        <v>82</v>
      </c>
      <c r="B1" s="29"/>
    </row>
    <row r="2" spans="1:6" x14ac:dyDescent="0.2">
      <c r="A2" s="30" t="s">
        <v>83</v>
      </c>
      <c r="B2" s="29"/>
      <c r="C2" s="4" t="s">
        <v>98</v>
      </c>
    </row>
    <row r="3" spans="1:6" x14ac:dyDescent="0.2">
      <c r="A3" s="30"/>
      <c r="B3" s="29"/>
      <c r="C3" s="4"/>
    </row>
    <row r="4" spans="1:6" ht="15" x14ac:dyDescent="0.25">
      <c r="A4" s="10" t="s">
        <v>5</v>
      </c>
      <c r="B4" s="6"/>
      <c r="C4" s="29"/>
    </row>
    <row r="5" spans="1:6" ht="16.5" thickBot="1" x14ac:dyDescent="0.3">
      <c r="A5" s="81" t="s">
        <v>99</v>
      </c>
    </row>
    <row r="6" spans="1:6" x14ac:dyDescent="0.2">
      <c r="A6" s="50"/>
      <c r="B6" s="74"/>
      <c r="C6" s="51" t="s">
        <v>0</v>
      </c>
    </row>
    <row r="7" spans="1:6" x14ac:dyDescent="0.2">
      <c r="A7" s="44" t="s">
        <v>48</v>
      </c>
      <c r="B7" s="38"/>
      <c r="C7" s="52"/>
    </row>
    <row r="8" spans="1:6" x14ac:dyDescent="0.2">
      <c r="A8" s="42">
        <v>1</v>
      </c>
      <c r="B8" s="53" t="s">
        <v>78</v>
      </c>
      <c r="C8" s="54">
        <v>822.95047822681272</v>
      </c>
      <c r="F8" s="21"/>
    </row>
    <row r="9" spans="1:6" x14ac:dyDescent="0.2">
      <c r="A9" s="42">
        <v>2</v>
      </c>
      <c r="B9" s="53" t="s">
        <v>114</v>
      </c>
      <c r="C9" s="54">
        <v>514.60851785121179</v>
      </c>
    </row>
    <row r="10" spans="1:6" x14ac:dyDescent="0.2">
      <c r="A10" s="42">
        <v>3</v>
      </c>
      <c r="B10" s="53" t="s">
        <v>112</v>
      </c>
      <c r="C10" s="54">
        <v>368.15479600000003</v>
      </c>
    </row>
    <row r="11" spans="1:6" x14ac:dyDescent="0.2">
      <c r="A11" s="42">
        <v>4</v>
      </c>
      <c r="B11" s="53" t="s">
        <v>115</v>
      </c>
      <c r="C11" s="54">
        <v>365.43</v>
      </c>
    </row>
    <row r="12" spans="1:6" x14ac:dyDescent="0.2">
      <c r="A12" s="42">
        <v>5</v>
      </c>
      <c r="B12" s="53" t="s">
        <v>116</v>
      </c>
      <c r="C12" s="54">
        <v>362.10374999999999</v>
      </c>
    </row>
    <row r="13" spans="1:6" x14ac:dyDescent="0.2">
      <c r="A13" s="42">
        <v>6</v>
      </c>
      <c r="B13" s="53" t="s">
        <v>113</v>
      </c>
      <c r="C13" s="54">
        <v>336.91500000000002</v>
      </c>
    </row>
    <row r="14" spans="1:6" x14ac:dyDescent="0.2">
      <c r="A14" s="42">
        <v>7</v>
      </c>
      <c r="B14" s="53" t="s">
        <v>117</v>
      </c>
      <c r="C14" s="54">
        <v>333.52062109999997</v>
      </c>
    </row>
    <row r="15" spans="1:6" x14ac:dyDescent="0.2">
      <c r="A15" s="42">
        <v>8</v>
      </c>
      <c r="B15" s="53" t="s">
        <v>36</v>
      </c>
      <c r="C15" s="54">
        <f>'מגדל השתלמות- נספח 1'!C22+'מגדל השתלמות- נספח 1'!C23-C8-C9-C10-C11-C12-C13-C14</f>
        <v>5210.1093935901845</v>
      </c>
    </row>
    <row r="16" spans="1:6" x14ac:dyDescent="0.2">
      <c r="A16" s="35" t="s">
        <v>49</v>
      </c>
      <c r="B16" s="53"/>
      <c r="C16" s="75">
        <f>SUM(C8:C15)</f>
        <v>8313.7925567682087</v>
      </c>
    </row>
    <row r="17" spans="1:6" x14ac:dyDescent="0.2">
      <c r="A17" s="55"/>
      <c r="B17" s="56"/>
      <c r="C17" s="57"/>
    </row>
    <row r="18" spans="1:6" x14ac:dyDescent="0.2">
      <c r="A18" s="35" t="s">
        <v>50</v>
      </c>
      <c r="B18" s="53"/>
      <c r="C18" s="57"/>
    </row>
    <row r="19" spans="1:6" x14ac:dyDescent="0.2">
      <c r="A19" s="42">
        <v>1</v>
      </c>
      <c r="B19" s="53" t="s">
        <v>36</v>
      </c>
      <c r="C19" s="54"/>
    </row>
    <row r="20" spans="1:6" x14ac:dyDescent="0.2">
      <c r="A20" s="44" t="s">
        <v>51</v>
      </c>
      <c r="B20" s="38"/>
      <c r="C20" s="75"/>
    </row>
    <row r="21" spans="1:6" x14ac:dyDescent="0.2">
      <c r="A21" s="58"/>
      <c r="B21" s="59"/>
      <c r="C21" s="57"/>
    </row>
    <row r="22" spans="1:6" x14ac:dyDescent="0.2">
      <c r="A22" s="40" t="s">
        <v>52</v>
      </c>
      <c r="B22" s="60"/>
      <c r="C22" s="57"/>
    </row>
    <row r="23" spans="1:6" x14ac:dyDescent="0.2">
      <c r="A23" s="42">
        <v>1</v>
      </c>
      <c r="B23" s="53" t="s">
        <v>36</v>
      </c>
      <c r="C23" s="54"/>
    </row>
    <row r="24" spans="1:6" x14ac:dyDescent="0.2">
      <c r="A24" s="35" t="s">
        <v>10</v>
      </c>
      <c r="B24" s="53"/>
      <c r="C24" s="75"/>
      <c r="F24" s="21"/>
    </row>
    <row r="25" spans="1:6" x14ac:dyDescent="0.2">
      <c r="A25" s="55"/>
      <c r="B25" s="53"/>
      <c r="C25" s="57"/>
    </row>
    <row r="26" spans="1:6" x14ac:dyDescent="0.2">
      <c r="A26" s="35" t="s">
        <v>53</v>
      </c>
      <c r="B26" s="53"/>
      <c r="C26" s="57"/>
    </row>
    <row r="27" spans="1:6" x14ac:dyDescent="0.2">
      <c r="A27" s="35" t="s">
        <v>54</v>
      </c>
      <c r="B27" s="56" t="s">
        <v>55</v>
      </c>
      <c r="C27" s="57"/>
    </row>
    <row r="28" spans="1:6" x14ac:dyDescent="0.2">
      <c r="A28" s="42">
        <v>1</v>
      </c>
      <c r="B28" s="53"/>
      <c r="C28" s="54"/>
    </row>
    <row r="29" spans="1:6" x14ac:dyDescent="0.2">
      <c r="A29" s="42">
        <v>2</v>
      </c>
      <c r="B29" s="53"/>
      <c r="C29" s="54"/>
    </row>
    <row r="30" spans="1:6" x14ac:dyDescent="0.2">
      <c r="A30" s="44" t="s">
        <v>56</v>
      </c>
      <c r="B30" s="62" t="s">
        <v>57</v>
      </c>
      <c r="C30" s="57"/>
    </row>
    <row r="31" spans="1:6" x14ac:dyDescent="0.2">
      <c r="A31" s="61">
        <v>1</v>
      </c>
      <c r="B31" s="60" t="s">
        <v>79</v>
      </c>
      <c r="C31" s="54">
        <v>854.83267999999998</v>
      </c>
    </row>
    <row r="32" spans="1:6" x14ac:dyDescent="0.2">
      <c r="A32" s="61">
        <v>2</v>
      </c>
      <c r="B32" s="60" t="s">
        <v>71</v>
      </c>
      <c r="C32" s="54">
        <v>424.52134999999987</v>
      </c>
    </row>
    <row r="33" spans="1:3" x14ac:dyDescent="0.2">
      <c r="A33" s="61">
        <v>3</v>
      </c>
      <c r="B33" s="60" t="s">
        <v>106</v>
      </c>
      <c r="C33" s="54">
        <v>424.85166000000009</v>
      </c>
    </row>
    <row r="34" spans="1:3" x14ac:dyDescent="0.2">
      <c r="A34" s="61">
        <v>4</v>
      </c>
      <c r="B34" s="60" t="s">
        <v>108</v>
      </c>
      <c r="C34" s="54">
        <v>366.33057000000008</v>
      </c>
    </row>
    <row r="35" spans="1:3" x14ac:dyDescent="0.2">
      <c r="A35" s="61">
        <v>5</v>
      </c>
      <c r="B35" s="60" t="s">
        <v>107</v>
      </c>
      <c r="C35" s="54">
        <v>356.41424999999998</v>
      </c>
    </row>
    <row r="36" spans="1:3" x14ac:dyDescent="0.2">
      <c r="A36" s="61">
        <v>6</v>
      </c>
      <c r="B36" s="60" t="s">
        <v>36</v>
      </c>
      <c r="C36" s="54">
        <f>'מגדל השתלמות- נספח 1'!C29-C31-C32-C33-C34-C35</f>
        <v>2297.1459699999982</v>
      </c>
    </row>
    <row r="37" spans="1:3" x14ac:dyDescent="0.2">
      <c r="A37" s="40" t="s">
        <v>68</v>
      </c>
      <c r="B37" s="59"/>
      <c r="C37" s="75">
        <f>SUM(C31:C36)</f>
        <v>4724.0964799999983</v>
      </c>
    </row>
    <row r="38" spans="1:3" x14ac:dyDescent="0.2">
      <c r="A38" s="40"/>
      <c r="B38" s="60"/>
      <c r="C38" s="57"/>
    </row>
    <row r="39" spans="1:3" x14ac:dyDescent="0.2">
      <c r="A39" s="35" t="s">
        <v>58</v>
      </c>
      <c r="B39" s="53"/>
      <c r="C39" s="57"/>
    </row>
    <row r="40" spans="1:3" x14ac:dyDescent="0.2">
      <c r="A40" s="35" t="s">
        <v>54</v>
      </c>
      <c r="B40" s="56" t="s">
        <v>59</v>
      </c>
      <c r="C40" s="57"/>
    </row>
    <row r="41" spans="1:3" x14ac:dyDescent="0.2">
      <c r="A41" s="42">
        <v>1</v>
      </c>
      <c r="B41" s="38" t="s">
        <v>36</v>
      </c>
      <c r="C41" s="54">
        <v>0.44974999999999998</v>
      </c>
    </row>
    <row r="42" spans="1:3" x14ac:dyDescent="0.2">
      <c r="A42" s="42">
        <v>2</v>
      </c>
      <c r="B42" s="38" t="s">
        <v>64</v>
      </c>
      <c r="C42" s="54">
        <v>0</v>
      </c>
    </row>
    <row r="43" spans="1:3" x14ac:dyDescent="0.2">
      <c r="A43" s="42">
        <v>3</v>
      </c>
      <c r="B43" s="38" t="s">
        <v>64</v>
      </c>
      <c r="C43" s="54">
        <v>0</v>
      </c>
    </row>
    <row r="44" spans="1:3" x14ac:dyDescent="0.2">
      <c r="A44" s="42">
        <v>4</v>
      </c>
      <c r="B44" s="38" t="s">
        <v>64</v>
      </c>
      <c r="C44" s="54">
        <v>0</v>
      </c>
    </row>
    <row r="45" spans="1:3" x14ac:dyDescent="0.2">
      <c r="A45" s="42">
        <v>5</v>
      </c>
      <c r="B45" s="38" t="s">
        <v>64</v>
      </c>
      <c r="C45" s="54">
        <v>0</v>
      </c>
    </row>
    <row r="46" spans="1:3" x14ac:dyDescent="0.2">
      <c r="A46" s="42">
        <v>6</v>
      </c>
      <c r="B46" s="38" t="s">
        <v>64</v>
      </c>
      <c r="C46" s="54">
        <v>0</v>
      </c>
    </row>
    <row r="47" spans="1:3" x14ac:dyDescent="0.2">
      <c r="A47" s="42">
        <v>7</v>
      </c>
      <c r="B47" s="38" t="s">
        <v>64</v>
      </c>
      <c r="C47" s="54">
        <v>0</v>
      </c>
    </row>
    <row r="48" spans="1:3" x14ac:dyDescent="0.2">
      <c r="A48" s="42">
        <v>8</v>
      </c>
      <c r="B48" s="38" t="s">
        <v>64</v>
      </c>
      <c r="C48" s="54">
        <v>0</v>
      </c>
    </row>
    <row r="49" spans="1:5" x14ac:dyDescent="0.2">
      <c r="A49" s="44" t="s">
        <v>56</v>
      </c>
      <c r="B49" s="56" t="s">
        <v>60</v>
      </c>
      <c r="C49" s="57"/>
    </row>
    <row r="50" spans="1:5" x14ac:dyDescent="0.2">
      <c r="A50" s="61">
        <v>1</v>
      </c>
      <c r="B50" s="38" t="s">
        <v>109</v>
      </c>
      <c r="C50" s="54">
        <v>1106.18931</v>
      </c>
      <c r="E50" s="21"/>
    </row>
    <row r="51" spans="1:5" x14ac:dyDescent="0.2">
      <c r="A51" s="61">
        <v>2</v>
      </c>
      <c r="B51" s="38" t="s">
        <v>110</v>
      </c>
      <c r="C51" s="54">
        <v>525.43926999999996</v>
      </c>
    </row>
    <row r="52" spans="1:5" x14ac:dyDescent="0.2">
      <c r="A52" s="61">
        <v>3</v>
      </c>
      <c r="B52" s="38" t="s">
        <v>111</v>
      </c>
      <c r="C52" s="54">
        <v>355.15543999999994</v>
      </c>
      <c r="E52" s="21"/>
    </row>
    <row r="53" spans="1:5" x14ac:dyDescent="0.2">
      <c r="A53" s="61">
        <v>4</v>
      </c>
      <c r="B53" s="38" t="s">
        <v>119</v>
      </c>
      <c r="C53" s="54">
        <v>203.98244</v>
      </c>
      <c r="E53" s="76"/>
    </row>
    <row r="54" spans="1:5" x14ac:dyDescent="0.2">
      <c r="A54" s="61">
        <v>5</v>
      </c>
      <c r="B54" s="38" t="s">
        <v>118</v>
      </c>
      <c r="C54" s="54">
        <v>153.69900000000001</v>
      </c>
    </row>
    <row r="55" spans="1:5" x14ac:dyDescent="0.2">
      <c r="A55" s="61">
        <v>6</v>
      </c>
      <c r="B55" s="38" t="s">
        <v>120</v>
      </c>
      <c r="C55" s="54">
        <v>130.0147</v>
      </c>
    </row>
    <row r="56" spans="1:5" x14ac:dyDescent="0.2">
      <c r="A56" s="61">
        <v>7</v>
      </c>
      <c r="B56" s="38" t="s">
        <v>121</v>
      </c>
      <c r="C56" s="54">
        <v>113.91909999999999</v>
      </c>
    </row>
    <row r="57" spans="1:5" x14ac:dyDescent="0.2">
      <c r="A57" s="61">
        <v>8</v>
      </c>
      <c r="B57" s="38" t="s">
        <v>36</v>
      </c>
      <c r="C57" s="54">
        <f>'מגדל השתלמות- נספח 1'!C27-C50-C51-C52-C53-C54-C55-C56</f>
        <v>357.55380000000059</v>
      </c>
    </row>
    <row r="58" spans="1:5" x14ac:dyDescent="0.2">
      <c r="A58" s="44" t="s">
        <v>61</v>
      </c>
      <c r="B58" s="59"/>
      <c r="C58" s="75">
        <f>SUM(C41:C57)</f>
        <v>2946.4028100000005</v>
      </c>
    </row>
    <row r="59" spans="1:5" x14ac:dyDescent="0.2">
      <c r="A59" s="58"/>
      <c r="B59" s="59"/>
      <c r="C59" s="75"/>
    </row>
    <row r="60" spans="1:5" x14ac:dyDescent="0.2">
      <c r="A60" s="40" t="s">
        <v>62</v>
      </c>
      <c r="B60" s="60"/>
      <c r="C60" s="75">
        <f>C58+C37+C24+C20+C16</f>
        <v>15984.291846768207</v>
      </c>
    </row>
    <row r="61" spans="1:5" x14ac:dyDescent="0.2">
      <c r="A61" s="58"/>
      <c r="B61" s="59"/>
      <c r="C61" s="57"/>
    </row>
    <row r="62" spans="1:5" ht="15" thickBot="1" x14ac:dyDescent="0.25">
      <c r="A62" s="63" t="s">
        <v>63</v>
      </c>
      <c r="B62" s="64"/>
      <c r="C62" s="75">
        <f>'מגדל השתלמות- נספח 1'!C41</f>
        <v>13383166</v>
      </c>
    </row>
  </sheetData>
  <sheetProtection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2">
    <tabColor theme="5" tint="0.39997558519241921"/>
  </sheetPr>
  <dimension ref="A1:G60"/>
  <sheetViews>
    <sheetView rightToLeft="1" topLeftCell="A7" workbookViewId="0">
      <selection activeCell="E9" sqref="E9"/>
    </sheetView>
  </sheetViews>
  <sheetFormatPr defaultRowHeight="14.25" x14ac:dyDescent="0.2"/>
  <cols>
    <col min="1" max="1" width="1.75" bestFit="1" customWidth="1"/>
    <col min="2" max="2" width="55.875" bestFit="1" customWidth="1"/>
    <col min="3" max="3" width="10.875" bestFit="1" customWidth="1"/>
  </cols>
  <sheetData>
    <row r="1" spans="1:7" ht="15" x14ac:dyDescent="0.25">
      <c r="B1" s="27" t="s">
        <v>82</v>
      </c>
    </row>
    <row r="2" spans="1:7" x14ac:dyDescent="0.2">
      <c r="B2" s="1" t="s">
        <v>85</v>
      </c>
      <c r="C2" s="4" t="s">
        <v>98</v>
      </c>
    </row>
    <row r="3" spans="1:7" x14ac:dyDescent="0.2">
      <c r="B3" s="3"/>
      <c r="D3" s="5"/>
      <c r="G3" s="20"/>
    </row>
    <row r="4" spans="1:7" ht="15" x14ac:dyDescent="0.25">
      <c r="B4" s="10" t="s">
        <v>5</v>
      </c>
      <c r="C4" s="2"/>
      <c r="G4" s="20"/>
    </row>
    <row r="5" spans="1:7" ht="16.5" thickBot="1" x14ac:dyDescent="0.3">
      <c r="B5" s="81" t="s">
        <v>96</v>
      </c>
      <c r="C5" s="2"/>
    </row>
    <row r="6" spans="1:7" ht="14.25" customHeight="1" x14ac:dyDescent="0.2">
      <c r="A6" s="87"/>
      <c r="B6" s="83"/>
      <c r="C6" s="85" t="s">
        <v>0</v>
      </c>
    </row>
    <row r="7" spans="1:7" x14ac:dyDescent="0.2">
      <c r="A7" s="88"/>
      <c r="B7" s="84"/>
      <c r="C7" s="86"/>
    </row>
    <row r="8" spans="1:7" ht="15" x14ac:dyDescent="0.25">
      <c r="A8" s="16">
        <v>1</v>
      </c>
      <c r="B8" s="11" t="s">
        <v>11</v>
      </c>
      <c r="C8" s="77">
        <f t="shared" ref="C8" si="0">SUM(C9:C10)</f>
        <v>60.868098619021602</v>
      </c>
    </row>
    <row r="9" spans="1:7" x14ac:dyDescent="0.2">
      <c r="A9" s="9"/>
      <c r="B9" s="12" t="s">
        <v>12</v>
      </c>
      <c r="C9" s="7">
        <v>1.78909336837458</v>
      </c>
    </row>
    <row r="10" spans="1:7" x14ac:dyDescent="0.2">
      <c r="A10" s="9"/>
      <c r="B10" s="12" t="s">
        <v>13</v>
      </c>
      <c r="C10" s="7">
        <v>59.079005250647022</v>
      </c>
    </row>
    <row r="11" spans="1:7" x14ac:dyDescent="0.2">
      <c r="A11" s="9"/>
      <c r="B11" s="12"/>
      <c r="C11" s="8">
        <v>0</v>
      </c>
    </row>
    <row r="12" spans="1:7" ht="15" x14ac:dyDescent="0.25">
      <c r="A12" s="16">
        <v>2</v>
      </c>
      <c r="B12" s="11" t="s">
        <v>14</v>
      </c>
      <c r="C12" s="77">
        <f t="shared" ref="C12" si="1">SUM(C13:C14)</f>
        <v>38.937101787899195</v>
      </c>
    </row>
    <row r="13" spans="1:7" x14ac:dyDescent="0.2">
      <c r="A13" s="9"/>
      <c r="B13" s="13" t="s">
        <v>1</v>
      </c>
      <c r="C13" s="7">
        <v>0</v>
      </c>
    </row>
    <row r="14" spans="1:7" x14ac:dyDescent="0.2">
      <c r="A14" s="9"/>
      <c r="B14" s="13" t="s">
        <v>2</v>
      </c>
      <c r="C14" s="7">
        <f>33.1251917878992+5.41191+0.4</f>
        <v>38.937101787899195</v>
      </c>
    </row>
    <row r="15" spans="1:7" x14ac:dyDescent="0.2">
      <c r="A15" s="25"/>
      <c r="B15" s="26"/>
      <c r="C15" s="8">
        <v>0</v>
      </c>
    </row>
    <row r="16" spans="1:7" ht="15" x14ac:dyDescent="0.25">
      <c r="A16" s="16">
        <v>3</v>
      </c>
      <c r="B16" s="11" t="s">
        <v>7</v>
      </c>
      <c r="C16" s="77">
        <f t="shared" ref="C16" si="2">SUM(C17:C19)</f>
        <v>3.8738200000000003</v>
      </c>
    </row>
    <row r="17" spans="1:3" ht="25.5" x14ac:dyDescent="0.2">
      <c r="A17" s="9" t="s">
        <v>15</v>
      </c>
      <c r="B17" s="28" t="s">
        <v>16</v>
      </c>
      <c r="C17" s="7">
        <v>3.8738200000000003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7">
        <f>SUM(C22:C29)</f>
        <v>124.41083000000002</v>
      </c>
    </row>
    <row r="22" spans="1:3" x14ac:dyDescent="0.2">
      <c r="A22" s="9"/>
      <c r="B22" s="12" t="s">
        <v>21</v>
      </c>
      <c r="C22" s="7"/>
    </row>
    <row r="23" spans="1:3" x14ac:dyDescent="0.2">
      <c r="A23" s="9"/>
      <c r="B23" s="12" t="s">
        <v>22</v>
      </c>
      <c r="C23" s="7"/>
    </row>
    <row r="24" spans="1:3" x14ac:dyDescent="0.2">
      <c r="A24" s="9"/>
      <c r="B24" s="12" t="s">
        <v>23</v>
      </c>
      <c r="C24" s="7"/>
    </row>
    <row r="25" spans="1:3" x14ac:dyDescent="0.2">
      <c r="A25" s="9"/>
      <c r="B25" s="12" t="s">
        <v>10</v>
      </c>
      <c r="C25" s="7"/>
    </row>
    <row r="26" spans="1:3" x14ac:dyDescent="0.2">
      <c r="A26" s="9"/>
      <c r="B26" s="12" t="s">
        <v>6</v>
      </c>
      <c r="C26" s="7"/>
    </row>
    <row r="27" spans="1:3" x14ac:dyDescent="0.2">
      <c r="A27" s="9"/>
      <c r="B27" s="12" t="s">
        <v>24</v>
      </c>
      <c r="C27" s="7">
        <v>85.904490000000024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38.506339999999994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7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79">
        <f>C31+C21+C16+C12+C8</f>
        <v>228.08985040692082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78">
        <f t="shared" ref="C38" si="4">(C33+C21+C17)/C41</f>
        <v>4.3701570787642194E-4</v>
      </c>
    </row>
    <row r="39" spans="1:4" ht="15" x14ac:dyDescent="0.25">
      <c r="A39" s="9" t="s">
        <v>17</v>
      </c>
      <c r="B39" s="12" t="s">
        <v>100</v>
      </c>
      <c r="C39" s="78">
        <f>C35/C60</f>
        <v>7.9655746978524406E-4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32</v>
      </c>
      <c r="C41" s="80">
        <v>293547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  <row r="59" spans="3:3" ht="15" x14ac:dyDescent="0.25">
      <c r="C59" s="78"/>
    </row>
    <row r="60" spans="3:3" ht="15.75" thickBot="1" x14ac:dyDescent="0.3">
      <c r="C60" s="80">
        <v>286344.5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theme="5" tint="0.39997558519241921"/>
    <pageSetUpPr fitToPage="1"/>
  </sheetPr>
  <dimension ref="A1:E60"/>
  <sheetViews>
    <sheetView rightToLeft="1" topLeftCell="A19" zoomScaleNormal="100" workbookViewId="0">
      <selection activeCell="E9" sqref="E9"/>
    </sheetView>
  </sheetViews>
  <sheetFormatPr defaultRowHeight="14.25" x14ac:dyDescent="0.2"/>
  <cols>
    <col min="1" max="1" width="1.875" bestFit="1" customWidth="1"/>
    <col min="2" max="2" width="59.75" bestFit="1" customWidth="1"/>
    <col min="3" max="3" width="10.875" bestFit="1" customWidth="1"/>
  </cols>
  <sheetData>
    <row r="1" spans="1:5" ht="15" x14ac:dyDescent="0.25">
      <c r="B1" s="27" t="s">
        <v>82</v>
      </c>
    </row>
    <row r="2" spans="1:5" x14ac:dyDescent="0.2">
      <c r="B2" s="1" t="s">
        <v>85</v>
      </c>
      <c r="C2" s="4" t="s">
        <v>98</v>
      </c>
    </row>
    <row r="3" spans="1:5" x14ac:dyDescent="0.2">
      <c r="B3" s="3"/>
      <c r="D3" s="5"/>
    </row>
    <row r="4" spans="1:5" ht="15" x14ac:dyDescent="0.25">
      <c r="B4" s="10" t="s">
        <v>5</v>
      </c>
      <c r="C4" s="2"/>
      <c r="D4" s="5"/>
      <c r="E4" s="5"/>
    </row>
    <row r="5" spans="1:5" ht="16.5" thickBot="1" x14ac:dyDescent="0.3">
      <c r="B5" s="81" t="s">
        <v>95</v>
      </c>
      <c r="C5" s="2"/>
    </row>
    <row r="6" spans="1:5" ht="14.25" customHeight="1" x14ac:dyDescent="0.2">
      <c r="A6" s="87"/>
      <c r="B6" s="83"/>
      <c r="C6" s="85" t="s">
        <v>0</v>
      </c>
    </row>
    <row r="7" spans="1:5" x14ac:dyDescent="0.2">
      <c r="A7" s="88"/>
      <c r="B7" s="84"/>
      <c r="C7" s="86"/>
    </row>
    <row r="8" spans="1:5" ht="15" x14ac:dyDescent="0.25">
      <c r="A8" s="16">
        <v>1</v>
      </c>
      <c r="B8" s="11" t="s">
        <v>11</v>
      </c>
      <c r="C8" s="77">
        <f t="shared" ref="C8" si="0">SUM(C9:C10)</f>
        <v>134.29667529177158</v>
      </c>
    </row>
    <row r="9" spans="1:5" x14ac:dyDescent="0.2">
      <c r="A9" s="9"/>
      <c r="B9" s="12" t="s">
        <v>12</v>
      </c>
      <c r="C9" s="7">
        <v>0</v>
      </c>
    </row>
    <row r="10" spans="1:5" x14ac:dyDescent="0.2">
      <c r="A10" s="9"/>
      <c r="B10" s="12" t="s">
        <v>13</v>
      </c>
      <c r="C10" s="7">
        <v>134.29667529177158</v>
      </c>
    </row>
    <row r="11" spans="1:5" x14ac:dyDescent="0.2">
      <c r="A11" s="9"/>
      <c r="B11" s="12"/>
      <c r="C11" s="8">
        <v>0</v>
      </c>
    </row>
    <row r="12" spans="1:5" ht="15" x14ac:dyDescent="0.25">
      <c r="A12" s="16">
        <v>2</v>
      </c>
      <c r="B12" s="11" t="s">
        <v>14</v>
      </c>
      <c r="C12" s="77">
        <f t="shared" ref="C12" si="1">SUM(C13:C14)</f>
        <v>42.911440835716498</v>
      </c>
    </row>
    <row r="13" spans="1:5" x14ac:dyDescent="0.2">
      <c r="A13" s="9"/>
      <c r="B13" s="13" t="s">
        <v>1</v>
      </c>
      <c r="C13" s="7">
        <v>0</v>
      </c>
    </row>
    <row r="14" spans="1:5" x14ac:dyDescent="0.2">
      <c r="A14" s="9"/>
      <c r="B14" s="13" t="s">
        <v>2</v>
      </c>
      <c r="C14" s="7">
        <f>37.0643508357165+5.54709+0.3</f>
        <v>42.911440835716498</v>
      </c>
    </row>
    <row r="15" spans="1:5" x14ac:dyDescent="0.2">
      <c r="A15" s="25"/>
      <c r="B15" s="26"/>
      <c r="C15" s="8">
        <v>0</v>
      </c>
    </row>
    <row r="16" spans="1:5" ht="15" x14ac:dyDescent="0.25">
      <c r="A16" s="16">
        <v>3</v>
      </c>
      <c r="B16" s="11" t="s">
        <v>7</v>
      </c>
      <c r="C16" s="77">
        <f t="shared" ref="C16" si="2">SUM(C17:C19)</f>
        <v>0</v>
      </c>
    </row>
    <row r="17" spans="1:3" ht="25.5" x14ac:dyDescent="0.2">
      <c r="A17" s="9" t="s">
        <v>15</v>
      </c>
      <c r="B17" s="28" t="s">
        <v>16</v>
      </c>
      <c r="C17" s="7"/>
    </row>
    <row r="18" spans="1:3" x14ac:dyDescent="0.2">
      <c r="A18" s="9" t="s">
        <v>17</v>
      </c>
      <c r="B18" s="28" t="s">
        <v>18</v>
      </c>
      <c r="C18" s="7"/>
    </row>
    <row r="19" spans="1:3" x14ac:dyDescent="0.2">
      <c r="A19" s="9" t="s">
        <v>19</v>
      </c>
      <c r="B19" s="12" t="s">
        <v>3</v>
      </c>
      <c r="C19" s="7"/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7">
        <f>SUM(C22:C29)</f>
        <v>194.10009600000006</v>
      </c>
    </row>
    <row r="22" spans="1:3" x14ac:dyDescent="0.2">
      <c r="A22" s="9"/>
      <c r="B22" s="12" t="s">
        <v>21</v>
      </c>
      <c r="C22" s="7">
        <v>3.0340060000000002</v>
      </c>
    </row>
    <row r="23" spans="1:3" x14ac:dyDescent="0.2">
      <c r="A23" s="9"/>
      <c r="B23" s="12" t="s">
        <v>22</v>
      </c>
      <c r="C23" s="7">
        <v>0</v>
      </c>
    </row>
    <row r="24" spans="1:3" x14ac:dyDescent="0.2">
      <c r="A24" s="9"/>
      <c r="B24" s="12" t="s">
        <v>23</v>
      </c>
      <c r="C24" s="7"/>
    </row>
    <row r="25" spans="1:3" x14ac:dyDescent="0.2">
      <c r="A25" s="9"/>
      <c r="B25" s="12" t="s">
        <v>10</v>
      </c>
      <c r="C25" s="7"/>
    </row>
    <row r="26" spans="1:3" x14ac:dyDescent="0.2">
      <c r="A26" s="9"/>
      <c r="B26" s="12" t="s">
        <v>6</v>
      </c>
      <c r="C26" s="7"/>
    </row>
    <row r="27" spans="1:3" x14ac:dyDescent="0.2">
      <c r="A27" s="9"/>
      <c r="B27" s="12" t="s">
        <v>24</v>
      </c>
      <c r="C27" s="7">
        <v>155.17857000000006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35.887519999999995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7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79">
        <f>C31+C21+C16+C12+C8</f>
        <v>371.3082121274881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78">
        <f t="shared" ref="C38" si="4">(C33+C21+C17)/C41</f>
        <v>1.1286857940338434E-3</v>
      </c>
    </row>
    <row r="39" spans="1:4" ht="15" x14ac:dyDescent="0.25">
      <c r="A39" s="9" t="s">
        <v>17</v>
      </c>
      <c r="B39" s="12" t="s">
        <v>100</v>
      </c>
      <c r="C39" s="78">
        <f>C35/C60</f>
        <v>2.0526286782728454E-3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32</v>
      </c>
      <c r="C41" s="80">
        <v>171970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  <row r="59" spans="3:3" ht="15" x14ac:dyDescent="0.25">
      <c r="C59" s="78"/>
    </row>
    <row r="60" spans="3:3" ht="15.75" thickBot="1" x14ac:dyDescent="0.3">
      <c r="C60" s="80">
        <v>180894</v>
      </c>
    </row>
  </sheetData>
  <sheetProtection sheet="1" objects="1" scenarios="1"/>
  <mergeCells count="3">
    <mergeCell ref="A6:A7"/>
    <mergeCell ref="B6:B7"/>
    <mergeCell ref="C6:C7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theme="5" tint="0.39997558519241921"/>
    <pageSetUpPr fitToPage="1"/>
  </sheetPr>
  <dimension ref="A1:F60"/>
  <sheetViews>
    <sheetView rightToLeft="1" topLeftCell="A4" workbookViewId="0">
      <selection activeCell="B44" sqref="B44"/>
    </sheetView>
  </sheetViews>
  <sheetFormatPr defaultRowHeight="14.25" x14ac:dyDescent="0.2"/>
  <cols>
    <col min="1" max="1" width="1.75" bestFit="1" customWidth="1"/>
    <col min="2" max="2" width="59.75" bestFit="1" customWidth="1"/>
    <col min="3" max="3" width="9.875" bestFit="1" customWidth="1"/>
  </cols>
  <sheetData>
    <row r="1" spans="1:6" ht="15" x14ac:dyDescent="0.25">
      <c r="B1" s="27" t="s">
        <v>82</v>
      </c>
    </row>
    <row r="2" spans="1:6" x14ac:dyDescent="0.2">
      <c r="B2" s="1" t="s">
        <v>85</v>
      </c>
      <c r="C2" s="4" t="s">
        <v>98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</row>
    <row r="5" spans="1:6" ht="16.5" thickBot="1" x14ac:dyDescent="0.3">
      <c r="B5" s="81" t="s">
        <v>94</v>
      </c>
      <c r="C5" s="2"/>
    </row>
    <row r="6" spans="1:6" ht="14.25" customHeight="1" x14ac:dyDescent="0.2">
      <c r="A6" s="87"/>
      <c r="B6" s="83"/>
      <c r="C6" s="85" t="s">
        <v>0</v>
      </c>
    </row>
    <row r="7" spans="1:6" x14ac:dyDescent="0.2">
      <c r="A7" s="88"/>
      <c r="B7" s="84"/>
      <c r="C7" s="86"/>
    </row>
    <row r="8" spans="1:6" ht="15" x14ac:dyDescent="0.25">
      <c r="A8" s="16">
        <v>1</v>
      </c>
      <c r="B8" s="11" t="s">
        <v>11</v>
      </c>
      <c r="C8" s="77">
        <f t="shared" ref="C8" si="0">SUM(C9:C10)</f>
        <v>4.7499999999999991</v>
      </c>
    </row>
    <row r="9" spans="1:6" x14ac:dyDescent="0.2">
      <c r="A9" s="9"/>
      <c r="B9" s="12" t="s">
        <v>12</v>
      </c>
      <c r="C9" s="7">
        <v>0</v>
      </c>
    </row>
    <row r="10" spans="1:6" x14ac:dyDescent="0.2">
      <c r="A10" s="9"/>
      <c r="B10" s="12" t="s">
        <v>13</v>
      </c>
      <c r="C10" s="7">
        <v>4.7499999999999991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7">
        <f t="shared" ref="C12" si="1">SUM(C13:C14)</f>
        <v>3.8462000000000001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f>2.6945+1.1517</f>
        <v>3.8462000000000001</v>
      </c>
    </row>
    <row r="15" spans="1:6" x14ac:dyDescent="0.2">
      <c r="A15" s="25"/>
      <c r="B15" s="26"/>
      <c r="C15" s="8">
        <v>0</v>
      </c>
    </row>
    <row r="16" spans="1:6" ht="15" x14ac:dyDescent="0.25">
      <c r="A16" s="16">
        <v>3</v>
      </c>
      <c r="B16" s="11" t="s">
        <v>7</v>
      </c>
      <c r="C16" s="77">
        <f t="shared" ref="C16" si="2">SUM(C17:C19)</f>
        <v>0</v>
      </c>
    </row>
    <row r="17" spans="1:3" ht="25.5" x14ac:dyDescent="0.2">
      <c r="A17" s="9" t="s">
        <v>15</v>
      </c>
      <c r="B17" s="28" t="s">
        <v>16</v>
      </c>
      <c r="C17" s="7"/>
    </row>
    <row r="18" spans="1:3" x14ac:dyDescent="0.2">
      <c r="A18" s="9" t="s">
        <v>17</v>
      </c>
      <c r="B18" s="28" t="s">
        <v>18</v>
      </c>
      <c r="C18" s="7"/>
    </row>
    <row r="19" spans="1:3" x14ac:dyDescent="0.2">
      <c r="A19" s="9" t="s">
        <v>19</v>
      </c>
      <c r="B19" s="12" t="s">
        <v>3</v>
      </c>
      <c r="C19" s="7"/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7">
        <f>SUM(C22:C29)</f>
        <v>20.954660000000001</v>
      </c>
    </row>
    <row r="22" spans="1:3" x14ac:dyDescent="0.2">
      <c r="A22" s="9"/>
      <c r="B22" s="12" t="s">
        <v>21</v>
      </c>
      <c r="C22" s="7"/>
    </row>
    <row r="23" spans="1:3" x14ac:dyDescent="0.2">
      <c r="A23" s="9"/>
      <c r="B23" s="12" t="s">
        <v>22</v>
      </c>
      <c r="C23" s="7"/>
    </row>
    <row r="24" spans="1:3" x14ac:dyDescent="0.2">
      <c r="A24" s="9"/>
      <c r="B24" s="12" t="s">
        <v>23</v>
      </c>
      <c r="C24" s="7"/>
    </row>
    <row r="25" spans="1:3" x14ac:dyDescent="0.2">
      <c r="A25" s="9"/>
      <c r="B25" s="12" t="s">
        <v>10</v>
      </c>
      <c r="C25" s="7"/>
    </row>
    <row r="26" spans="1:3" x14ac:dyDescent="0.2">
      <c r="A26" s="9"/>
      <c r="B26" s="12" t="s">
        <v>6</v>
      </c>
      <c r="C26" s="7"/>
    </row>
    <row r="27" spans="1:3" x14ac:dyDescent="0.2">
      <c r="A27" s="9"/>
      <c r="B27" s="12" t="s">
        <v>24</v>
      </c>
      <c r="C27" s="7">
        <v>17.517289999999999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3.43737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7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79">
        <f>C31+C21+C16+C12+C8</f>
        <v>29.55086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78">
        <f t="shared" ref="C38" si="4">(C33+C21+C17)/C41</f>
        <v>1.6321099774125711E-3</v>
      </c>
    </row>
    <row r="39" spans="1:4" ht="15" x14ac:dyDescent="0.25">
      <c r="A39" s="9" t="s">
        <v>17</v>
      </c>
      <c r="B39" s="12" t="s">
        <v>100</v>
      </c>
      <c r="C39" s="78">
        <f>C35/C60</f>
        <v>2.1556596272385748E-3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32</v>
      </c>
      <c r="C41" s="80">
        <v>12839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  <row r="59" spans="3:3" ht="15" x14ac:dyDescent="0.25">
      <c r="C59" s="78"/>
    </row>
    <row r="60" spans="3:3" ht="15.75" thickBot="1" x14ac:dyDescent="0.3">
      <c r="C60" s="80">
        <v>13708.5</v>
      </c>
    </row>
  </sheetData>
  <sheetProtection sheet="1" objects="1" scenarios="1"/>
  <mergeCells count="3">
    <mergeCell ref="A6:A7"/>
    <mergeCell ref="B6:B7"/>
    <mergeCell ref="C6:C7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5" tint="0.39997558519241921"/>
    <pageSetUpPr fitToPage="1"/>
  </sheetPr>
  <dimension ref="A1:F60"/>
  <sheetViews>
    <sheetView rightToLeft="1" workbookViewId="0">
      <selection activeCell="C14" sqref="C14"/>
    </sheetView>
  </sheetViews>
  <sheetFormatPr defaultRowHeight="14.25" x14ac:dyDescent="0.2"/>
  <cols>
    <col min="1" max="1" width="1.75" bestFit="1" customWidth="1"/>
    <col min="2" max="2" width="59.75" bestFit="1" customWidth="1"/>
    <col min="3" max="3" width="10.875" bestFit="1" customWidth="1"/>
  </cols>
  <sheetData>
    <row r="1" spans="1:6" ht="15" x14ac:dyDescent="0.25">
      <c r="B1" s="27" t="s">
        <v>82</v>
      </c>
    </row>
    <row r="2" spans="1:6" x14ac:dyDescent="0.2">
      <c r="B2" s="1" t="s">
        <v>85</v>
      </c>
      <c r="C2" s="4" t="s">
        <v>98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  <c r="F4" s="20"/>
    </row>
    <row r="5" spans="1:6" ht="16.5" thickBot="1" x14ac:dyDescent="0.3">
      <c r="B5" s="81" t="s">
        <v>93</v>
      </c>
      <c r="C5" s="2"/>
    </row>
    <row r="6" spans="1:6" ht="14.25" customHeight="1" x14ac:dyDescent="0.2">
      <c r="A6" s="87"/>
      <c r="B6" s="83"/>
      <c r="C6" s="85" t="s">
        <v>0</v>
      </c>
    </row>
    <row r="7" spans="1:6" x14ac:dyDescent="0.2">
      <c r="A7" s="88"/>
      <c r="B7" s="84"/>
      <c r="C7" s="86"/>
    </row>
    <row r="8" spans="1:6" ht="15" x14ac:dyDescent="0.25">
      <c r="A8" s="16">
        <v>1</v>
      </c>
      <c r="B8" s="11" t="s">
        <v>11</v>
      </c>
      <c r="C8" s="77">
        <f t="shared" ref="C8" si="0">SUM(C9:C10)</f>
        <v>73.062707081490018</v>
      </c>
    </row>
    <row r="9" spans="1:6" x14ac:dyDescent="0.2">
      <c r="A9" s="9"/>
      <c r="B9" s="12" t="s">
        <v>12</v>
      </c>
      <c r="C9" s="7">
        <v>5.0881865074465198</v>
      </c>
    </row>
    <row r="10" spans="1:6" x14ac:dyDescent="0.2">
      <c r="A10" s="9"/>
      <c r="B10" s="12" t="s">
        <v>13</v>
      </c>
      <c r="C10" s="7">
        <f>67.4745205740435+0.5</f>
        <v>67.974520574043495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7">
        <f t="shared" ref="C12" si="1">SUM(C13:C14)</f>
        <v>18.240719312126998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f>18.068219312127+0.1725</f>
        <v>18.240719312126998</v>
      </c>
    </row>
    <row r="15" spans="1:6" x14ac:dyDescent="0.2">
      <c r="A15" s="25"/>
      <c r="B15" s="26"/>
      <c r="C15" s="8">
        <v>0</v>
      </c>
    </row>
    <row r="16" spans="1:6" ht="15" x14ac:dyDescent="0.25">
      <c r="A16" s="16">
        <v>3</v>
      </c>
      <c r="B16" s="11" t="s">
        <v>7</v>
      </c>
      <c r="C16" s="77">
        <f t="shared" ref="C16" si="2">SUM(C17:C19)</f>
        <v>0</v>
      </c>
    </row>
    <row r="17" spans="1:3" ht="25.5" x14ac:dyDescent="0.2">
      <c r="A17" s="9" t="s">
        <v>15</v>
      </c>
      <c r="B17" s="28" t="s">
        <v>16</v>
      </c>
      <c r="C17" s="7"/>
    </row>
    <row r="18" spans="1:3" x14ac:dyDescent="0.2">
      <c r="A18" s="9" t="s">
        <v>17</v>
      </c>
      <c r="B18" s="28" t="s">
        <v>18</v>
      </c>
      <c r="C18" s="7"/>
    </row>
    <row r="19" spans="1:3" x14ac:dyDescent="0.2">
      <c r="A19" s="9" t="s">
        <v>19</v>
      </c>
      <c r="B19" s="12" t="s">
        <v>3</v>
      </c>
      <c r="C19" s="7"/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7">
        <f>SUM(C22:C29)</f>
        <v>0</v>
      </c>
    </row>
    <row r="22" spans="1:3" x14ac:dyDescent="0.2">
      <c r="A22" s="9"/>
      <c r="B22" s="12" t="s">
        <v>21</v>
      </c>
      <c r="C22" s="7"/>
    </row>
    <row r="23" spans="1:3" x14ac:dyDescent="0.2">
      <c r="A23" s="9"/>
      <c r="B23" s="12" t="s">
        <v>22</v>
      </c>
      <c r="C23" s="7"/>
    </row>
    <row r="24" spans="1:3" x14ac:dyDescent="0.2">
      <c r="A24" s="9"/>
      <c r="B24" s="12" t="s">
        <v>23</v>
      </c>
      <c r="C24" s="7"/>
    </row>
    <row r="25" spans="1:3" x14ac:dyDescent="0.2">
      <c r="A25" s="9"/>
      <c r="B25" s="12" t="s">
        <v>10</v>
      </c>
      <c r="C25" s="7"/>
    </row>
    <row r="26" spans="1:3" x14ac:dyDescent="0.2">
      <c r="A26" s="9"/>
      <c r="B26" s="12" t="s">
        <v>6</v>
      </c>
      <c r="C26" s="7"/>
    </row>
    <row r="27" spans="1:3" x14ac:dyDescent="0.2">
      <c r="A27" s="9"/>
      <c r="B27" s="12" t="s">
        <v>24</v>
      </c>
      <c r="C27" s="7"/>
    </row>
    <row r="28" spans="1:3" x14ac:dyDescent="0.2">
      <c r="A28" s="9"/>
      <c r="B28" s="12" t="s">
        <v>25</v>
      </c>
      <c r="C28" s="7"/>
    </row>
    <row r="29" spans="1:3" x14ac:dyDescent="0.2">
      <c r="A29" s="9"/>
      <c r="B29" s="12" t="s">
        <v>26</v>
      </c>
      <c r="C29" s="7"/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7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79">
        <f>C31+C21+C16+C12+C8</f>
        <v>91.303426393617016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78">
        <f t="shared" ref="C38" si="4">(C33+C21+C17)/C41</f>
        <v>0</v>
      </c>
    </row>
    <row r="39" spans="1:4" ht="15" x14ac:dyDescent="0.25">
      <c r="A39" s="9" t="s">
        <v>17</v>
      </c>
      <c r="B39" s="12" t="s">
        <v>100</v>
      </c>
      <c r="C39" s="78">
        <f>C35/C60</f>
        <v>3.0026120229418907E-4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32</v>
      </c>
      <c r="C41" s="80">
        <v>329203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  <row r="59" spans="3:3" ht="15" x14ac:dyDescent="0.25">
      <c r="C59" s="78"/>
    </row>
    <row r="60" spans="3:3" ht="15.75" thickBot="1" x14ac:dyDescent="0.3">
      <c r="C60" s="80">
        <v>304080</v>
      </c>
    </row>
  </sheetData>
  <sheetProtection sheet="1" objects="1" scenarios="1"/>
  <mergeCells count="3">
    <mergeCell ref="A6:A7"/>
    <mergeCell ref="B6:B7"/>
    <mergeCell ref="C6:C7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theme="5" tint="0.39997558519241921"/>
    <pageSetUpPr fitToPage="1"/>
  </sheetPr>
  <dimension ref="A1:F60"/>
  <sheetViews>
    <sheetView rightToLeft="1" topLeftCell="A25" workbookViewId="0">
      <selection activeCell="B44" sqref="B44"/>
    </sheetView>
  </sheetViews>
  <sheetFormatPr defaultRowHeight="14.25" x14ac:dyDescent="0.2"/>
  <cols>
    <col min="1" max="1" width="1.75" bestFit="1" customWidth="1"/>
    <col min="2" max="2" width="59.75" bestFit="1" customWidth="1"/>
    <col min="3" max="3" width="10.875" bestFit="1" customWidth="1"/>
  </cols>
  <sheetData>
    <row r="1" spans="1:6" ht="15" x14ac:dyDescent="0.25">
      <c r="B1" s="27" t="s">
        <v>82</v>
      </c>
    </row>
    <row r="2" spans="1:6" x14ac:dyDescent="0.2">
      <c r="B2" s="1" t="s">
        <v>85</v>
      </c>
      <c r="C2" s="4" t="s">
        <v>98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</row>
    <row r="5" spans="1:6" ht="16.5" thickBot="1" x14ac:dyDescent="0.3">
      <c r="B5" s="81" t="s">
        <v>92</v>
      </c>
      <c r="C5" s="2"/>
    </row>
    <row r="6" spans="1:6" ht="14.25" customHeight="1" x14ac:dyDescent="0.2">
      <c r="A6" s="87"/>
      <c r="B6" s="83"/>
      <c r="C6" s="85" t="s">
        <v>0</v>
      </c>
    </row>
    <row r="7" spans="1:6" x14ac:dyDescent="0.2">
      <c r="A7" s="88"/>
      <c r="B7" s="84"/>
      <c r="C7" s="86"/>
    </row>
    <row r="8" spans="1:6" ht="15" x14ac:dyDescent="0.25">
      <c r="A8" s="16">
        <v>1</v>
      </c>
      <c r="B8" s="11" t="s">
        <v>11</v>
      </c>
      <c r="C8" s="77">
        <f t="shared" ref="C8" si="0">SUM(C9:C10)</f>
        <v>1.02</v>
      </c>
    </row>
    <row r="9" spans="1:6" x14ac:dyDescent="0.2">
      <c r="A9" s="9"/>
      <c r="B9" s="12" t="s">
        <v>12</v>
      </c>
      <c r="C9" s="7">
        <v>0.11</v>
      </c>
    </row>
    <row r="10" spans="1:6" x14ac:dyDescent="0.2">
      <c r="A10" s="9"/>
      <c r="B10" s="12" t="s">
        <v>13</v>
      </c>
      <c r="C10" s="7">
        <v>0.90999999999999992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7">
        <f t="shared" ref="C12" si="1">SUM(C13:C14)</f>
        <v>3.5522400000000003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f>2.25+1.30224</f>
        <v>3.5522400000000003</v>
      </c>
    </row>
    <row r="15" spans="1:6" x14ac:dyDescent="0.2">
      <c r="A15" s="25"/>
      <c r="B15" s="26"/>
      <c r="C15" s="8">
        <v>0</v>
      </c>
    </row>
    <row r="16" spans="1:6" ht="15" x14ac:dyDescent="0.25">
      <c r="A16" s="16">
        <v>3</v>
      </c>
      <c r="B16" s="11" t="s">
        <v>7</v>
      </c>
      <c r="C16" s="77">
        <f t="shared" ref="C16" si="2">SUM(C17:C19)</f>
        <v>0</v>
      </c>
    </row>
    <row r="17" spans="1:3" ht="25.5" x14ac:dyDescent="0.2">
      <c r="A17" s="9" t="s">
        <v>15</v>
      </c>
      <c r="B17" s="28" t="s">
        <v>16</v>
      </c>
      <c r="C17" s="7">
        <v>0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7">
        <f>SUM(C22:C29)</f>
        <v>0</v>
      </c>
    </row>
    <row r="22" spans="1:3" x14ac:dyDescent="0.2">
      <c r="A22" s="9"/>
      <c r="B22" s="12" t="s">
        <v>21</v>
      </c>
      <c r="C22" s="7">
        <v>0</v>
      </c>
    </row>
    <row r="23" spans="1:3" x14ac:dyDescent="0.2">
      <c r="A23" s="9"/>
      <c r="B23" s="12" t="s">
        <v>22</v>
      </c>
      <c r="C23" s="7">
        <v>0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>
        <v>0</v>
      </c>
    </row>
    <row r="27" spans="1:3" x14ac:dyDescent="0.2">
      <c r="A27" s="9"/>
      <c r="B27" s="12" t="s">
        <v>24</v>
      </c>
      <c r="C27" s="7">
        <v>0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0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7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79">
        <f>C31+C21+C16+C12+C8</f>
        <v>4.5722400000000007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78">
        <f t="shared" ref="C38" si="4">(C33+C21+C17)/C41</f>
        <v>0</v>
      </c>
    </row>
    <row r="39" spans="1:4" ht="15" x14ac:dyDescent="0.25">
      <c r="A39" s="9" t="s">
        <v>17</v>
      </c>
      <c r="B39" s="12" t="s">
        <v>100</v>
      </c>
      <c r="C39" s="78">
        <f>C35/C60</f>
        <v>2.822361659377595E-5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32</v>
      </c>
      <c r="C41" s="80">
        <v>168505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  <row r="59" spans="3:3" ht="15" x14ac:dyDescent="0.25">
      <c r="C59" s="78"/>
    </row>
    <row r="60" spans="3:3" ht="15.75" thickBot="1" x14ac:dyDescent="0.3">
      <c r="C60" s="80">
        <v>162000.5</v>
      </c>
    </row>
  </sheetData>
  <sheetProtection sheet="1" objects="1" scenarios="1"/>
  <mergeCells count="3">
    <mergeCell ref="A6:A7"/>
    <mergeCell ref="B6:B7"/>
    <mergeCell ref="C6:C7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theme="5" tint="0.39997558519241921"/>
  </sheetPr>
  <dimension ref="A1:F60"/>
  <sheetViews>
    <sheetView rightToLeft="1" topLeftCell="A16" workbookViewId="0">
      <selection activeCell="B44" sqref="B44"/>
    </sheetView>
  </sheetViews>
  <sheetFormatPr defaultRowHeight="14.25" x14ac:dyDescent="0.2"/>
  <cols>
    <col min="1" max="1" width="1.75" bestFit="1" customWidth="1"/>
    <col min="2" max="2" width="55.875" bestFit="1" customWidth="1"/>
    <col min="3" max="3" width="10.875" bestFit="1" customWidth="1"/>
  </cols>
  <sheetData>
    <row r="1" spans="1:6" ht="15" x14ac:dyDescent="0.25">
      <c r="B1" s="27" t="s">
        <v>82</v>
      </c>
    </row>
    <row r="2" spans="1:6" x14ac:dyDescent="0.2">
      <c r="B2" s="1" t="s">
        <v>85</v>
      </c>
      <c r="C2" s="4" t="s">
        <v>98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  <c r="F4" s="20"/>
    </row>
    <row r="5" spans="1:6" ht="16.5" thickBot="1" x14ac:dyDescent="0.3">
      <c r="B5" s="81" t="s">
        <v>91</v>
      </c>
      <c r="C5" s="2"/>
    </row>
    <row r="6" spans="1:6" ht="14.25" customHeight="1" x14ac:dyDescent="0.2">
      <c r="A6" s="87"/>
      <c r="B6" s="83"/>
      <c r="C6" s="85" t="s">
        <v>0</v>
      </c>
    </row>
    <row r="7" spans="1:6" x14ac:dyDescent="0.2">
      <c r="A7" s="88"/>
      <c r="B7" s="84"/>
      <c r="C7" s="86"/>
    </row>
    <row r="8" spans="1:6" ht="15" x14ac:dyDescent="0.25">
      <c r="A8" s="16">
        <v>1</v>
      </c>
      <c r="B8" s="11" t="s">
        <v>11</v>
      </c>
      <c r="C8" s="77">
        <f t="shared" ref="C8" si="0">SUM(C9:C10)</f>
        <v>46.115433487155727</v>
      </c>
    </row>
    <row r="9" spans="1:6" x14ac:dyDescent="0.2">
      <c r="A9" s="9"/>
      <c r="B9" s="12" t="s">
        <v>12</v>
      </c>
      <c r="C9" s="7">
        <v>1.1054216917366999</v>
      </c>
    </row>
    <row r="10" spans="1:6" x14ac:dyDescent="0.2">
      <c r="A10" s="9"/>
      <c r="B10" s="12" t="s">
        <v>13</v>
      </c>
      <c r="C10" s="7">
        <v>45.010011795419025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7">
        <f t="shared" ref="C12" si="1">SUM(C13:C14)</f>
        <v>29.5986967333263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f>25.7000067333263+3.89869</f>
        <v>29.5986967333263</v>
      </c>
    </row>
    <row r="15" spans="1:6" x14ac:dyDescent="0.2">
      <c r="A15" s="25"/>
      <c r="B15" s="26"/>
      <c r="C15" s="8">
        <v>0</v>
      </c>
    </row>
    <row r="16" spans="1:6" ht="15" x14ac:dyDescent="0.25">
      <c r="A16" s="16">
        <v>3</v>
      </c>
      <c r="B16" s="11" t="s">
        <v>7</v>
      </c>
      <c r="C16" s="77">
        <f t="shared" ref="C16" si="2">SUM(C17:C19)</f>
        <v>4.7935800000000013</v>
      </c>
    </row>
    <row r="17" spans="1:3" ht="25.5" x14ac:dyDescent="0.2">
      <c r="A17" s="9" t="s">
        <v>15</v>
      </c>
      <c r="B17" s="28" t="s">
        <v>16</v>
      </c>
      <c r="C17" s="7">
        <v>4.7935800000000013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7">
        <f>SUM(C22:C29)</f>
        <v>97.996740000000003</v>
      </c>
    </row>
    <row r="22" spans="1:3" x14ac:dyDescent="0.2">
      <c r="A22" s="9"/>
      <c r="B22" s="12" t="s">
        <v>21</v>
      </c>
      <c r="C22" s="7"/>
    </row>
    <row r="23" spans="1:3" x14ac:dyDescent="0.2">
      <c r="A23" s="9"/>
      <c r="B23" s="12" t="s">
        <v>22</v>
      </c>
      <c r="C23" s="7"/>
    </row>
    <row r="24" spans="1:3" x14ac:dyDescent="0.2">
      <c r="A24" s="9"/>
      <c r="B24" s="12" t="s">
        <v>23</v>
      </c>
      <c r="C24" s="7"/>
    </row>
    <row r="25" spans="1:3" x14ac:dyDescent="0.2">
      <c r="A25" s="9"/>
      <c r="B25" s="12" t="s">
        <v>10</v>
      </c>
      <c r="C25" s="7"/>
    </row>
    <row r="26" spans="1:3" x14ac:dyDescent="0.2">
      <c r="A26" s="9"/>
      <c r="B26" s="12" t="s">
        <v>6</v>
      </c>
      <c r="C26" s="7"/>
    </row>
    <row r="27" spans="1:3" x14ac:dyDescent="0.2">
      <c r="A27" s="9"/>
      <c r="B27" s="12" t="s">
        <v>24</v>
      </c>
      <c r="C27" s="7">
        <v>59.271729999999998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38.725010000000005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7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79">
        <f>C31+C21+C16+C12+C8</f>
        <v>178.50445022048206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78">
        <f t="shared" ref="C38" si="4">(C33+C21+C17)/C41</f>
        <v>3.6481127756305835E-4</v>
      </c>
    </row>
    <row r="39" spans="1:4" ht="15" x14ac:dyDescent="0.25">
      <c r="A39" s="9" t="s">
        <v>17</v>
      </c>
      <c r="B39" s="12" t="s">
        <v>100</v>
      </c>
      <c r="C39" s="78">
        <f>C35/C60</f>
        <v>6.654828086793275E-4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32</v>
      </c>
      <c r="C41" s="80">
        <v>281763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  <row r="59" spans="3:3" ht="15" x14ac:dyDescent="0.25">
      <c r="C59" s="78"/>
    </row>
    <row r="60" spans="3:3" ht="15.75" thickBot="1" x14ac:dyDescent="0.3">
      <c r="C60" s="80">
        <v>268233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1">
    <tabColor theme="5" tint="0.39997558519241921"/>
  </sheetPr>
  <dimension ref="A1:F60"/>
  <sheetViews>
    <sheetView rightToLeft="1" topLeftCell="A16" workbookViewId="0">
      <selection activeCell="F26" sqref="F26"/>
    </sheetView>
  </sheetViews>
  <sheetFormatPr defaultRowHeight="14.25" x14ac:dyDescent="0.2"/>
  <cols>
    <col min="1" max="1" width="1.75" bestFit="1" customWidth="1"/>
    <col min="2" max="2" width="59.75" bestFit="1" customWidth="1"/>
    <col min="3" max="3" width="9.875" bestFit="1" customWidth="1"/>
  </cols>
  <sheetData>
    <row r="1" spans="1:6" ht="15" x14ac:dyDescent="0.25">
      <c r="B1" s="27" t="s">
        <v>82</v>
      </c>
    </row>
    <row r="2" spans="1:6" x14ac:dyDescent="0.2">
      <c r="B2" s="1" t="s">
        <v>85</v>
      </c>
      <c r="C2" s="4" t="s">
        <v>98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  <c r="F4" s="20"/>
    </row>
    <row r="5" spans="1:6" ht="16.5" thickBot="1" x14ac:dyDescent="0.3">
      <c r="B5" s="81" t="s">
        <v>90</v>
      </c>
      <c r="C5" s="2"/>
    </row>
    <row r="6" spans="1:6" ht="14.25" customHeight="1" x14ac:dyDescent="0.2">
      <c r="A6" s="87"/>
      <c r="B6" s="83"/>
      <c r="C6" s="85" t="s">
        <v>0</v>
      </c>
    </row>
    <row r="7" spans="1:6" x14ac:dyDescent="0.2">
      <c r="A7" s="88"/>
      <c r="B7" s="84"/>
      <c r="C7" s="86"/>
    </row>
    <row r="8" spans="1:6" ht="15" x14ac:dyDescent="0.25">
      <c r="A8" s="16">
        <v>1</v>
      </c>
      <c r="B8" s="11" t="s">
        <v>11</v>
      </c>
      <c r="C8" s="77">
        <f t="shared" ref="C8" si="0">SUM(C9:C10)</f>
        <v>36.6914389632297</v>
      </c>
    </row>
    <row r="9" spans="1:6" x14ac:dyDescent="0.2">
      <c r="A9" s="9"/>
      <c r="B9" s="12" t="s">
        <v>12</v>
      </c>
      <c r="C9" s="7">
        <v>0.1760343883521</v>
      </c>
    </row>
    <row r="10" spans="1:6" x14ac:dyDescent="0.2">
      <c r="A10" s="9"/>
      <c r="B10" s="12" t="s">
        <v>13</v>
      </c>
      <c r="C10" s="7">
        <f>36.3654045748776+0.15</f>
        <v>36.5154045748776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7">
        <f t="shared" ref="C12" si="1">SUM(C13:C14)</f>
        <v>25.4929064677196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f>27.4176464677196-1.92474</f>
        <v>25.4929064677196</v>
      </c>
    </row>
    <row r="15" spans="1:6" x14ac:dyDescent="0.2">
      <c r="A15" s="25"/>
      <c r="B15" s="26"/>
      <c r="C15" s="8">
        <v>0</v>
      </c>
    </row>
    <row r="16" spans="1:6" ht="15" x14ac:dyDescent="0.25">
      <c r="A16" s="16">
        <v>3</v>
      </c>
      <c r="B16" s="11" t="s">
        <v>7</v>
      </c>
      <c r="C16" s="77">
        <f t="shared" ref="C16" si="2">SUM(C17:C19)</f>
        <v>0</v>
      </c>
    </row>
    <row r="17" spans="1:3" ht="25.5" x14ac:dyDescent="0.2">
      <c r="A17" s="9" t="s">
        <v>15</v>
      </c>
      <c r="B17" s="28" t="s">
        <v>16</v>
      </c>
      <c r="C17" s="7">
        <v>0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7">
        <f>SUM(C22:C29)</f>
        <v>56.96425</v>
      </c>
    </row>
    <row r="22" spans="1:3" x14ac:dyDescent="0.2">
      <c r="A22" s="9"/>
      <c r="B22" s="12" t="s">
        <v>21</v>
      </c>
      <c r="C22" s="7">
        <v>0</v>
      </c>
    </row>
    <row r="23" spans="1:3" x14ac:dyDescent="0.2">
      <c r="A23" s="9"/>
      <c r="B23" s="12" t="s">
        <v>22</v>
      </c>
      <c r="C23" s="7">
        <v>0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>
        <v>0.44974999999999998</v>
      </c>
    </row>
    <row r="27" spans="1:3" x14ac:dyDescent="0.2">
      <c r="A27" s="9"/>
      <c r="B27" s="12" t="s">
        <v>24</v>
      </c>
      <c r="C27" s="7">
        <f>57.0145-0.5</f>
        <v>56.514499999999998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0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7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79">
        <f>C31+C21+C16+C12+C8</f>
        <v>119.1485954309493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78">
        <f t="shared" ref="C38" si="4">(C33+C21+C17)/C41</f>
        <v>7.8764760377201962E-4</v>
      </c>
    </row>
    <row r="39" spans="1:4" ht="15" x14ac:dyDescent="0.25">
      <c r="A39" s="9" t="s">
        <v>17</v>
      </c>
      <c r="B39" s="12" t="s">
        <v>100</v>
      </c>
      <c r="C39" s="78">
        <f>C35/C60</f>
        <v>1.4030191518310622E-3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32</v>
      </c>
      <c r="C41" s="80">
        <v>72322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  <row r="59" spans="3:3" ht="15" x14ac:dyDescent="0.25">
      <c r="C59" s="78"/>
    </row>
    <row r="60" spans="3:3" ht="15.75" thickBot="1" x14ac:dyDescent="0.3">
      <c r="C60" s="80">
        <v>84923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60"/>
  <sheetViews>
    <sheetView rightToLeft="1" topLeftCell="A19" workbookViewId="0">
      <selection activeCell="F18" sqref="F18"/>
    </sheetView>
  </sheetViews>
  <sheetFormatPr defaultRowHeight="14.25" x14ac:dyDescent="0.2"/>
  <cols>
    <col min="1" max="1" width="1.75" bestFit="1" customWidth="1"/>
    <col min="2" max="2" width="59.75" bestFit="1" customWidth="1"/>
    <col min="3" max="3" width="9.875" bestFit="1" customWidth="1"/>
  </cols>
  <sheetData>
    <row r="1" spans="1:6" ht="15" x14ac:dyDescent="0.25">
      <c r="B1" s="27" t="s">
        <v>82</v>
      </c>
    </row>
    <row r="2" spans="1:6" x14ac:dyDescent="0.2">
      <c r="B2" s="1" t="s">
        <v>85</v>
      </c>
      <c r="C2" s="4" t="s">
        <v>98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  <c r="F4" s="20"/>
    </row>
    <row r="5" spans="1:6" ht="16.5" thickBot="1" x14ac:dyDescent="0.3">
      <c r="B5" s="81" t="s">
        <v>89</v>
      </c>
      <c r="C5" s="2"/>
    </row>
    <row r="6" spans="1:6" ht="14.25" customHeight="1" x14ac:dyDescent="0.2">
      <c r="A6" s="87"/>
      <c r="B6" s="83"/>
      <c r="C6" s="85" t="s">
        <v>0</v>
      </c>
    </row>
    <row r="7" spans="1:6" x14ac:dyDescent="0.2">
      <c r="A7" s="88"/>
      <c r="B7" s="84"/>
      <c r="C7" s="86"/>
    </row>
    <row r="8" spans="1:6" ht="15" x14ac:dyDescent="0.25">
      <c r="A8" s="16">
        <v>1</v>
      </c>
      <c r="B8" s="11" t="s">
        <v>11</v>
      </c>
      <c r="C8" s="77">
        <f t="shared" ref="C8" si="0">SUM(C9:C10)</f>
        <v>65.902508104046177</v>
      </c>
    </row>
    <row r="9" spans="1:6" x14ac:dyDescent="0.2">
      <c r="A9" s="9"/>
      <c r="B9" s="12" t="s">
        <v>12</v>
      </c>
      <c r="C9" s="7">
        <v>0.16279804387246999</v>
      </c>
    </row>
    <row r="10" spans="1:6" x14ac:dyDescent="0.2">
      <c r="A10" s="9"/>
      <c r="B10" s="12" t="s">
        <v>13</v>
      </c>
      <c r="C10" s="7">
        <v>65.739710060173707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7">
        <f t="shared" ref="C12" si="1">SUM(C13:C14)</f>
        <v>37.909091700459506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f>37.1995317004595+0.70956</f>
        <v>37.909091700459506</v>
      </c>
    </row>
    <row r="15" spans="1:6" x14ac:dyDescent="0.2">
      <c r="A15" s="65"/>
      <c r="B15" s="66"/>
      <c r="C15" s="8">
        <v>0</v>
      </c>
    </row>
    <row r="16" spans="1:6" ht="15" x14ac:dyDescent="0.25">
      <c r="A16" s="16">
        <v>3</v>
      </c>
      <c r="B16" s="11" t="s">
        <v>7</v>
      </c>
      <c r="C16" s="77">
        <f t="shared" ref="C16" si="2">SUM(C17:C19)</f>
        <v>0.78605000000000003</v>
      </c>
    </row>
    <row r="17" spans="1:3" ht="25.5" x14ac:dyDescent="0.2">
      <c r="A17" s="9" t="s">
        <v>15</v>
      </c>
      <c r="B17" s="28" t="s">
        <v>16</v>
      </c>
      <c r="C17" s="7">
        <v>0.78605000000000003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7">
        <f>SUM(C22:C29)</f>
        <v>105.19786085913029</v>
      </c>
    </row>
    <row r="22" spans="1:3" x14ac:dyDescent="0.2">
      <c r="A22" s="9"/>
      <c r="B22" s="12" t="s">
        <v>21</v>
      </c>
      <c r="C22" s="7">
        <v>0</v>
      </c>
    </row>
    <row r="23" spans="1:3" x14ac:dyDescent="0.2">
      <c r="A23" s="9"/>
      <c r="B23" s="12" t="s">
        <v>22</v>
      </c>
      <c r="C23" s="7">
        <v>11.135110859130295</v>
      </c>
    </row>
    <row r="24" spans="1:3" x14ac:dyDescent="0.2">
      <c r="A24" s="9"/>
      <c r="B24" s="12" t="s">
        <v>23</v>
      </c>
      <c r="C24" s="7"/>
    </row>
    <row r="25" spans="1:3" x14ac:dyDescent="0.2">
      <c r="A25" s="9"/>
      <c r="B25" s="12" t="s">
        <v>10</v>
      </c>
      <c r="C25" s="7"/>
    </row>
    <row r="26" spans="1:3" x14ac:dyDescent="0.2">
      <c r="A26" s="9"/>
      <c r="B26" s="12" t="s">
        <v>6</v>
      </c>
      <c r="C26" s="7"/>
    </row>
    <row r="27" spans="1:3" x14ac:dyDescent="0.2">
      <c r="A27" s="9"/>
      <c r="B27" s="12" t="s">
        <v>24</v>
      </c>
      <c r="C27" s="7">
        <f>84.96836-0.4</f>
        <v>84.568359999999998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9.4943899999999992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7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79">
        <f>C31+C21+C16+C12+C8</f>
        <v>209.79551066363598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78">
        <f t="shared" ref="C38" si="4">(C33+C21+C17)/C41</f>
        <v>1.1710929376699479E-3</v>
      </c>
    </row>
    <row r="39" spans="1:4" ht="15" x14ac:dyDescent="0.25">
      <c r="A39" s="9" t="s">
        <v>17</v>
      </c>
      <c r="B39" s="12" t="s">
        <v>100</v>
      </c>
      <c r="C39" s="78">
        <f>C35/C60</f>
        <v>1.5708430221303123E-3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32</v>
      </c>
      <c r="C41" s="80">
        <v>90500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  <row r="59" spans="3:3" ht="15" x14ac:dyDescent="0.25">
      <c r="C59" s="78"/>
    </row>
    <row r="60" spans="3:3" ht="15.75" thickBot="1" x14ac:dyDescent="0.3">
      <c r="C60" s="80">
        <v>133556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2019-04-07T08:02:39+00:00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BF188C2-A739-4780-BB48-AF65E177113E}"/>
</file>

<file path=customXml/itemProps2.xml><?xml version="1.0" encoding="utf-8"?>
<ds:datastoreItem xmlns:ds="http://schemas.openxmlformats.org/officeDocument/2006/customXml" ds:itemID="{122B4B3F-B42B-4AEB-8C31-301319FDC45D}"/>
</file>

<file path=customXml/itemProps3.xml><?xml version="1.0" encoding="utf-8"?>
<ds:datastoreItem xmlns:ds="http://schemas.openxmlformats.org/officeDocument/2006/customXml" ds:itemID="{D9B9EE97-DBCD-4041-A173-2E38B77C47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16</vt:i4>
      </vt:variant>
      <vt:variant>
        <vt:lpstr>טווחים בעלי שם</vt:lpstr>
      </vt:variant>
      <vt:variant>
        <vt:i4>1</vt:i4>
      </vt:variant>
    </vt:vector>
  </HeadingPairs>
  <TitlesOfParts>
    <vt:vector size="17" baseType="lpstr">
      <vt:lpstr>165</vt:lpstr>
      <vt:lpstr>5201</vt:lpstr>
      <vt:lpstr>5213</vt:lpstr>
      <vt:lpstr>5216</vt:lpstr>
      <vt:lpstr>5217</vt:lpstr>
      <vt:lpstr>5214</vt:lpstr>
      <vt:lpstr>5211</vt:lpstr>
      <vt:lpstr>5251</vt:lpstr>
      <vt:lpstr>5224</vt:lpstr>
      <vt:lpstr>5225</vt:lpstr>
      <vt:lpstr>5226</vt:lpstr>
      <vt:lpstr>5227</vt:lpstr>
      <vt:lpstr>מגדל השתלמות- נספח 1</vt:lpstr>
      <vt:lpstr>מגדל השתלמות-נספח 2</vt:lpstr>
      <vt:lpstr>מגדל השתלמות-נספח 3</vt:lpstr>
      <vt:lpstr>גיליון1</vt:lpstr>
      <vt:lpstr>'מגדל השתלמות- 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אופיר שנקר</cp:lastModifiedBy>
  <cp:lastPrinted>2019-04-04T08:31:31Z</cp:lastPrinted>
  <dcterms:created xsi:type="dcterms:W3CDTF">2013-05-20T07:11:09Z</dcterms:created>
  <dcterms:modified xsi:type="dcterms:W3CDTF">2019-04-04T14:42:47Z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