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workbookProtection lockStructure="1"/>
  <bookViews>
    <workbookView xWindow="600" yWindow="105" windowWidth="17400" windowHeight="10920" tabRatio="677" firstSheet="8" activeTab="13"/>
  </bookViews>
  <sheets>
    <sheet name="מסלול כללי" sheetId="3" r:id="rId1"/>
    <sheet name="מסלול אג&quot;ח עד 10% מניות" sheetId="34" r:id="rId2"/>
    <sheet name="מסלול ביג כללי לפחות 30% מניות" sheetId="25" r:id="rId3"/>
    <sheet name="מסלול מניות" sheetId="26" r:id="rId4"/>
    <sheet name="מסלול חו&quot;ל" sheetId="29" r:id="rId5"/>
    <sheet name="מסלול אג&quot;ח ממשלתי ישראלי" sheetId="30" r:id="rId6"/>
    <sheet name="מסלול שקלי טווח קצר" sheetId="27" r:id="rId7"/>
    <sheet name="מסלול אג&quot;ח" sheetId="32" r:id="rId8"/>
    <sheet name="מסלול כהלכה" sheetId="33" r:id="rId9"/>
    <sheet name="מסלול לבני 50 ומטה" sheetId="61" r:id="rId10"/>
    <sheet name="מסלול לבני 50 עד 60" sheetId="60" r:id="rId11"/>
    <sheet name="מסלול לבני 60 ומעלה" sheetId="59" r:id="rId12"/>
    <sheet name="מסלול פאסיבי כללי" sheetId="58" r:id="rId13"/>
    <sheet name="מגדל השתלמות- נספח 1" sheetId="35" r:id="rId14"/>
    <sheet name="מגדל השתלמות-נספח 2" sheetId="54" r:id="rId15"/>
    <sheet name="מגדל השתלמות-נספח 3" sheetId="53" r:id="rId16"/>
  </sheets>
  <calcPr calcId="145621" iterate="1"/>
</workbook>
</file>

<file path=xl/calcChain.xml><?xml version="1.0" encoding="utf-8"?>
<calcChain xmlns="http://schemas.openxmlformats.org/spreadsheetml/2006/main">
  <c r="E16" i="54" l="1"/>
  <c r="E20" i="54"/>
  <c r="E19" i="54"/>
  <c r="E18" i="54"/>
  <c r="E17" i="54"/>
  <c r="E15" i="54"/>
  <c r="E14" i="54"/>
  <c r="E13" i="54"/>
  <c r="E12" i="54"/>
  <c r="D32" i="53" l="1"/>
  <c r="D46" i="53"/>
  <c r="E31" i="54"/>
  <c r="E45" i="54"/>
  <c r="C9" i="35"/>
  <c r="C21" i="35"/>
  <c r="C22" i="35"/>
  <c r="C28" i="35"/>
  <c r="C14" i="58"/>
  <c r="C27" i="59"/>
  <c r="C14" i="60"/>
  <c r="C10" i="61"/>
  <c r="C10" i="33"/>
  <c r="C17" i="25"/>
  <c r="C10" i="34"/>
  <c r="D10" i="3"/>
  <c r="C40" i="35" l="1"/>
  <c r="C32" i="35"/>
  <c r="C31" i="35"/>
  <c r="C27" i="35"/>
  <c r="C26" i="35"/>
  <c r="C25" i="35"/>
  <c r="C24" i="35"/>
  <c r="C23" i="35"/>
  <c r="C18" i="35"/>
  <c r="C17" i="35"/>
  <c r="C16" i="35"/>
  <c r="C13" i="35"/>
  <c r="C11" i="35" s="1"/>
  <c r="C12" i="35"/>
  <c r="C8" i="35"/>
  <c r="C7" i="35" s="1"/>
  <c r="C14" i="59"/>
  <c r="C14" i="61"/>
  <c r="C14" i="33"/>
  <c r="C14" i="32"/>
  <c r="C14" i="27"/>
  <c r="C12" i="27" s="1"/>
  <c r="C35" i="27" s="1"/>
  <c r="C14" i="30"/>
  <c r="C14" i="29"/>
  <c r="C14" i="26"/>
  <c r="C14" i="25"/>
  <c r="C14" i="34"/>
  <c r="D14" i="3"/>
  <c r="D15" i="53"/>
  <c r="D36" i="53"/>
  <c r="E57" i="54"/>
  <c r="E48" i="54"/>
  <c r="E37" i="54"/>
  <c r="E21" i="54"/>
  <c r="C35" i="32"/>
  <c r="C21" i="33"/>
  <c r="C21" i="58"/>
  <c r="C21" i="59"/>
  <c r="C21" i="60"/>
  <c r="C21" i="61"/>
  <c r="C21" i="30"/>
  <c r="C21" i="29"/>
  <c r="C21" i="27"/>
  <c r="C21" i="26"/>
  <c r="C21" i="32"/>
  <c r="C21" i="25"/>
  <c r="C21" i="34"/>
  <c r="D21" i="3"/>
  <c r="C16" i="33"/>
  <c r="C16" i="58"/>
  <c r="C16" i="59"/>
  <c r="C16" i="60"/>
  <c r="C16" i="61"/>
  <c r="C16" i="30"/>
  <c r="C16" i="29"/>
  <c r="C16" i="27"/>
  <c r="C16" i="26"/>
  <c r="C16" i="32"/>
  <c r="C16" i="25"/>
  <c r="C16" i="34"/>
  <c r="D16" i="3"/>
  <c r="C12" i="33"/>
  <c r="C12" i="58"/>
  <c r="C35" i="58" s="1"/>
  <c r="C12" i="59"/>
  <c r="C12" i="60"/>
  <c r="C12" i="61"/>
  <c r="C12" i="30"/>
  <c r="C35" i="30" s="1"/>
  <c r="C12" i="29"/>
  <c r="C35" i="29" s="1"/>
  <c r="C12" i="26"/>
  <c r="C35" i="26" s="1"/>
  <c r="C12" i="32"/>
  <c r="C12" i="25"/>
  <c r="C35" i="25" s="1"/>
  <c r="C12" i="34"/>
  <c r="D12" i="3"/>
  <c r="C8" i="33"/>
  <c r="C8" i="58"/>
  <c r="C8" i="59"/>
  <c r="C8" i="60"/>
  <c r="C8" i="61"/>
  <c r="C8" i="30"/>
  <c r="C8" i="29"/>
  <c r="C8" i="27"/>
  <c r="C8" i="26"/>
  <c r="C8" i="32"/>
  <c r="C8" i="25"/>
  <c r="C8" i="34"/>
  <c r="D8" i="3"/>
  <c r="E67" i="54" l="1"/>
  <c r="C35" i="59"/>
  <c r="C35" i="60"/>
  <c r="C35" i="61"/>
  <c r="C35" i="33"/>
  <c r="C20" i="35"/>
  <c r="C15" i="35"/>
  <c r="C35" i="34"/>
  <c r="D35" i="3"/>
  <c r="C34" i="35" l="1"/>
  <c r="C38" i="35" s="1"/>
  <c r="C37" i="35"/>
  <c r="C39" i="33"/>
  <c r="C38" i="33"/>
  <c r="C38" i="58"/>
  <c r="C39" i="59"/>
  <c r="C38" i="60"/>
  <c r="C38" i="61"/>
  <c r="C39" i="30"/>
  <c r="C38" i="30"/>
  <c r="C39" i="29"/>
  <c r="C39" i="27"/>
  <c r="C38" i="27"/>
  <c r="C39" i="26"/>
  <c r="C38" i="26"/>
  <c r="C39" i="32"/>
  <c r="C38" i="32"/>
  <c r="C39" i="25"/>
  <c r="C38" i="25"/>
  <c r="C39" i="34"/>
  <c r="C38" i="34"/>
  <c r="D39" i="3"/>
  <c r="D38" i="3"/>
  <c r="D49" i="53" l="1"/>
  <c r="D51" i="53" s="1"/>
</calcChain>
</file>

<file path=xl/sharedStrings.xml><?xml version="1.0" encoding="utf-8"?>
<sst xmlns="http://schemas.openxmlformats.org/spreadsheetml/2006/main" count="655" uniqueCount="109">
  <si>
    <t xml:space="preserve">אלפי ₪ </t>
  </si>
  <si>
    <t>סך עמלות קסטודיאן לצדדים קשורים</t>
  </si>
  <si>
    <t>סך עמלות קסטודיאן לצדדים שאינם קשורים</t>
  </si>
  <si>
    <t>סך הוצאות הנובעות מהשקעה בזכויות מקרקעין</t>
  </si>
  <si>
    <t>סך הכל הוצאות ישירות</t>
  </si>
  <si>
    <t>שם הקופה:</t>
  </si>
  <si>
    <t>סך תשלומים בגין השקעה בתעודות סל ישראליות</t>
  </si>
  <si>
    <t>סה"כ מהשקעות לא סחירות</t>
  </si>
  <si>
    <t>UBS</t>
  </si>
  <si>
    <t>State Street Global Advisors</t>
  </si>
  <si>
    <t>בנק לאומי</t>
  </si>
  <si>
    <t>בנק דיסקונט</t>
  </si>
  <si>
    <t>M&amp;G Investments</t>
  </si>
  <si>
    <t>סך תשלומים למנהלי תיקים זרים</t>
  </si>
  <si>
    <t>BlackRock Inc USA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</si>
  <si>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</si>
  <si>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</si>
  <si>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</si>
  <si>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</si>
  <si>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</si>
  <si>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</si>
  <si>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</si>
  <si>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</si>
  <si>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</si>
  <si>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</si>
  <si>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</si>
  <si>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</si>
  <si>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</si>
  <si>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</si>
  <si>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</si>
  <si>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</si>
  <si>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</si>
  <si>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</si>
  <si>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</si>
  <si>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</si>
  <si>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</si>
  <si>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מסך נכסים לסוף שנה קודמת (באחוזים)</t>
  </si>
  <si>
    <t>סך נכסים לסוף שנה קודמת</t>
  </si>
  <si>
    <t>ברוקראז'- עמלות קניה ומכירה בגין עיסקאות בניירות ערך סחירים</t>
  </si>
  <si>
    <t>צדדים קשורים</t>
  </si>
  <si>
    <t>צדדים שאינם קשורים</t>
  </si>
  <si>
    <t>אחרים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</si>
  <si>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</si>
  <si>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</si>
  <si>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</si>
  <si>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</si>
  <si>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</si>
  <si>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</si>
  <si>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</si>
  <si>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</si>
  <si>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</si>
  <si>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</si>
  <si>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</si>
  <si>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</si>
  <si>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</si>
  <si>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</si>
  <si>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</si>
  <si>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</si>
  <si>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</si>
  <si>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</si>
  <si>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</si>
  <si>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</si>
  <si>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</si>
  <si>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תשלום בגין השקעה בתעודת סל</t>
  </si>
  <si>
    <t>תעודת סל ישראלית</t>
  </si>
  <si>
    <t>תעודת סל זרה</t>
  </si>
  <si>
    <t>סך תשלומים בגין השקעה בתעודות סל</t>
  </si>
  <si>
    <t>סך הכל עמלות ניהול חיצוני</t>
  </si>
  <si>
    <t>סך נכסים לסוף תקופה</t>
  </si>
  <si>
    <t/>
  </si>
  <si>
    <t>יו בנק</t>
  </si>
  <si>
    <t>גוף 1</t>
  </si>
  <si>
    <t>גוף 2</t>
  </si>
  <si>
    <t xml:space="preserve">סך תשלומים בגין השקעת בקרנות נאמנות </t>
  </si>
  <si>
    <t>בנק הפועלים</t>
  </si>
  <si>
    <t>גוף 3</t>
  </si>
  <si>
    <t>אחר</t>
  </si>
  <si>
    <t>PIONEER ASSET MANAGEMENT</t>
  </si>
  <si>
    <t>31.12.2016</t>
  </si>
  <si>
    <t>IGUD</t>
  </si>
  <si>
    <t>גוף 4</t>
  </si>
  <si>
    <t>גוף 5</t>
  </si>
  <si>
    <t>BROOKFIELD</t>
  </si>
  <si>
    <t>מגדל מקפת קרנות פנסיה וקופות גמל בע"מ</t>
  </si>
  <si>
    <t>מגדל השתלמות- מסלול כללי- מספר באוצר 579</t>
  </si>
  <si>
    <t>מגדל השתלמות- מסלול אג"ח עד 10% מניות- מספר באוצר 599</t>
  </si>
  <si>
    <t>מגדל השתלמות- מסלול ביג כללי לפחות 30% מניות- מספר באוצר 1157</t>
  </si>
  <si>
    <t>מגדל השתלמות- מסלול מניות- מספר באוצר 869</t>
  </si>
  <si>
    <t>מגדל השתלמות- מסלול חו"ל- מספר באוצר 868</t>
  </si>
  <si>
    <t>מגדל השתלמות- מסלול שקלי טווח קצר- מספר באוצר 864</t>
  </si>
  <si>
    <t>מגדל השתלמות- מסלול אג"ח ממשלתי ישראלי- מספר באוצר 865</t>
  </si>
  <si>
    <t>מגדל השתלמות- מסלול אג"ח- מספר באוצר 199</t>
  </si>
  <si>
    <t>מגדל השתלמות- מסלול כהלכה- מספר באוצר 2048</t>
  </si>
  <si>
    <t>מגדל השתלמות- מסלול לבני 50 ומטה- מספר באוצר 7253</t>
  </si>
  <si>
    <t>מגדל השתלמות- מסלול לבני 50 עד 60- מספר באוצר 7254</t>
  </si>
  <si>
    <t>מגדל השתלמות- מסלול פאסיבי כללי- מספר באוצר 7256</t>
  </si>
  <si>
    <t>מגדל השתלמות- מסלול לבני 60 ומעלה- מספר באוצר 470</t>
  </si>
  <si>
    <t>שם הקופה: מגדל השתלמות- מצרפי (מספרים באוצר- 579, 199, 599, 865, 868, 864, 869, 1157, 2048, 7253, 7254, 7256, 470)</t>
  </si>
  <si>
    <t>נספח 1 - סך התשלומים ששולמו בעד כל סוג של הוצאה ישירה לשנה המסתיימת ביום 31.12.2016</t>
  </si>
  <si>
    <t xml:space="preserve">נספח 2 - פירוט עמלות והוצאות לשנה המסתיימת ביום </t>
  </si>
  <si>
    <t>נספח 3- פירוט עמלות ניהול חיצוני לשנה המסתיימת ביום:</t>
  </si>
  <si>
    <t>JPMORGAN</t>
  </si>
  <si>
    <t>PSAGOT</t>
  </si>
  <si>
    <t>GOLDMAN</t>
  </si>
  <si>
    <t>BENLEUMI</t>
  </si>
  <si>
    <t>OPPENHEI</t>
  </si>
  <si>
    <t>DASH</t>
  </si>
  <si>
    <t>CANTOR</t>
  </si>
  <si>
    <t>IBI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</si>
</sst>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sz val="11"/>
      <name val="Arial"/>
      <family val="2"/>
      <scheme val="minor"/>
    </font>
    <font>
      <b/>
      <u/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family val="2"/>
    </font>
    <font>
      <b/>
      <u/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7" fillId="0" borderId="0"/>
    <xf numFmtId="0" fontId="10" fillId="0" borderId="0"/>
  </cellStyleXfs>
  <cellXfs count="88">
    <xf numFmtId="0" fontId="0" fillId="0" borderId="0" xfId="0"/>
    <xf numFmtId="0" fontId="2" fillId="0" borderId="0" xfId="0" applyFont="1" applyAlignment="1"/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2" fillId="0" borderId="0" xfId="1" applyNumberFormat="1" applyFont="1" applyAlignment="1">
      <alignment horizontal="right"/>
    </xf>
    <xf numFmtId="0" fontId="3" fillId="0" borderId="0" xfId="0" applyFont="1"/>
    <xf numFmtId="165" fontId="0" fillId="3" borderId="3" xfId="1" applyNumberFormat="1" applyFont="1" applyFill="1" applyBorder="1"/>
    <xf numFmtId="165" fontId="0" fillId="2" borderId="3" xfId="1" applyNumberFormat="1" applyFont="1" applyFill="1" applyBorder="1"/>
    <xf numFmtId="0" fontId="2" fillId="2" borderId="4" xfId="0" applyFont="1" applyFill="1" applyBorder="1" applyAlignment="1"/>
    <xf numFmtId="165" fontId="0" fillId="3" borderId="5" xfId="1" applyNumberFormat="1" applyFont="1" applyFill="1" applyBorder="1"/>
    <xf numFmtId="0" fontId="5" fillId="0" borderId="0" xfId="0" applyFont="1" applyAlignment="1"/>
    <xf numFmtId="0" fontId="5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0" fillId="2" borderId="8" xfId="0" applyFill="1" applyBorder="1" applyAlignment="1"/>
    <xf numFmtId="0" fontId="2" fillId="2" borderId="10" xfId="0" applyFont="1" applyFill="1" applyBorder="1" applyAlignment="1"/>
    <xf numFmtId="0" fontId="5" fillId="2" borderId="13" xfId="0" applyFont="1" applyFill="1" applyBorder="1" applyAlignment="1"/>
    <xf numFmtId="0" fontId="0" fillId="2" borderId="4" xfId="0" applyFill="1" applyBorder="1" applyAlignment="1"/>
    <xf numFmtId="0" fontId="4" fillId="2" borderId="4" xfId="0" applyFont="1" applyFill="1" applyBorder="1" applyAlignment="1"/>
    <xf numFmtId="0" fontId="2" fillId="2" borderId="14" xfId="0" applyFont="1" applyFill="1" applyBorder="1" applyAlignment="1"/>
    <xf numFmtId="0" fontId="6" fillId="0" borderId="0" xfId="0" applyFont="1"/>
    <xf numFmtId="165" fontId="0" fillId="4" borderId="3" xfId="1" applyNumberFormat="1" applyFont="1" applyFill="1" applyBorder="1"/>
    <xf numFmtId="165" fontId="0" fillId="0" borderId="0" xfId="0" applyNumberFormat="1"/>
    <xf numFmtId="0" fontId="5" fillId="0" borderId="0" xfId="0" applyFont="1"/>
    <xf numFmtId="0" fontId="0" fillId="0" borderId="0" xfId="0" applyBorder="1"/>
    <xf numFmtId="0" fontId="2" fillId="0" borderId="0" xfId="0" applyFont="1" applyFill="1" applyBorder="1" applyAlignment="1"/>
    <xf numFmtId="0" fontId="0" fillId="2" borderId="13" xfId="0" applyFill="1" applyBorder="1" applyAlignment="1"/>
    <xf numFmtId="0" fontId="0" fillId="2" borderId="7" xfId="0" applyFill="1" applyBorder="1" applyAlignment="1"/>
    <xf numFmtId="0" fontId="8" fillId="0" borderId="0" xfId="0" applyFont="1"/>
    <xf numFmtId="0" fontId="2" fillId="2" borderId="8" xfId="0" applyFont="1" applyFill="1" applyBorder="1" applyAlignment="1">
      <alignment wrapText="1"/>
    </xf>
    <xf numFmtId="10" fontId="0" fillId="3" borderId="3" xfId="2" applyNumberFormat="1" applyFont="1" applyFill="1" applyBorder="1"/>
    <xf numFmtId="165" fontId="0" fillId="3" borderId="11" xfId="1" applyNumberFormat="1" applyFont="1" applyFill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165" fontId="0" fillId="2" borderId="3" xfId="1" applyNumberFormat="1" applyFont="1" applyFill="1" applyBorder="1" applyAlignment="1">
      <alignment horizontal="right"/>
    </xf>
    <xf numFmtId="0" fontId="7" fillId="2" borderId="20" xfId="0" applyNumberFormat="1" applyFont="1" applyFill="1" applyBorder="1" applyAlignment="1">
      <alignment horizontal="right" readingOrder="2"/>
    </xf>
    <xf numFmtId="0" fontId="7" fillId="2" borderId="9" xfId="0" applyFont="1" applyFill="1" applyBorder="1" applyAlignment="1">
      <alignment horizontal="right"/>
    </xf>
    <xf numFmtId="165" fontId="0" fillId="3" borderId="3" xfId="1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19" xfId="0" applyNumberFormat="1" applyFont="1" applyFill="1" applyBorder="1" applyAlignment="1">
      <alignment horizontal="right" readingOrder="2"/>
    </xf>
    <xf numFmtId="0" fontId="7" fillId="2" borderId="7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right"/>
    </xf>
    <xf numFmtId="165" fontId="0" fillId="3" borderId="5" xfId="1" applyNumberFormat="1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0" fontId="7" fillId="2" borderId="16" xfId="0" applyNumberFormat="1" applyFont="1" applyFill="1" applyBorder="1" applyAlignment="1">
      <alignment horizontal="right" readingOrder="2"/>
    </xf>
    <xf numFmtId="0" fontId="2" fillId="2" borderId="9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7" fillId="2" borderId="25" xfId="0" applyFont="1" applyFill="1" applyBorder="1" applyAlignment="1">
      <alignment horizontal="right"/>
    </xf>
    <xf numFmtId="0" fontId="0" fillId="2" borderId="13" xfId="0" applyFill="1" applyBorder="1" applyAlignment="1"/>
    <xf numFmtId="0" fontId="0" fillId="2" borderId="7" xfId="0" applyFill="1" applyBorder="1" applyAlignment="1"/>
    <xf numFmtId="0" fontId="2" fillId="2" borderId="27" xfId="0" applyFont="1" applyFill="1" applyBorder="1" applyAlignment="1">
      <alignment horizontal="right"/>
    </xf>
    <xf numFmtId="0" fontId="7" fillId="2" borderId="8" xfId="0" applyNumberFormat="1" applyFont="1" applyFill="1" applyBorder="1" applyAlignment="1">
      <alignment horizontal="right" readingOrder="2"/>
    </xf>
    <xf numFmtId="0" fontId="2" fillId="2" borderId="0" xfId="0" applyFont="1" applyFill="1" applyBorder="1" applyAlignment="1">
      <alignment horizontal="right"/>
    </xf>
    <xf numFmtId="0" fontId="7" fillId="2" borderId="28" xfId="0" applyNumberFormat="1" applyFont="1" applyFill="1" applyBorder="1" applyAlignment="1">
      <alignment horizontal="right" readingOrder="2"/>
    </xf>
    <xf numFmtId="165" fontId="2" fillId="5" borderId="3" xfId="1" applyNumberFormat="1" applyFont="1" applyFill="1" applyBorder="1" applyAlignment="1">
      <alignment horizontal="right"/>
    </xf>
    <xf numFmtId="165" fontId="11" fillId="2" borderId="3" xfId="1" applyNumberFormat="1" applyFont="1" applyFill="1" applyBorder="1" applyAlignment="1">
      <alignment horizontal="right"/>
    </xf>
    <xf numFmtId="165" fontId="5" fillId="3" borderId="11" xfId="1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 horizontal="right"/>
    </xf>
    <xf numFmtId="165" fontId="5" fillId="3" borderId="26" xfId="1" applyNumberFormat="1" applyFont="1" applyFill="1" applyBorder="1" applyAlignment="1">
      <alignment horizontal="right"/>
    </xf>
    <xf numFmtId="164" fontId="0" fillId="0" borderId="0" xfId="0" applyNumberFormat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0" fontId="0" fillId="2" borderId="6" xfId="0" applyFill="1" applyBorder="1" applyAlignment="1"/>
    <xf numFmtId="0" fontId="0" fillId="2" borderId="7" xfId="0" applyFill="1" applyBorder="1" applyAlignment="1"/>
    <xf numFmtId="165" fontId="2" fillId="2" borderId="1" xfId="1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0" fontId="0" fillId="2" borderId="12" xfId="0" applyFill="1" applyBorder="1" applyAlignment="1"/>
    <xf numFmtId="0" fontId="0" fillId="2" borderId="13" xfId="0" applyFill="1" applyBorder="1" applyAlignment="1"/>
    <xf numFmtId="0" fontId="12" fillId="0" borderId="29" xfId="0" applyFont="1" applyFill="1" applyBorder="1" applyAlignment="1">
      <alignment horizontal="center" wrapText="1"/>
    </xf>
  </cellXfs>
  <cellStyles count="6">
    <cellStyle name="Comma" xfId="1" builtinId="3"/>
    <cellStyle name="Normal" xfId="0" builtinId="0"/>
    <cellStyle name="Normal 2" xfId="3"/>
    <cellStyle name="Normal 3" xfId="4"/>
    <cellStyle name="Normal 5" xfId="5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/>
  <dimension ref="B1:H51"/>
  <sheetViews>
    <sheetView rightToLeft="1" topLeftCell="A22" workbookViewId="0">
      <selection activeCell="C15" sqref="C15"/>
    </sheetView>
  </sheetViews>
  <sheetFormatPr defaultRowHeight="14.25" x14ac:dyDescent="0.2"/>
  <cols>
    <col min="1" max="1" width="1.75" customWidth="1"/>
    <col min="2" max="2" width="1.75" bestFit="1" customWidth="1"/>
    <col min="3" max="3" width="55.875" bestFit="1" customWidth="1"/>
    <col min="4" max="4" width="10.875" bestFit="1" customWidth="1"/>
    <col min="6" max="8" width="10.75" customWidth="1"/>
    <col min="9" max="9" width="11.5" customWidth="1"/>
  </cols>
  <sheetData>
    <row r="1" spans="2:8" ht="15" x14ac:dyDescent="0.25">
      <c r="B1" s="28" t="s">
        <v>83</v>
      </c>
    </row>
    <row r="2" spans="2:8" x14ac:dyDescent="0.2">
      <c r="B2" s="1" t="s">
        <v>98</v>
      </c>
      <c r="D2" s="2"/>
    </row>
    <row r="3" spans="2:8" x14ac:dyDescent="0.2">
      <c r="B3" s="3"/>
      <c r="D3" s="4"/>
      <c r="H3" s="20"/>
    </row>
    <row r="4" spans="2:8" ht="15" x14ac:dyDescent="0.25">
      <c r="B4" s="10" t="s">
        <v>5</v>
      </c>
      <c r="D4" s="2"/>
      <c r="H4" s="20"/>
    </row>
    <row r="5" spans="2:8" ht="16.5" thickBot="1" x14ac:dyDescent="0.3">
      <c r="B5" s="79" t="s">
        <v>84</v>
      </c>
      <c r="D5" s="2"/>
    </row>
    <row r="6" spans="2:8" ht="14.25" customHeight="1" x14ac:dyDescent="0.2">
      <c r="B6" s="85"/>
      <c r="C6" s="81"/>
      <c r="D6" s="83" t="s">
        <v>0</v>
      </c>
    </row>
    <row r="7" spans="2:8" x14ac:dyDescent="0.2">
      <c r="B7" s="86"/>
      <c r="C7" s="82"/>
      <c r="D7" s="84"/>
    </row>
    <row r="8" spans="2:8" ht="15" x14ac:dyDescent="0.25">
      <c r="B8" s="16">
        <v>1</v>
      </c>
      <c r="C8" s="11" t="s">
        <v>15</v>
      </c>
      <c r="D8" s="21">
        <f>SUM(D9:D10)</f>
        <v>3337.05</v>
      </c>
    </row>
    <row r="9" spans="2:8" x14ac:dyDescent="0.2">
      <c r="B9" s="8"/>
      <c r="C9" s="12" t="s">
        <v>16</v>
      </c>
      <c r="D9" s="6">
        <v>17.439999999999998</v>
      </c>
    </row>
    <row r="10" spans="2:8" x14ac:dyDescent="0.2">
      <c r="B10" s="8"/>
      <c r="C10" s="12" t="s">
        <v>17</v>
      </c>
      <c r="D10" s="6">
        <f>3319.21+0.4</f>
        <v>3319.61</v>
      </c>
    </row>
    <row r="11" spans="2:8" x14ac:dyDescent="0.2">
      <c r="B11" s="8"/>
      <c r="C11" s="12"/>
      <c r="D11" s="7"/>
    </row>
    <row r="12" spans="2:8" ht="15" x14ac:dyDescent="0.25">
      <c r="B12" s="16">
        <v>2</v>
      </c>
      <c r="C12" s="11" t="s">
        <v>18</v>
      </c>
      <c r="D12" s="21">
        <f>SUM(D13:D14)</f>
        <v>1220.7611056819201</v>
      </c>
    </row>
    <row r="13" spans="2:8" x14ac:dyDescent="0.2">
      <c r="B13" s="8"/>
      <c r="C13" s="13" t="s">
        <v>1</v>
      </c>
      <c r="D13" s="9">
        <v>0.69</v>
      </c>
    </row>
    <row r="14" spans="2:8" x14ac:dyDescent="0.2">
      <c r="B14" s="8"/>
      <c r="C14" s="13" t="s">
        <v>2</v>
      </c>
      <c r="D14" s="9">
        <f>1198.24079568192+217202.45/1000-195372.14/1000</f>
        <v>1220.07110568192</v>
      </c>
    </row>
    <row r="15" spans="2:8" x14ac:dyDescent="0.2">
      <c r="B15" s="26"/>
      <c r="C15" s="27"/>
      <c r="D15" s="7"/>
    </row>
    <row r="16" spans="2:8" ht="15" x14ac:dyDescent="0.25">
      <c r="B16" s="16">
        <v>3</v>
      </c>
      <c r="C16" s="11" t="s">
        <v>7</v>
      </c>
      <c r="D16" s="21">
        <f>SUM(D17:D19)</f>
        <v>204.10903999999996</v>
      </c>
    </row>
    <row r="17" spans="2:4" ht="25.5" x14ac:dyDescent="0.2">
      <c r="B17" s="8" t="s">
        <v>19</v>
      </c>
      <c r="C17" s="29" t="s">
        <v>20</v>
      </c>
      <c r="D17" s="6">
        <v>94.333259999999967</v>
      </c>
    </row>
    <row r="18" spans="2:4" x14ac:dyDescent="0.2">
      <c r="B18" s="8" t="s">
        <v>21</v>
      </c>
      <c r="C18" s="29" t="s">
        <v>22</v>
      </c>
      <c r="D18" s="6">
        <v>109.77578</v>
      </c>
    </row>
    <row r="19" spans="2:4" x14ac:dyDescent="0.2">
      <c r="B19" s="8" t="s">
        <v>23</v>
      </c>
      <c r="C19" s="12" t="s">
        <v>3</v>
      </c>
      <c r="D19" s="6">
        <v>0</v>
      </c>
    </row>
    <row r="20" spans="2:4" x14ac:dyDescent="0.2">
      <c r="B20" s="17"/>
      <c r="C20" s="14"/>
      <c r="D20" s="7"/>
    </row>
    <row r="21" spans="2:4" ht="15" x14ac:dyDescent="0.25">
      <c r="B21" s="18">
        <v>4</v>
      </c>
      <c r="C21" s="11" t="s">
        <v>24</v>
      </c>
      <c r="D21" s="21">
        <f>SUM(D22:D29)</f>
        <v>13160.245582380052</v>
      </c>
    </row>
    <row r="22" spans="2:4" x14ac:dyDescent="0.2">
      <c r="B22" s="8"/>
      <c r="C22" s="12" t="s">
        <v>25</v>
      </c>
      <c r="D22" s="6">
        <v>851.32791274842259</v>
      </c>
    </row>
    <row r="23" spans="2:4" x14ac:dyDescent="0.2">
      <c r="B23" s="8"/>
      <c r="C23" s="12" t="s">
        <v>26</v>
      </c>
      <c r="D23" s="6">
        <v>4717.5162235055705</v>
      </c>
    </row>
    <row r="24" spans="2:4" x14ac:dyDescent="0.2">
      <c r="B24" s="8"/>
      <c r="C24" s="12" t="s">
        <v>27</v>
      </c>
      <c r="D24" s="6"/>
    </row>
    <row r="25" spans="2:4" x14ac:dyDescent="0.2">
      <c r="B25" s="8"/>
      <c r="C25" s="12" t="s">
        <v>13</v>
      </c>
      <c r="D25" s="6"/>
    </row>
    <row r="26" spans="2:4" x14ac:dyDescent="0.2">
      <c r="B26" s="8"/>
      <c r="C26" s="12" t="s">
        <v>6</v>
      </c>
      <c r="D26" s="6"/>
    </row>
    <row r="27" spans="2:4" x14ac:dyDescent="0.2">
      <c r="B27" s="8"/>
      <c r="C27" s="12" t="s">
        <v>28</v>
      </c>
      <c r="D27" s="6">
        <v>1462.3805399999999</v>
      </c>
    </row>
    <row r="28" spans="2:4" x14ac:dyDescent="0.2">
      <c r="B28" s="8"/>
      <c r="C28" s="12" t="s">
        <v>29</v>
      </c>
      <c r="D28" s="6">
        <v>0</v>
      </c>
    </row>
    <row r="29" spans="2:4" x14ac:dyDescent="0.2">
      <c r="B29" s="8"/>
      <c r="C29" s="12" t="s">
        <v>30</v>
      </c>
      <c r="D29" s="6">
        <v>6129.0209061260593</v>
      </c>
    </row>
    <row r="30" spans="2:4" x14ac:dyDescent="0.2">
      <c r="B30" s="8"/>
      <c r="C30" s="12"/>
      <c r="D30" s="7"/>
    </row>
    <row r="31" spans="2:4" ht="15" x14ac:dyDescent="0.25">
      <c r="B31" s="8">
        <v>5</v>
      </c>
      <c r="C31" s="11" t="s">
        <v>31</v>
      </c>
      <c r="D31" s="21">
        <v>0</v>
      </c>
    </row>
    <row r="32" spans="2:4" x14ac:dyDescent="0.2">
      <c r="B32" s="8" t="s">
        <v>19</v>
      </c>
      <c r="C32" s="12" t="s">
        <v>32</v>
      </c>
      <c r="D32" s="6"/>
    </row>
    <row r="33" spans="2:5" x14ac:dyDescent="0.2">
      <c r="B33" s="8" t="s">
        <v>21</v>
      </c>
      <c r="C33" s="12" t="s">
        <v>33</v>
      </c>
      <c r="D33" s="6"/>
    </row>
    <row r="34" spans="2:5" x14ac:dyDescent="0.2">
      <c r="B34" s="8"/>
      <c r="C34" s="12"/>
      <c r="D34" s="7"/>
    </row>
    <row r="35" spans="2:5" x14ac:dyDescent="0.2">
      <c r="B35" s="8"/>
      <c r="C35" s="12" t="s">
        <v>4</v>
      </c>
      <c r="D35" s="21">
        <f>D31+D21+D16+D12+D8</f>
        <v>17922.165728061973</v>
      </c>
    </row>
    <row r="36" spans="2:5" x14ac:dyDescent="0.2">
      <c r="B36" s="8"/>
      <c r="C36" s="12"/>
      <c r="D36" s="7"/>
    </row>
    <row r="37" spans="2:5" ht="15" x14ac:dyDescent="0.25">
      <c r="B37" s="8">
        <v>7</v>
      </c>
      <c r="C37" s="11" t="s">
        <v>34</v>
      </c>
      <c r="D37" s="7"/>
    </row>
    <row r="38" spans="2:5" ht="25.5" x14ac:dyDescent="0.2">
      <c r="B38" s="8" t="s">
        <v>19</v>
      </c>
      <c r="C38" s="29" t="s">
        <v>35</v>
      </c>
      <c r="D38" s="30">
        <f>(D17+D21+D33)/D41</f>
        <v>1.1723542773831523E-3</v>
      </c>
    </row>
    <row r="39" spans="2:5" x14ac:dyDescent="0.2">
      <c r="B39" s="8" t="s">
        <v>21</v>
      </c>
      <c r="C39" s="12" t="s">
        <v>36</v>
      </c>
      <c r="D39" s="30">
        <f>D35/D41</f>
        <v>1.5851976815802276E-3</v>
      </c>
    </row>
    <row r="40" spans="2:5" x14ac:dyDescent="0.2">
      <c r="B40" s="8"/>
      <c r="C40" s="12"/>
      <c r="D40" s="7"/>
    </row>
    <row r="41" spans="2:5" ht="15" thickBot="1" x14ac:dyDescent="0.25">
      <c r="B41" s="19"/>
      <c r="C41" s="15" t="s">
        <v>37</v>
      </c>
      <c r="D41" s="31">
        <v>11305950</v>
      </c>
    </row>
    <row r="43" spans="2:5" x14ac:dyDescent="0.2">
      <c r="C43" s="25"/>
    </row>
    <row r="44" spans="2:5" ht="15" x14ac:dyDescent="0.25">
      <c r="D44" s="23"/>
      <c r="E44" s="23"/>
    </row>
    <row r="45" spans="2:5" ht="15" x14ac:dyDescent="0.25">
      <c r="D45" s="23"/>
      <c r="E45" s="23"/>
    </row>
    <row r="46" spans="2:5" x14ac:dyDescent="0.2">
      <c r="D46" s="2"/>
      <c r="E46" s="22"/>
    </row>
    <row r="47" spans="2:5" ht="15" x14ac:dyDescent="0.25">
      <c r="D47" s="23"/>
    </row>
    <row r="51" spans="7:7" x14ac:dyDescent="0.2">
      <c r="G51" s="22"/>
    </row>
  </sheetData>
  <sheetProtection sheet="1" objects="1" scenarios="1"/>
  <mergeCells count="3">
    <mergeCell ref="C6:C7"/>
    <mergeCell ref="D6:D7"/>
    <mergeCell ref="B6:B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rightToLeft="1" topLeftCell="A25" workbookViewId="0">
      <selection activeCell="D42" sqref="D42"/>
    </sheetView>
  </sheetViews>
  <sheetFormatPr defaultRowHeight="14.25" x14ac:dyDescent="0.2"/>
  <cols>
    <col min="1" max="1" width="1.75" bestFit="1" customWidth="1"/>
    <col min="2" max="2" width="55.875" bestFit="1" customWidth="1"/>
    <col min="3" max="3" width="9.875" bestFit="1" customWidth="1"/>
  </cols>
  <sheetData>
    <row r="1" spans="1:6" ht="15" x14ac:dyDescent="0.25">
      <c r="B1" s="28" t="s">
        <v>83</v>
      </c>
    </row>
    <row r="2" spans="1:6" x14ac:dyDescent="0.2">
      <c r="B2" s="1" t="s">
        <v>98</v>
      </c>
      <c r="C2" s="2"/>
    </row>
    <row r="3" spans="1:6" x14ac:dyDescent="0.2">
      <c r="B3" s="3"/>
      <c r="C3" s="4"/>
      <c r="F3" s="20"/>
    </row>
    <row r="4" spans="1:6" ht="15" x14ac:dyDescent="0.25">
      <c r="B4" s="10" t="s">
        <v>5</v>
      </c>
      <c r="C4" s="2"/>
      <c r="F4" s="20"/>
    </row>
    <row r="5" spans="1:6" ht="16.5" thickBot="1" x14ac:dyDescent="0.3">
      <c r="B5" s="79" t="s">
        <v>93</v>
      </c>
      <c r="C5" s="2"/>
    </row>
    <row r="6" spans="1:6" ht="14.25" customHeight="1" x14ac:dyDescent="0.2">
      <c r="A6" s="85"/>
      <c r="B6" s="81"/>
      <c r="C6" s="83" t="s">
        <v>0</v>
      </c>
    </row>
    <row r="7" spans="1:6" x14ac:dyDescent="0.2">
      <c r="A7" s="86"/>
      <c r="B7" s="82"/>
      <c r="C7" s="84"/>
    </row>
    <row r="8" spans="1:6" ht="15" x14ac:dyDescent="0.25">
      <c r="A8" s="16">
        <v>1</v>
      </c>
      <c r="B8" s="11" t="s">
        <v>15</v>
      </c>
      <c r="C8" s="21">
        <f>SUM(C9:C10)</f>
        <v>11.78</v>
      </c>
    </row>
    <row r="9" spans="1:6" x14ac:dyDescent="0.2">
      <c r="A9" s="8"/>
      <c r="B9" s="12" t="s">
        <v>16</v>
      </c>
      <c r="C9" s="6">
        <v>0.28000000000000003</v>
      </c>
    </row>
    <row r="10" spans="1:6" x14ac:dyDescent="0.2">
      <c r="A10" s="8"/>
      <c r="B10" s="12" t="s">
        <v>17</v>
      </c>
      <c r="C10" s="6">
        <f>11.21+0.29</f>
        <v>11.5</v>
      </c>
    </row>
    <row r="11" spans="1:6" x14ac:dyDescent="0.2">
      <c r="A11" s="8"/>
      <c r="B11" s="12"/>
      <c r="C11" s="7"/>
    </row>
    <row r="12" spans="1:6" ht="15" x14ac:dyDescent="0.25">
      <c r="A12" s="16">
        <v>2</v>
      </c>
      <c r="B12" s="11" t="s">
        <v>18</v>
      </c>
      <c r="C12" s="21">
        <f>SUM(C13:C14)</f>
        <v>6.1871999999999989</v>
      </c>
    </row>
    <row r="13" spans="1:6" x14ac:dyDescent="0.2">
      <c r="A13" s="8"/>
      <c r="B13" s="13" t="s">
        <v>1</v>
      </c>
      <c r="C13" s="9">
        <v>0</v>
      </c>
    </row>
    <row r="14" spans="1:6" x14ac:dyDescent="0.2">
      <c r="A14" s="8"/>
      <c r="B14" s="13" t="s">
        <v>2</v>
      </c>
      <c r="C14" s="9">
        <f>5.959-2871.8/1000+(2500+600)/1000</f>
        <v>6.1871999999999989</v>
      </c>
    </row>
    <row r="15" spans="1:6" x14ac:dyDescent="0.2">
      <c r="A15" s="66"/>
      <c r="B15" s="67"/>
      <c r="C15" s="7"/>
    </row>
    <row r="16" spans="1:6" ht="15" x14ac:dyDescent="0.25">
      <c r="A16" s="16">
        <v>3</v>
      </c>
      <c r="B16" s="11" t="s">
        <v>7</v>
      </c>
      <c r="C16" s="21">
        <f>SUM(C17:C19)</f>
        <v>0</v>
      </c>
    </row>
    <row r="17" spans="1:3" ht="25.5" x14ac:dyDescent="0.2">
      <c r="A17" s="8" t="s">
        <v>19</v>
      </c>
      <c r="B17" s="29" t="s">
        <v>20</v>
      </c>
      <c r="C17" s="6">
        <v>0</v>
      </c>
    </row>
    <row r="18" spans="1:3" x14ac:dyDescent="0.2">
      <c r="A18" s="8" t="s">
        <v>21</v>
      </c>
      <c r="B18" s="29" t="s">
        <v>22</v>
      </c>
      <c r="C18" s="6">
        <v>0</v>
      </c>
    </row>
    <row r="19" spans="1:3" x14ac:dyDescent="0.2">
      <c r="A19" s="8" t="s">
        <v>23</v>
      </c>
      <c r="B19" s="12" t="s">
        <v>3</v>
      </c>
      <c r="C19" s="6">
        <v>0</v>
      </c>
    </row>
    <row r="20" spans="1:3" x14ac:dyDescent="0.2">
      <c r="A20" s="17"/>
      <c r="B20" s="14"/>
      <c r="C20" s="7"/>
    </row>
    <row r="21" spans="1:3" ht="15" x14ac:dyDescent="0.25">
      <c r="A21" s="18">
        <v>4</v>
      </c>
      <c r="B21" s="11" t="s">
        <v>24</v>
      </c>
      <c r="C21" s="21">
        <f>SUM(C22:C29)</f>
        <v>3.23061</v>
      </c>
    </row>
    <row r="22" spans="1:3" x14ac:dyDescent="0.2">
      <c r="A22" s="8"/>
      <c r="B22" s="12" t="s">
        <v>25</v>
      </c>
      <c r="C22" s="6">
        <v>0</v>
      </c>
    </row>
    <row r="23" spans="1:3" x14ac:dyDescent="0.2">
      <c r="A23" s="8"/>
      <c r="B23" s="12" t="s">
        <v>26</v>
      </c>
      <c r="C23" s="6">
        <v>0</v>
      </c>
    </row>
    <row r="24" spans="1:3" x14ac:dyDescent="0.2">
      <c r="A24" s="8"/>
      <c r="B24" s="12" t="s">
        <v>27</v>
      </c>
      <c r="C24" s="6"/>
    </row>
    <row r="25" spans="1:3" x14ac:dyDescent="0.2">
      <c r="A25" s="8"/>
      <c r="B25" s="12" t="s">
        <v>13</v>
      </c>
      <c r="C25" s="6"/>
    </row>
    <row r="26" spans="1:3" x14ac:dyDescent="0.2">
      <c r="A26" s="8"/>
      <c r="B26" s="12" t="s">
        <v>6</v>
      </c>
      <c r="C26" s="6"/>
    </row>
    <row r="27" spans="1:3" x14ac:dyDescent="0.2">
      <c r="A27" s="8"/>
      <c r="B27" s="12" t="s">
        <v>28</v>
      </c>
      <c r="C27" s="6">
        <v>2.3607100000000001</v>
      </c>
    </row>
    <row r="28" spans="1:3" x14ac:dyDescent="0.2">
      <c r="A28" s="8"/>
      <c r="B28" s="12" t="s">
        <v>29</v>
      </c>
      <c r="C28" s="6">
        <v>0</v>
      </c>
    </row>
    <row r="29" spans="1:3" x14ac:dyDescent="0.2">
      <c r="A29" s="8"/>
      <c r="B29" s="12" t="s">
        <v>30</v>
      </c>
      <c r="C29" s="6">
        <v>0.86990000000000001</v>
      </c>
    </row>
    <row r="30" spans="1:3" x14ac:dyDescent="0.2">
      <c r="A30" s="8"/>
      <c r="B30" s="12"/>
      <c r="C30" s="7"/>
    </row>
    <row r="31" spans="1:3" ht="15" x14ac:dyDescent="0.25">
      <c r="A31" s="8">
        <v>5</v>
      </c>
      <c r="B31" s="11" t="s">
        <v>31</v>
      </c>
      <c r="C31" s="21">
        <v>0</v>
      </c>
    </row>
    <row r="32" spans="1:3" x14ac:dyDescent="0.2">
      <c r="A32" s="8" t="s">
        <v>19</v>
      </c>
      <c r="B32" s="12" t="s">
        <v>32</v>
      </c>
      <c r="C32" s="6"/>
    </row>
    <row r="33" spans="1:4" x14ac:dyDescent="0.2">
      <c r="A33" s="8" t="s">
        <v>21</v>
      </c>
      <c r="B33" s="12" t="s">
        <v>33</v>
      </c>
      <c r="C33" s="6"/>
    </row>
    <row r="34" spans="1:4" x14ac:dyDescent="0.2">
      <c r="A34" s="8"/>
      <c r="B34" s="12"/>
      <c r="C34" s="7"/>
    </row>
    <row r="35" spans="1:4" x14ac:dyDescent="0.2">
      <c r="A35" s="8"/>
      <c r="B35" s="12" t="s">
        <v>4</v>
      </c>
      <c r="C35" s="21">
        <f>C31+C21+C16+C12+C8</f>
        <v>21.197809999999997</v>
      </c>
    </row>
    <row r="36" spans="1:4" x14ac:dyDescent="0.2">
      <c r="A36" s="8"/>
      <c r="B36" s="12"/>
      <c r="C36" s="7"/>
    </row>
    <row r="37" spans="1:4" ht="15" x14ac:dyDescent="0.25">
      <c r="A37" s="8">
        <v>7</v>
      </c>
      <c r="B37" s="11" t="s">
        <v>34</v>
      </c>
      <c r="C37" s="7"/>
    </row>
    <row r="38" spans="1:4" ht="25.5" x14ac:dyDescent="0.2">
      <c r="A38" s="8" t="s">
        <v>19</v>
      </c>
      <c r="B38" s="29" t="s">
        <v>35</v>
      </c>
      <c r="C38" s="30">
        <f>(C17+C21+C33)/C41</f>
        <v>2.1660834884998574E-3</v>
      </c>
    </row>
    <row r="39" spans="1:4" x14ac:dyDescent="0.2">
      <c r="A39" s="8" t="s">
        <v>21</v>
      </c>
      <c r="B39" s="12" t="s">
        <v>36</v>
      </c>
      <c r="C39" s="30">
        <v>1.4E-2</v>
      </c>
    </row>
    <row r="40" spans="1:4" x14ac:dyDescent="0.2">
      <c r="A40" s="8"/>
      <c r="B40" s="12"/>
      <c r="C40" s="7"/>
    </row>
    <row r="41" spans="1:4" ht="15" thickBot="1" x14ac:dyDescent="0.25">
      <c r="A41" s="19"/>
      <c r="B41" s="15" t="s">
        <v>37</v>
      </c>
      <c r="C41" s="31">
        <v>1491.4522072449713</v>
      </c>
    </row>
    <row r="43" spans="1:4" x14ac:dyDescent="0.2">
      <c r="B43" s="25"/>
    </row>
    <row r="44" spans="1:4" ht="15" x14ac:dyDescent="0.25">
      <c r="C44" s="23"/>
      <c r="D44" s="23"/>
    </row>
    <row r="45" spans="1:4" ht="15" x14ac:dyDescent="0.25">
      <c r="C45" s="23"/>
      <c r="D45" s="23"/>
    </row>
    <row r="46" spans="1:4" x14ac:dyDescent="0.2">
      <c r="C46" s="2"/>
      <c r="D46" s="22"/>
    </row>
    <row r="47" spans="1:4" ht="15" x14ac:dyDescent="0.25">
      <c r="C47" s="23"/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rightToLeft="1" topLeftCell="A22" workbookViewId="0">
      <selection activeCell="F39" sqref="F39"/>
    </sheetView>
  </sheetViews>
  <sheetFormatPr defaultRowHeight="14.25" x14ac:dyDescent="0.2"/>
  <cols>
    <col min="1" max="1" width="1.75" bestFit="1" customWidth="1"/>
    <col min="2" max="2" width="55.875" bestFit="1" customWidth="1"/>
    <col min="3" max="3" width="9.875" bestFit="1" customWidth="1"/>
  </cols>
  <sheetData>
    <row r="1" spans="1:6" ht="15" x14ac:dyDescent="0.25">
      <c r="B1" s="28" t="s">
        <v>83</v>
      </c>
    </row>
    <row r="2" spans="1:6" x14ac:dyDescent="0.2">
      <c r="B2" s="1" t="s">
        <v>98</v>
      </c>
      <c r="C2" s="2"/>
    </row>
    <row r="3" spans="1:6" x14ac:dyDescent="0.2">
      <c r="B3" s="3"/>
      <c r="C3" s="4"/>
      <c r="F3" s="20"/>
    </row>
    <row r="4" spans="1:6" ht="15" x14ac:dyDescent="0.25">
      <c r="B4" s="10" t="s">
        <v>5</v>
      </c>
      <c r="C4" s="2"/>
      <c r="F4" s="20"/>
    </row>
    <row r="5" spans="1:6" ht="16.5" thickBot="1" x14ac:dyDescent="0.3">
      <c r="B5" s="79" t="s">
        <v>94</v>
      </c>
      <c r="C5" s="2"/>
    </row>
    <row r="6" spans="1:6" ht="14.25" customHeight="1" x14ac:dyDescent="0.2">
      <c r="A6" s="85"/>
      <c r="B6" s="81"/>
      <c r="C6" s="83" t="s">
        <v>0</v>
      </c>
    </row>
    <row r="7" spans="1:6" x14ac:dyDescent="0.2">
      <c r="A7" s="86"/>
      <c r="B7" s="82"/>
      <c r="C7" s="84"/>
    </row>
    <row r="8" spans="1:6" ht="15" x14ac:dyDescent="0.25">
      <c r="A8" s="16">
        <v>1</v>
      </c>
      <c r="B8" s="11" t="s">
        <v>15</v>
      </c>
      <c r="C8" s="21">
        <f>SUM(C9:C10)</f>
        <v>4.91</v>
      </c>
    </row>
    <row r="9" spans="1:6" x14ac:dyDescent="0.2">
      <c r="A9" s="8"/>
      <c r="B9" s="12" t="s">
        <v>16</v>
      </c>
      <c r="C9" s="6">
        <v>0.19999999999999998</v>
      </c>
    </row>
    <row r="10" spans="1:6" x14ac:dyDescent="0.2">
      <c r="A10" s="8"/>
      <c r="B10" s="12" t="s">
        <v>17</v>
      </c>
      <c r="C10" s="6">
        <v>4.71</v>
      </c>
    </row>
    <row r="11" spans="1:6" x14ac:dyDescent="0.2">
      <c r="A11" s="8"/>
      <c r="B11" s="12"/>
      <c r="C11" s="7"/>
    </row>
    <row r="12" spans="1:6" ht="15" x14ac:dyDescent="0.25">
      <c r="A12" s="16">
        <v>2</v>
      </c>
      <c r="B12" s="11" t="s">
        <v>18</v>
      </c>
      <c r="C12" s="21">
        <f>SUM(C13:C14)</f>
        <v>2.1556099999999998</v>
      </c>
    </row>
    <row r="13" spans="1:6" x14ac:dyDescent="0.2">
      <c r="A13" s="8"/>
      <c r="B13" s="13" t="s">
        <v>1</v>
      </c>
      <c r="C13" s="9">
        <v>0</v>
      </c>
    </row>
    <row r="14" spans="1:6" x14ac:dyDescent="0.2">
      <c r="A14" s="8"/>
      <c r="B14" s="13" t="s">
        <v>2</v>
      </c>
      <c r="C14" s="9">
        <f>2.36-1404.39/1000+(1000+100+500)/1000-0.4</f>
        <v>2.1556099999999998</v>
      </c>
    </row>
    <row r="15" spans="1:6" x14ac:dyDescent="0.2">
      <c r="A15" s="66"/>
      <c r="B15" s="67"/>
      <c r="C15" s="7"/>
    </row>
    <row r="16" spans="1:6" ht="15" x14ac:dyDescent="0.25">
      <c r="A16" s="16">
        <v>3</v>
      </c>
      <c r="B16" s="11" t="s">
        <v>7</v>
      </c>
      <c r="C16" s="21">
        <f>SUM(C17:C19)</f>
        <v>0</v>
      </c>
    </row>
    <row r="17" spans="1:3" ht="25.5" x14ac:dyDescent="0.2">
      <c r="A17" s="8" t="s">
        <v>19</v>
      </c>
      <c r="B17" s="29" t="s">
        <v>20</v>
      </c>
      <c r="C17" s="6">
        <v>0</v>
      </c>
    </row>
    <row r="18" spans="1:3" x14ac:dyDescent="0.2">
      <c r="A18" s="8" t="s">
        <v>21</v>
      </c>
      <c r="B18" s="29" t="s">
        <v>22</v>
      </c>
      <c r="C18" s="6">
        <v>0</v>
      </c>
    </row>
    <row r="19" spans="1:3" x14ac:dyDescent="0.2">
      <c r="A19" s="8" t="s">
        <v>23</v>
      </c>
      <c r="B19" s="12" t="s">
        <v>3</v>
      </c>
      <c r="C19" s="6">
        <v>0</v>
      </c>
    </row>
    <row r="20" spans="1:3" x14ac:dyDescent="0.2">
      <c r="A20" s="17"/>
      <c r="B20" s="14"/>
      <c r="C20" s="7"/>
    </row>
    <row r="21" spans="1:3" ht="15" x14ac:dyDescent="0.25">
      <c r="A21" s="18">
        <v>4</v>
      </c>
      <c r="B21" s="11" t="s">
        <v>24</v>
      </c>
      <c r="C21" s="21">
        <f>SUM(C22:C29)</f>
        <v>0.99158999999999997</v>
      </c>
    </row>
    <row r="22" spans="1:3" x14ac:dyDescent="0.2">
      <c r="A22" s="8"/>
      <c r="B22" s="12" t="s">
        <v>25</v>
      </c>
      <c r="C22" s="6">
        <v>0</v>
      </c>
    </row>
    <row r="23" spans="1:3" x14ac:dyDescent="0.2">
      <c r="A23" s="8"/>
      <c r="B23" s="12" t="s">
        <v>26</v>
      </c>
      <c r="C23" s="6">
        <v>0</v>
      </c>
    </row>
    <row r="24" spans="1:3" x14ac:dyDescent="0.2">
      <c r="A24" s="8"/>
      <c r="B24" s="12" t="s">
        <v>27</v>
      </c>
      <c r="C24" s="6"/>
    </row>
    <row r="25" spans="1:3" x14ac:dyDescent="0.2">
      <c r="A25" s="8"/>
      <c r="B25" s="12" t="s">
        <v>13</v>
      </c>
      <c r="C25" s="6"/>
    </row>
    <row r="26" spans="1:3" x14ac:dyDescent="0.2">
      <c r="A26" s="8"/>
      <c r="B26" s="12" t="s">
        <v>6</v>
      </c>
      <c r="C26" s="6"/>
    </row>
    <row r="27" spans="1:3" x14ac:dyDescent="0.2">
      <c r="A27" s="8"/>
      <c r="B27" s="12" t="s">
        <v>28</v>
      </c>
      <c r="C27" s="6">
        <v>0.52659999999999996</v>
      </c>
    </row>
    <row r="28" spans="1:3" x14ac:dyDescent="0.2">
      <c r="A28" s="8"/>
      <c r="B28" s="12" t="s">
        <v>29</v>
      </c>
      <c r="C28" s="6">
        <v>0</v>
      </c>
    </row>
    <row r="29" spans="1:3" x14ac:dyDescent="0.2">
      <c r="A29" s="8"/>
      <c r="B29" s="12" t="s">
        <v>30</v>
      </c>
      <c r="C29" s="6">
        <v>0.46499000000000001</v>
      </c>
    </row>
    <row r="30" spans="1:3" x14ac:dyDescent="0.2">
      <c r="A30" s="8"/>
      <c r="B30" s="12"/>
      <c r="C30" s="7"/>
    </row>
    <row r="31" spans="1:3" ht="15" x14ac:dyDescent="0.25">
      <c r="A31" s="8">
        <v>5</v>
      </c>
      <c r="B31" s="11" t="s">
        <v>31</v>
      </c>
      <c r="C31" s="21">
        <v>0</v>
      </c>
    </row>
    <row r="32" spans="1:3" x14ac:dyDescent="0.2">
      <c r="A32" s="8" t="s">
        <v>19</v>
      </c>
      <c r="B32" s="12" t="s">
        <v>32</v>
      </c>
      <c r="C32" s="6"/>
    </row>
    <row r="33" spans="1:4" x14ac:dyDescent="0.2">
      <c r="A33" s="8" t="s">
        <v>21</v>
      </c>
      <c r="B33" s="12" t="s">
        <v>33</v>
      </c>
      <c r="C33" s="6"/>
    </row>
    <row r="34" spans="1:4" x14ac:dyDescent="0.2">
      <c r="A34" s="8"/>
      <c r="B34" s="12"/>
      <c r="C34" s="7"/>
    </row>
    <row r="35" spans="1:4" x14ac:dyDescent="0.2">
      <c r="A35" s="8"/>
      <c r="B35" s="12" t="s">
        <v>4</v>
      </c>
      <c r="C35" s="21">
        <f>C31+C21+C16+C12+C8</f>
        <v>8.0571999999999999</v>
      </c>
    </row>
    <row r="36" spans="1:4" x14ac:dyDescent="0.2">
      <c r="A36" s="8"/>
      <c r="B36" s="12"/>
      <c r="C36" s="7"/>
    </row>
    <row r="37" spans="1:4" ht="15" x14ac:dyDescent="0.25">
      <c r="A37" s="8">
        <v>7</v>
      </c>
      <c r="B37" s="11" t="s">
        <v>34</v>
      </c>
      <c r="C37" s="7"/>
    </row>
    <row r="38" spans="1:4" ht="25.5" x14ac:dyDescent="0.2">
      <c r="A38" s="8" t="s">
        <v>19</v>
      </c>
      <c r="B38" s="29" t="s">
        <v>35</v>
      </c>
      <c r="C38" s="30">
        <f>(C17+C21+C33)/C41</f>
        <v>1.8083525588308083E-3</v>
      </c>
    </row>
    <row r="39" spans="1:4" x14ac:dyDescent="0.2">
      <c r="A39" s="8" t="s">
        <v>21</v>
      </c>
      <c r="B39" s="12" t="s">
        <v>36</v>
      </c>
      <c r="C39" s="30">
        <v>1.54E-2</v>
      </c>
    </row>
    <row r="40" spans="1:4" x14ac:dyDescent="0.2">
      <c r="A40" s="8"/>
      <c r="B40" s="12"/>
      <c r="C40" s="7"/>
    </row>
    <row r="41" spans="1:4" ht="15" thickBot="1" x14ac:dyDescent="0.25">
      <c r="A41" s="19"/>
      <c r="B41" s="15" t="s">
        <v>37</v>
      </c>
      <c r="C41" s="31">
        <v>548.3388707349817</v>
      </c>
    </row>
    <row r="43" spans="1:4" x14ac:dyDescent="0.2">
      <c r="B43" s="25"/>
    </row>
    <row r="44" spans="1:4" ht="15" x14ac:dyDescent="0.25">
      <c r="C44" s="23"/>
      <c r="D44" s="23"/>
    </row>
    <row r="45" spans="1:4" ht="15" x14ac:dyDescent="0.25">
      <c r="C45" s="23"/>
      <c r="D45" s="23"/>
    </row>
    <row r="46" spans="1:4" x14ac:dyDescent="0.2">
      <c r="C46" s="2"/>
      <c r="D46" s="22"/>
    </row>
    <row r="47" spans="1:4" ht="15" x14ac:dyDescent="0.25">
      <c r="C47" s="23"/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rightToLeft="1" topLeftCell="A22" workbookViewId="0">
      <selection activeCell="E39" sqref="E39"/>
    </sheetView>
  </sheetViews>
  <sheetFormatPr defaultRowHeight="14.25" x14ac:dyDescent="0.2"/>
  <cols>
    <col min="1" max="1" width="1.75" bestFit="1" customWidth="1"/>
    <col min="2" max="2" width="55.875" bestFit="1" customWidth="1"/>
    <col min="3" max="3" width="9.875" bestFit="1" customWidth="1"/>
  </cols>
  <sheetData>
    <row r="1" spans="1:6" ht="15" x14ac:dyDescent="0.25">
      <c r="B1" s="28" t="s">
        <v>83</v>
      </c>
    </row>
    <row r="2" spans="1:6" x14ac:dyDescent="0.2">
      <c r="B2" s="1" t="s">
        <v>98</v>
      </c>
      <c r="C2" s="2"/>
    </row>
    <row r="3" spans="1:6" x14ac:dyDescent="0.2">
      <c r="B3" s="3"/>
      <c r="C3" s="4"/>
      <c r="F3" s="20"/>
    </row>
    <row r="4" spans="1:6" ht="15" x14ac:dyDescent="0.25">
      <c r="B4" s="10" t="s">
        <v>5</v>
      </c>
      <c r="C4" s="2"/>
      <c r="F4" s="20"/>
    </row>
    <row r="5" spans="1:6" ht="16.5" thickBot="1" x14ac:dyDescent="0.3">
      <c r="B5" s="79" t="s">
        <v>96</v>
      </c>
      <c r="C5" s="2"/>
    </row>
    <row r="6" spans="1:6" ht="14.25" customHeight="1" x14ac:dyDescent="0.2">
      <c r="A6" s="85"/>
      <c r="B6" s="81"/>
      <c r="C6" s="83" t="s">
        <v>0</v>
      </c>
    </row>
    <row r="7" spans="1:6" x14ac:dyDescent="0.2">
      <c r="A7" s="86"/>
      <c r="B7" s="82"/>
      <c r="C7" s="84"/>
    </row>
    <row r="8" spans="1:6" ht="15" x14ac:dyDescent="0.25">
      <c r="A8" s="16">
        <v>1</v>
      </c>
      <c r="B8" s="11" t="s">
        <v>15</v>
      </c>
      <c r="C8" s="21">
        <f>SUM(C9:C10)</f>
        <v>7.9199999999999982</v>
      </c>
    </row>
    <row r="9" spans="1:6" x14ac:dyDescent="0.2">
      <c r="A9" s="8"/>
      <c r="B9" s="12" t="s">
        <v>16</v>
      </c>
      <c r="C9" s="6">
        <v>0.29000000000000004</v>
      </c>
    </row>
    <row r="10" spans="1:6" x14ac:dyDescent="0.2">
      <c r="A10" s="8"/>
      <c r="B10" s="12" t="s">
        <v>17</v>
      </c>
      <c r="C10" s="6">
        <v>7.6299999999999981</v>
      </c>
    </row>
    <row r="11" spans="1:6" x14ac:dyDescent="0.2">
      <c r="A11" s="8"/>
      <c r="B11" s="12"/>
      <c r="C11" s="7"/>
    </row>
    <row r="12" spans="1:6" ht="15" x14ac:dyDescent="0.25">
      <c r="A12" s="16">
        <v>2</v>
      </c>
      <c r="B12" s="11" t="s">
        <v>18</v>
      </c>
      <c r="C12" s="21">
        <f>SUM(C13:C14)</f>
        <v>3.8773299999999997</v>
      </c>
    </row>
    <row r="13" spans="1:6" x14ac:dyDescent="0.2">
      <c r="A13" s="8"/>
      <c r="B13" s="13" t="s">
        <v>1</v>
      </c>
      <c r="C13" s="9">
        <v>0</v>
      </c>
    </row>
    <row r="14" spans="1:6" x14ac:dyDescent="0.2">
      <c r="A14" s="8"/>
      <c r="B14" s="13" t="s">
        <v>2</v>
      </c>
      <c r="C14" s="9">
        <f>3.589+288.33/1000</f>
        <v>3.8773299999999997</v>
      </c>
    </row>
    <row r="15" spans="1:6" x14ac:dyDescent="0.2">
      <c r="A15" s="66"/>
      <c r="B15" s="67"/>
      <c r="C15" s="7"/>
    </row>
    <row r="16" spans="1:6" ht="15" x14ac:dyDescent="0.25">
      <c r="A16" s="16">
        <v>3</v>
      </c>
      <c r="B16" s="11" t="s">
        <v>7</v>
      </c>
      <c r="C16" s="21">
        <f>SUM(C17:C19)</f>
        <v>0</v>
      </c>
    </row>
    <row r="17" spans="1:3" ht="25.5" x14ac:dyDescent="0.2">
      <c r="A17" s="8" t="s">
        <v>19</v>
      </c>
      <c r="B17" s="29" t="s">
        <v>20</v>
      </c>
      <c r="C17" s="6">
        <v>0</v>
      </c>
    </row>
    <row r="18" spans="1:3" x14ac:dyDescent="0.2">
      <c r="A18" s="8" t="s">
        <v>21</v>
      </c>
      <c r="B18" s="29" t="s">
        <v>22</v>
      </c>
      <c r="C18" s="6">
        <v>0</v>
      </c>
    </row>
    <row r="19" spans="1:3" x14ac:dyDescent="0.2">
      <c r="A19" s="8" t="s">
        <v>23</v>
      </c>
      <c r="B19" s="12" t="s">
        <v>3</v>
      </c>
      <c r="C19" s="6">
        <v>0</v>
      </c>
    </row>
    <row r="20" spans="1:3" x14ac:dyDescent="0.2">
      <c r="A20" s="17"/>
      <c r="B20" s="14"/>
      <c r="C20" s="7"/>
    </row>
    <row r="21" spans="1:3" ht="15" x14ac:dyDescent="0.25">
      <c r="A21" s="18">
        <v>4</v>
      </c>
      <c r="B21" s="11" t="s">
        <v>24</v>
      </c>
      <c r="C21" s="21">
        <f>SUM(C22:C29)</f>
        <v>4.0101300000000002</v>
      </c>
    </row>
    <row r="22" spans="1:3" x14ac:dyDescent="0.2">
      <c r="A22" s="8"/>
      <c r="B22" s="12" t="s">
        <v>25</v>
      </c>
      <c r="C22" s="6">
        <v>0</v>
      </c>
    </row>
    <row r="23" spans="1:3" x14ac:dyDescent="0.2">
      <c r="A23" s="8"/>
      <c r="B23" s="12" t="s">
        <v>26</v>
      </c>
      <c r="C23" s="6">
        <v>0</v>
      </c>
    </row>
    <row r="24" spans="1:3" x14ac:dyDescent="0.2">
      <c r="A24" s="8"/>
      <c r="B24" s="12" t="s">
        <v>27</v>
      </c>
      <c r="C24" s="6"/>
    </row>
    <row r="25" spans="1:3" x14ac:dyDescent="0.2">
      <c r="A25" s="8"/>
      <c r="B25" s="12" t="s">
        <v>13</v>
      </c>
      <c r="C25" s="6"/>
    </row>
    <row r="26" spans="1:3" x14ac:dyDescent="0.2">
      <c r="A26" s="8"/>
      <c r="B26" s="12" t="s">
        <v>6</v>
      </c>
      <c r="C26" s="6"/>
    </row>
    <row r="27" spans="1:3" x14ac:dyDescent="0.2">
      <c r="A27" s="8"/>
      <c r="B27" s="12" t="s">
        <v>28</v>
      </c>
      <c r="C27" s="6">
        <f>3.25333+0.3</f>
        <v>3.5533299999999999</v>
      </c>
    </row>
    <row r="28" spans="1:3" x14ac:dyDescent="0.2">
      <c r="A28" s="8"/>
      <c r="B28" s="12" t="s">
        <v>29</v>
      </c>
      <c r="C28" s="6">
        <v>0</v>
      </c>
    </row>
    <row r="29" spans="1:3" x14ac:dyDescent="0.2">
      <c r="A29" s="8"/>
      <c r="B29" s="12" t="s">
        <v>30</v>
      </c>
      <c r="C29" s="6">
        <v>0.45679999999999998</v>
      </c>
    </row>
    <row r="30" spans="1:3" x14ac:dyDescent="0.2">
      <c r="A30" s="8"/>
      <c r="B30" s="12"/>
      <c r="C30" s="7"/>
    </row>
    <row r="31" spans="1:3" ht="15" x14ac:dyDescent="0.25">
      <c r="A31" s="8">
        <v>5</v>
      </c>
      <c r="B31" s="11" t="s">
        <v>31</v>
      </c>
      <c r="C31" s="21">
        <v>0</v>
      </c>
    </row>
    <row r="32" spans="1:3" x14ac:dyDescent="0.2">
      <c r="A32" s="8" t="s">
        <v>19</v>
      </c>
      <c r="B32" s="12" t="s">
        <v>32</v>
      </c>
      <c r="C32" s="6"/>
    </row>
    <row r="33" spans="1:4" x14ac:dyDescent="0.2">
      <c r="A33" s="8" t="s">
        <v>21</v>
      </c>
      <c r="B33" s="12" t="s">
        <v>33</v>
      </c>
      <c r="C33" s="6"/>
    </row>
    <row r="34" spans="1:4" x14ac:dyDescent="0.2">
      <c r="A34" s="8"/>
      <c r="B34" s="12"/>
      <c r="C34" s="7"/>
    </row>
    <row r="35" spans="1:4" x14ac:dyDescent="0.2">
      <c r="A35" s="8"/>
      <c r="B35" s="12" t="s">
        <v>4</v>
      </c>
      <c r="C35" s="21">
        <f>C31+C21+C16+C12+C8</f>
        <v>15.807459999999999</v>
      </c>
    </row>
    <row r="36" spans="1:4" x14ac:dyDescent="0.2">
      <c r="A36" s="8"/>
      <c r="B36" s="12"/>
      <c r="C36" s="7"/>
    </row>
    <row r="37" spans="1:4" ht="15" x14ac:dyDescent="0.25">
      <c r="A37" s="8">
        <v>7</v>
      </c>
      <c r="B37" s="11" t="s">
        <v>34</v>
      </c>
      <c r="C37" s="7"/>
    </row>
    <row r="38" spans="1:4" ht="25.5" x14ac:dyDescent="0.2">
      <c r="A38" s="8" t="s">
        <v>19</v>
      </c>
      <c r="B38" s="29" t="s">
        <v>35</v>
      </c>
      <c r="C38" s="30">
        <v>5.9999999999999995E-4</v>
      </c>
    </row>
    <row r="39" spans="1:4" x14ac:dyDescent="0.2">
      <c r="A39" s="8" t="s">
        <v>21</v>
      </c>
      <c r="B39" s="12" t="s">
        <v>36</v>
      </c>
      <c r="C39" s="30">
        <f>C35/C41</f>
        <v>2.7060826708372528E-3</v>
      </c>
    </row>
    <row r="40" spans="1:4" x14ac:dyDescent="0.2">
      <c r="A40" s="8"/>
      <c r="B40" s="12"/>
      <c r="C40" s="7"/>
    </row>
    <row r="41" spans="1:4" ht="15" thickBot="1" x14ac:dyDescent="0.25">
      <c r="A41" s="19"/>
      <c r="B41" s="15" t="s">
        <v>37</v>
      </c>
      <c r="C41" s="31">
        <v>5841.4549453174041</v>
      </c>
    </row>
    <row r="43" spans="1:4" x14ac:dyDescent="0.2">
      <c r="B43" s="25"/>
    </row>
    <row r="44" spans="1:4" ht="15" x14ac:dyDescent="0.25">
      <c r="C44" s="23"/>
      <c r="D44" s="23"/>
    </row>
    <row r="45" spans="1:4" ht="15" x14ac:dyDescent="0.25">
      <c r="C45" s="23"/>
      <c r="D45" s="23"/>
    </row>
    <row r="46" spans="1:4" x14ac:dyDescent="0.2">
      <c r="C46" s="2"/>
      <c r="D46" s="22"/>
    </row>
    <row r="47" spans="1:4" ht="15" x14ac:dyDescent="0.25">
      <c r="C47" s="23"/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rightToLeft="1" topLeftCell="A19" workbookViewId="0">
      <selection activeCell="E39" sqref="E39"/>
    </sheetView>
  </sheetViews>
  <sheetFormatPr defaultRowHeight="14.25" x14ac:dyDescent="0.2"/>
  <cols>
    <col min="1" max="1" width="1.75" bestFit="1" customWidth="1"/>
    <col min="2" max="2" width="55.875" bestFit="1" customWidth="1"/>
    <col min="3" max="3" width="9.875" bestFit="1" customWidth="1"/>
  </cols>
  <sheetData>
    <row r="1" spans="1:6" ht="15" x14ac:dyDescent="0.25">
      <c r="B1" s="28" t="s">
        <v>83</v>
      </c>
    </row>
    <row r="2" spans="1:6" x14ac:dyDescent="0.2">
      <c r="B2" s="1" t="s">
        <v>98</v>
      </c>
      <c r="C2" s="2"/>
    </row>
    <row r="3" spans="1:6" x14ac:dyDescent="0.2">
      <c r="B3" s="3"/>
      <c r="C3" s="4"/>
      <c r="F3" s="20"/>
    </row>
    <row r="4" spans="1:6" ht="15" x14ac:dyDescent="0.25">
      <c r="B4" s="10" t="s">
        <v>5</v>
      </c>
      <c r="C4" s="2"/>
      <c r="F4" s="20"/>
    </row>
    <row r="5" spans="1:6" ht="16.5" thickBot="1" x14ac:dyDescent="0.3">
      <c r="B5" s="79" t="s">
        <v>95</v>
      </c>
      <c r="C5" s="2"/>
    </row>
    <row r="6" spans="1:6" ht="14.25" customHeight="1" x14ac:dyDescent="0.2">
      <c r="A6" s="85"/>
      <c r="B6" s="81"/>
      <c r="C6" s="83" t="s">
        <v>0</v>
      </c>
    </row>
    <row r="7" spans="1:6" x14ac:dyDescent="0.2">
      <c r="A7" s="86"/>
      <c r="B7" s="82"/>
      <c r="C7" s="84"/>
    </row>
    <row r="8" spans="1:6" ht="15" x14ac:dyDescent="0.25">
      <c r="A8" s="16">
        <v>1</v>
      </c>
      <c r="B8" s="11" t="s">
        <v>15</v>
      </c>
      <c r="C8" s="21">
        <f>SUM(C9:C10)</f>
        <v>13.28</v>
      </c>
    </row>
    <row r="9" spans="1:6" x14ac:dyDescent="0.2">
      <c r="A9" s="8"/>
      <c r="B9" s="12" t="s">
        <v>16</v>
      </c>
      <c r="C9" s="6">
        <v>0</v>
      </c>
    </row>
    <row r="10" spans="1:6" x14ac:dyDescent="0.2">
      <c r="A10" s="8"/>
      <c r="B10" s="12" t="s">
        <v>17</v>
      </c>
      <c r="C10" s="6">
        <v>13.28</v>
      </c>
    </row>
    <row r="11" spans="1:6" x14ac:dyDescent="0.2">
      <c r="A11" s="8"/>
      <c r="B11" s="12"/>
      <c r="C11" s="7"/>
    </row>
    <row r="12" spans="1:6" ht="15" x14ac:dyDescent="0.25">
      <c r="A12" s="16">
        <v>2</v>
      </c>
      <c r="B12" s="11" t="s">
        <v>18</v>
      </c>
      <c r="C12" s="21">
        <f>SUM(C13:C14)</f>
        <v>7.0389999999999997</v>
      </c>
    </row>
    <row r="13" spans="1:6" x14ac:dyDescent="0.2">
      <c r="A13" s="8"/>
      <c r="B13" s="13" t="s">
        <v>1</v>
      </c>
      <c r="C13" s="9">
        <v>0</v>
      </c>
    </row>
    <row r="14" spans="1:6" x14ac:dyDescent="0.2">
      <c r="A14" s="8"/>
      <c r="B14" s="13" t="s">
        <v>2</v>
      </c>
      <c r="C14" s="9">
        <f>7.35+189/1000-0.5</f>
        <v>7.0389999999999997</v>
      </c>
    </row>
    <row r="15" spans="1:6" x14ac:dyDescent="0.2">
      <c r="A15" s="66"/>
      <c r="B15" s="67"/>
      <c r="C15" s="7"/>
    </row>
    <row r="16" spans="1:6" ht="15" x14ac:dyDescent="0.25">
      <c r="A16" s="16">
        <v>3</v>
      </c>
      <c r="B16" s="11" t="s">
        <v>7</v>
      </c>
      <c r="C16" s="21">
        <f>SUM(C17:C19)</f>
        <v>0</v>
      </c>
    </row>
    <row r="17" spans="1:3" ht="25.5" x14ac:dyDescent="0.2">
      <c r="A17" s="8" t="s">
        <v>19</v>
      </c>
      <c r="B17" s="29" t="s">
        <v>20</v>
      </c>
      <c r="C17" s="6">
        <v>0</v>
      </c>
    </row>
    <row r="18" spans="1:3" x14ac:dyDescent="0.2">
      <c r="A18" s="8" t="s">
        <v>21</v>
      </c>
      <c r="B18" s="29" t="s">
        <v>22</v>
      </c>
      <c r="C18" s="6">
        <v>0</v>
      </c>
    </row>
    <row r="19" spans="1:3" x14ac:dyDescent="0.2">
      <c r="A19" s="8" t="s">
        <v>23</v>
      </c>
      <c r="B19" s="12" t="s">
        <v>3</v>
      </c>
      <c r="C19" s="6">
        <v>0</v>
      </c>
    </row>
    <row r="20" spans="1:3" x14ac:dyDescent="0.2">
      <c r="A20" s="17"/>
      <c r="B20" s="14"/>
      <c r="C20" s="7"/>
    </row>
    <row r="21" spans="1:3" ht="15" x14ac:dyDescent="0.25">
      <c r="A21" s="18">
        <v>4</v>
      </c>
      <c r="B21" s="11" t="s">
        <v>24</v>
      </c>
      <c r="C21" s="21">
        <f>SUM(C22:C29)</f>
        <v>9.6388699999999989</v>
      </c>
    </row>
    <row r="22" spans="1:3" x14ac:dyDescent="0.2">
      <c r="A22" s="8"/>
      <c r="B22" s="12" t="s">
        <v>25</v>
      </c>
      <c r="C22" s="6">
        <v>0</v>
      </c>
    </row>
    <row r="23" spans="1:3" x14ac:dyDescent="0.2">
      <c r="A23" s="8"/>
      <c r="B23" s="12" t="s">
        <v>26</v>
      </c>
      <c r="C23" s="6">
        <v>0</v>
      </c>
    </row>
    <row r="24" spans="1:3" x14ac:dyDescent="0.2">
      <c r="A24" s="8"/>
      <c r="B24" s="12" t="s">
        <v>27</v>
      </c>
      <c r="C24" s="6"/>
    </row>
    <row r="25" spans="1:3" x14ac:dyDescent="0.2">
      <c r="A25" s="8"/>
      <c r="B25" s="12" t="s">
        <v>13</v>
      </c>
      <c r="C25" s="6"/>
    </row>
    <row r="26" spans="1:3" x14ac:dyDescent="0.2">
      <c r="A26" s="8"/>
      <c r="B26" s="12" t="s">
        <v>6</v>
      </c>
      <c r="C26" s="6"/>
    </row>
    <row r="27" spans="1:3" x14ac:dyDescent="0.2">
      <c r="A27" s="8"/>
      <c r="B27" s="12" t="s">
        <v>28</v>
      </c>
      <c r="C27" s="6">
        <v>9.6388699999999989</v>
      </c>
    </row>
    <row r="28" spans="1:3" x14ac:dyDescent="0.2">
      <c r="A28" s="8"/>
      <c r="B28" s="12" t="s">
        <v>29</v>
      </c>
      <c r="C28" s="6">
        <v>0</v>
      </c>
    </row>
    <row r="29" spans="1:3" x14ac:dyDescent="0.2">
      <c r="A29" s="8"/>
      <c r="B29" s="12" t="s">
        <v>30</v>
      </c>
      <c r="C29" s="6">
        <v>0</v>
      </c>
    </row>
    <row r="30" spans="1:3" x14ac:dyDescent="0.2">
      <c r="A30" s="8"/>
      <c r="B30" s="12"/>
      <c r="C30" s="7"/>
    </row>
    <row r="31" spans="1:3" ht="15" x14ac:dyDescent="0.25">
      <c r="A31" s="8">
        <v>5</v>
      </c>
      <c r="B31" s="11" t="s">
        <v>31</v>
      </c>
      <c r="C31" s="21">
        <v>0</v>
      </c>
    </row>
    <row r="32" spans="1:3" x14ac:dyDescent="0.2">
      <c r="A32" s="8" t="s">
        <v>19</v>
      </c>
      <c r="B32" s="12" t="s">
        <v>32</v>
      </c>
      <c r="C32" s="6"/>
    </row>
    <row r="33" spans="1:4" x14ac:dyDescent="0.2">
      <c r="A33" s="8" t="s">
        <v>21</v>
      </c>
      <c r="B33" s="12" t="s">
        <v>33</v>
      </c>
      <c r="C33" s="6"/>
    </row>
    <row r="34" spans="1:4" x14ac:dyDescent="0.2">
      <c r="A34" s="8"/>
      <c r="B34" s="12"/>
      <c r="C34" s="7"/>
    </row>
    <row r="35" spans="1:4" x14ac:dyDescent="0.2">
      <c r="A35" s="8"/>
      <c r="B35" s="12" t="s">
        <v>4</v>
      </c>
      <c r="C35" s="21">
        <f>C31+C21+C16+C12+C8</f>
        <v>29.95787</v>
      </c>
    </row>
    <row r="36" spans="1:4" x14ac:dyDescent="0.2">
      <c r="A36" s="8"/>
      <c r="B36" s="12"/>
      <c r="C36" s="7"/>
    </row>
    <row r="37" spans="1:4" ht="15" x14ac:dyDescent="0.25">
      <c r="A37" s="8">
        <v>7</v>
      </c>
      <c r="B37" s="11" t="s">
        <v>34</v>
      </c>
      <c r="C37" s="7"/>
    </row>
    <row r="38" spans="1:4" ht="25.5" x14ac:dyDescent="0.2">
      <c r="A38" s="8" t="s">
        <v>19</v>
      </c>
      <c r="B38" s="29" t="s">
        <v>35</v>
      </c>
      <c r="C38" s="30">
        <f>(C17+C21+C33)/C41</f>
        <v>2.1449462840199729E-3</v>
      </c>
    </row>
    <row r="39" spans="1:4" x14ac:dyDescent="0.2">
      <c r="A39" s="8" t="s">
        <v>21</v>
      </c>
      <c r="B39" s="12" t="s">
        <v>36</v>
      </c>
      <c r="C39" s="30">
        <v>6.7999999999999996E-3</v>
      </c>
    </row>
    <row r="40" spans="1:4" x14ac:dyDescent="0.2">
      <c r="A40" s="8"/>
      <c r="B40" s="12"/>
      <c r="C40" s="7"/>
    </row>
    <row r="41" spans="1:4" ht="15" thickBot="1" x14ac:dyDescent="0.25">
      <c r="A41" s="19"/>
      <c r="B41" s="15" t="s">
        <v>37</v>
      </c>
      <c r="C41" s="31">
        <v>4493.7582222036872</v>
      </c>
    </row>
    <row r="43" spans="1:4" x14ac:dyDescent="0.2">
      <c r="B43" s="25"/>
    </row>
    <row r="44" spans="1:4" ht="15" x14ac:dyDescent="0.25">
      <c r="C44" s="23"/>
      <c r="D44" s="23"/>
    </row>
    <row r="45" spans="1:4" ht="15" x14ac:dyDescent="0.25">
      <c r="C45" s="23"/>
      <c r="D45" s="23"/>
    </row>
    <row r="46" spans="1:4" x14ac:dyDescent="0.2">
      <c r="C46" s="2"/>
      <c r="D46" s="22"/>
    </row>
    <row r="47" spans="1:4" ht="15" x14ac:dyDescent="0.25">
      <c r="C47" s="23"/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3">
    <pageSetUpPr fitToPage="1"/>
  </sheetPr>
  <dimension ref="A1:E46"/>
  <sheetViews>
    <sheetView rightToLeft="1" tabSelected="1" workbookViewId="0">
      <selection activeCell="B3" sqref="B3"/>
    </sheetView>
  </sheetViews>
  <sheetFormatPr defaultRowHeight="14.25" x14ac:dyDescent="0.2"/>
  <cols>
    <col min="1" max="1" width="1.875" bestFit="1" customWidth="1"/>
    <col min="2" max="2" width="55.875" bestFit="1" customWidth="1"/>
    <col min="3" max="3" width="11.375" customWidth="1"/>
    <col min="5" max="5" width="10.625" customWidth="1"/>
    <col min="6" max="6" width="10.75" customWidth="1"/>
    <col min="7" max="7" width="11.375" customWidth="1"/>
    <col min="8" max="8" width="11.125" customWidth="1"/>
  </cols>
  <sheetData>
    <row r="1" spans="1:3" ht="15" x14ac:dyDescent="0.25">
      <c r="B1" s="28" t="s">
        <v>83</v>
      </c>
    </row>
    <row r="2" spans="1:3" x14ac:dyDescent="0.2">
      <c r="B2" s="1" t="s">
        <v>98</v>
      </c>
      <c r="C2" s="2"/>
    </row>
    <row r="3" spans="1:3" x14ac:dyDescent="0.2">
      <c r="B3" s="3"/>
      <c r="C3" s="4"/>
    </row>
    <row r="4" spans="1:3" ht="32.25" thickBot="1" x14ac:dyDescent="0.3">
      <c r="B4" s="80" t="s">
        <v>97</v>
      </c>
      <c r="C4" s="2"/>
    </row>
    <row r="5" spans="1:3" ht="14.25" customHeight="1" x14ac:dyDescent="0.2">
      <c r="A5" s="85"/>
      <c r="B5" s="81"/>
      <c r="C5" s="83" t="s">
        <v>0</v>
      </c>
    </row>
    <row r="6" spans="1:3" x14ac:dyDescent="0.2">
      <c r="A6" s="86"/>
      <c r="B6" s="82"/>
      <c r="C6" s="84"/>
    </row>
    <row r="7" spans="1:3" ht="15" x14ac:dyDescent="0.25">
      <c r="A7" s="16">
        <v>1</v>
      </c>
      <c r="B7" s="11" t="s">
        <v>15</v>
      </c>
      <c r="C7" s="21">
        <f>SUM(C8:C9)</f>
        <v>4056.9400000000005</v>
      </c>
    </row>
    <row r="8" spans="1:3" x14ac:dyDescent="0.2">
      <c r="A8" s="8"/>
      <c r="B8" s="12" t="s">
        <v>16</v>
      </c>
      <c r="C8" s="6">
        <f>'מסלול כללי'!D9+'מסלול אג"ח עד 10% מניות'!C9+'מסלול ביג כללי לפחות 30% מניות'!C9+'מסלול מניות'!C9+'מסלול חו"ל'!C9+'מסלול אג"ח ממשלתי ישראלי'!C9+'מסלול שקלי טווח קצר'!C9+'מסלול אג"ח'!C9+'מסלול כהלכה'!C9+'מסלול לבני 50 ומטה'!C9+'מסלול לבני 50 עד 60'!C9+'מסלול לבני 60 ומעלה'!C9+'מסלול פאסיבי כללי'!C9</f>
        <v>26.27</v>
      </c>
    </row>
    <row r="9" spans="1:3" x14ac:dyDescent="0.2">
      <c r="A9" s="8"/>
      <c r="B9" s="12" t="s">
        <v>17</v>
      </c>
      <c r="C9" s="6">
        <f>'מסלול כללי'!D10+'מסלול אג"ח עד 10% מניות'!C10+'מסלול ביג כללי לפחות 30% מניות'!C10+'מסלול מניות'!C10+'מסלול חו"ל'!C10+'מסלול אג"ח ממשלתי ישראלי'!C10+'מסלול שקלי טווח קצר'!C10+'מסלול אג"ח'!C10+'מסלול כהלכה'!C10+'מסלול לבני 50 ומטה'!C10+'מסלול לבני 50 עד 60'!C10+'מסלול לבני 60 ומעלה'!C10+'מסלול פאסיבי כללי'!C10+0.4</f>
        <v>4030.6700000000005</v>
      </c>
    </row>
    <row r="10" spans="1:3" x14ac:dyDescent="0.2">
      <c r="A10" s="8"/>
      <c r="B10" s="12"/>
      <c r="C10" s="7"/>
    </row>
    <row r="11" spans="1:3" ht="15" x14ac:dyDescent="0.25">
      <c r="A11" s="16">
        <v>2</v>
      </c>
      <c r="B11" s="11" t="s">
        <v>18</v>
      </c>
      <c r="C11" s="21">
        <f>SUM(C12:C13)</f>
        <v>1464.8107930248486</v>
      </c>
    </row>
    <row r="12" spans="1:3" x14ac:dyDescent="0.2">
      <c r="A12" s="8"/>
      <c r="B12" s="13" t="s">
        <v>1</v>
      </c>
      <c r="C12" s="6">
        <f>'מסלול כללי'!D13+'מסלול אג"ח עד 10% מניות'!C13+'מסלול ביג כללי לפחות 30% מניות'!C13+'מסלול מניות'!C13+'מסלול חו"ל'!C13+'מסלול אג"ח ממשלתי ישראלי'!C13+'מסלול שקלי טווח קצר'!C13+'מסלול אג"ח'!C13+'מסלול כהלכה'!C13+'מסלול לבני 50 ומטה'!C13+'מסלול לבני 50 עד 60'!C13+'מסלול לבני 60 ומעלה'!C13+'מסלול פאסיבי כללי'!C13</f>
        <v>1.585</v>
      </c>
    </row>
    <row r="13" spans="1:3" x14ac:dyDescent="0.2">
      <c r="A13" s="8"/>
      <c r="B13" s="13" t="s">
        <v>2</v>
      </c>
      <c r="C13" s="6">
        <f>'מסלול כללי'!D14+'מסלול אג"ח עד 10% מניות'!C14+'מסלול ביג כללי לפחות 30% מניות'!C14+'מסלול מניות'!C14+'מסלול חו"ל'!C14+'מסלול אג"ח ממשלתי ישראלי'!C14+'מסלול שקלי טווח קצר'!C14+'מסלול אג"ח'!C14+'מסלול כהלכה'!C14+'מסלול לבני 50 ומטה'!C14+'מסלול לבני 50 עד 60'!C14+'מסלול לבני 60 ומעלה'!C14+'מסלול פאסיבי כללי'!C14</f>
        <v>1463.2257930248486</v>
      </c>
    </row>
    <row r="14" spans="1:3" x14ac:dyDescent="0.2">
      <c r="A14" s="26"/>
      <c r="B14" s="27"/>
      <c r="C14" s="7"/>
    </row>
    <row r="15" spans="1:3" ht="15" x14ac:dyDescent="0.25">
      <c r="A15" s="16">
        <v>3</v>
      </c>
      <c r="B15" s="11" t="s">
        <v>7</v>
      </c>
      <c r="C15" s="21">
        <f>SUM(C16:C18)</f>
        <v>223.29105999999996</v>
      </c>
    </row>
    <row r="16" spans="1:3" ht="25.5" x14ac:dyDescent="0.2">
      <c r="A16" s="8" t="s">
        <v>19</v>
      </c>
      <c r="B16" s="29" t="s">
        <v>20</v>
      </c>
      <c r="C16" s="6">
        <f>'מסלול כללי'!D17+'מסלול אג"ח עד 10% מניות'!C17+'מסלול ביג כללי לפחות 30% מניות'!C17+'מסלול מניות'!C17+'מסלול חו"ל'!C17+'מסלול אג"ח ממשלתי ישראלי'!C17+'מסלול שקלי טווח קצר'!C17+'מסלול אג"ח'!C17+'מסלול כהלכה'!C17+'מסלול לבני 50 ומטה'!C17+'מסלול לבני 50 עד 60'!C17+'מסלול לבני 60 ומעלה'!C17+'מסלול פאסיבי כללי'!C17</f>
        <v>103.04992999999996</v>
      </c>
    </row>
    <row r="17" spans="1:5" x14ac:dyDescent="0.2">
      <c r="A17" s="8" t="s">
        <v>21</v>
      </c>
      <c r="B17" s="29" t="s">
        <v>22</v>
      </c>
      <c r="C17" s="6">
        <f>'מסלול כללי'!D18+'מסלול אג"ח עד 10% מניות'!C18+'מסלול ביג כללי לפחות 30% מניות'!C18+'מסלול מניות'!C18+'מסלול חו"ל'!C18+'מסלול אג"ח ממשלתי ישראלי'!C18+'מסלול שקלי טווח קצר'!C18+'מסלול אג"ח'!C18+'מסלול כהלכה'!C18+'מסלול לבני 50 ומטה'!C18+'מסלול לבני 50 עד 60'!C18+'מסלול לבני 60 ומעלה'!C18+'מסלול פאסיבי כללי'!C18</f>
        <v>120.24113000000001</v>
      </c>
    </row>
    <row r="18" spans="1:5" x14ac:dyDescent="0.2">
      <c r="A18" s="8" t="s">
        <v>23</v>
      </c>
      <c r="B18" s="12" t="s">
        <v>3</v>
      </c>
      <c r="C18" s="6">
        <f>'מסלול כללי'!D19+'מסלול אג"ח עד 10% מניות'!C19+'מסלול ביג כללי לפחות 30% מניות'!C19+'מסלול מניות'!C19+'מסלול חו"ל'!C19+'מסלול אג"ח ממשלתי ישראלי'!C19+'מסלול שקלי טווח קצר'!C19+'מסלול אג"ח'!C19+'מסלול כהלכה'!C19+'מסלול לבני 50 ומטה'!C19+'מסלול לבני 50 עד 60'!C19+'מסלול לבני 60 ומעלה'!C19+'מסלול פאסיבי כללי'!C19</f>
        <v>0</v>
      </c>
    </row>
    <row r="19" spans="1:5" x14ac:dyDescent="0.2">
      <c r="A19" s="17"/>
      <c r="B19" s="14"/>
      <c r="C19" s="7"/>
    </row>
    <row r="20" spans="1:5" ht="15" x14ac:dyDescent="0.25">
      <c r="A20" s="18">
        <v>4</v>
      </c>
      <c r="B20" s="11" t="s">
        <v>24</v>
      </c>
      <c r="C20" s="21">
        <f>SUM(C21:C28)</f>
        <v>14206.270401838176</v>
      </c>
      <c r="E20" s="2"/>
    </row>
    <row r="21" spans="1:5" x14ac:dyDescent="0.2">
      <c r="A21" s="8"/>
      <c r="B21" s="12" t="s">
        <v>25</v>
      </c>
      <c r="C21" s="6">
        <f>'מסלול כללי'!D22+'מסלול אג"ח עד 10% מניות'!C22+'מסלול ביג כללי לפחות 30% מניות'!C22+'מסלול מניות'!C22+'מסלול חו"ל'!C22+'מסלול אג"ח ממשלתי ישראלי'!C22+'מסלול שקלי טווח קצר'!C22+'מסלול אג"ח'!C22+'מסלול כהלכה'!C22+'מסלול לבני 50 ומטה'!C22+'מסלול לבני 50 עד 60'!C22+'מסלול לבני 60 ומעלה'!C22+'מסלול פאסיבי כללי'!C22+0.1</f>
        <v>862.58354857900588</v>
      </c>
    </row>
    <row r="22" spans="1:5" x14ac:dyDescent="0.2">
      <c r="A22" s="8"/>
      <c r="B22" s="12" t="s">
        <v>26</v>
      </c>
      <c r="C22" s="6">
        <f>'מסלול כללי'!D23+'מסלול אג"ח עד 10% מניות'!C23+'מסלול ביג כללי לפחות 30% מניות'!C23+'מסלול מניות'!C23+'מסלול חו"ל'!C23+'מסלול אג"ח ממשלתי ישראלי'!C23+'מסלול שקלי טווח קצר'!C23+'מסלול אג"ח'!C23+'מסלול כהלכה'!C23+'מסלול לבני 50 ומטה'!C23+'מסלול לבני 50 עד 60'!C23+'מסלול לבני 60 ומעלה'!C23+'מסלול פאסיבי כללי'!C23-0.1</f>
        <v>4763.0809517750276</v>
      </c>
    </row>
    <row r="23" spans="1:5" x14ac:dyDescent="0.2">
      <c r="A23" s="8"/>
      <c r="B23" s="12" t="s">
        <v>27</v>
      </c>
      <c r="C23" s="6">
        <f>'מסלול כללי'!D24+'מסלול אג"ח עד 10% מניות'!C24+'מסלול ביג כללי לפחות 30% מניות'!C24+'מסלול מניות'!C24+'מסלול חו"ל'!C24+'מסלול אג"ח ממשלתי ישראלי'!C24+'מסלול שקלי טווח קצר'!C24+'מסלול אג"ח'!C24+'מסלול כהלכה'!C24+'מסלול לבני 50 ומטה'!C24+'מסלול לבני 50 עד 60'!C24+'מסלול לבני 60 ומעלה'!C24+'מסלול פאסיבי כללי'!C24</f>
        <v>0</v>
      </c>
    </row>
    <row r="24" spans="1:5" x14ac:dyDescent="0.2">
      <c r="A24" s="8"/>
      <c r="B24" s="12" t="s">
        <v>13</v>
      </c>
      <c r="C24" s="6">
        <f>'מסלול כללי'!D25+'מסלול אג"ח עד 10% מניות'!C25+'מסלול ביג כללי לפחות 30% מניות'!C25+'מסלול מניות'!C25+'מסלול חו"ל'!C25+'מסלול אג"ח ממשלתי ישראלי'!C25+'מסלול שקלי טווח קצר'!C25+'מסלול אג"ח'!C25+'מסלול כהלכה'!C25+'מסלול לבני 50 ומטה'!C25+'מסלול לבני 50 עד 60'!C25+'מסלול לבני 60 ומעלה'!C25+'מסלול פאסיבי כללי'!C25</f>
        <v>0</v>
      </c>
    </row>
    <row r="25" spans="1:5" x14ac:dyDescent="0.2">
      <c r="A25" s="8"/>
      <c r="B25" s="12" t="s">
        <v>6</v>
      </c>
      <c r="C25" s="6">
        <f>'מסלול כללי'!D26+'מסלול אג"ח עד 10% מניות'!C26+'מסלול ביג כללי לפחות 30% מניות'!C26+'מסלול מניות'!C26+'מסלול חו"ל'!C26+'מסלול אג"ח ממשלתי ישראלי'!C26+'מסלול שקלי טווח קצר'!C26+'מסלול אג"ח'!C26+'מסלול כהלכה'!C26+'מסלול לבני 50 ומטה'!C26+'מסלול לבני 50 עד 60'!C26+'מסלול לבני 60 ומעלה'!C26+'מסלול פאסיבי כללי'!C26</f>
        <v>6.9641900000000003</v>
      </c>
    </row>
    <row r="26" spans="1:5" x14ac:dyDescent="0.2">
      <c r="A26" s="8"/>
      <c r="B26" s="12" t="s">
        <v>28</v>
      </c>
      <c r="C26" s="6">
        <f>'מסלול כללי'!D27+'מסלול אג"ח עד 10% מניות'!C27+'מסלול ביג כללי לפחות 30% מניות'!C27+'מסלול מניות'!C27+'מסלול חו"ל'!C27+'מסלול אג"ח ממשלתי ישראלי'!C27+'מסלול שקלי טווח קצר'!C27+'מסלול אג"ח'!C27+'מסלול כהלכה'!C27+'מסלול לבני 50 ומטה'!C27+'מסלול לבני 50 עד 60'!C27+'מסלול לבני 60 ומעלה'!C27+'מסלול פאסיבי כללי'!C27</f>
        <v>1927.3986599999994</v>
      </c>
    </row>
    <row r="27" spans="1:5" x14ac:dyDescent="0.2">
      <c r="A27" s="8"/>
      <c r="B27" s="12" t="s">
        <v>29</v>
      </c>
      <c r="C27" s="6">
        <f>'מסלול כללי'!D28+'מסלול אג"ח עד 10% מניות'!C28+'מסלול ביג כללי לפחות 30% מניות'!C28+'מסלול מניות'!C28+'מסלול חו"ל'!C28+'מסלול אג"ח ממשלתי ישראלי'!C28+'מסלול שקלי טווח קצר'!C28+'מסלול אג"ח'!C28+'מסלול כהלכה'!C28+'מסלול לבני 50 ומטה'!C28+'מסלול לבני 50 עד 60'!C28+'מסלול לבני 60 ומעלה'!C28+'מסלול פאסיבי כללי'!C28</f>
        <v>0</v>
      </c>
    </row>
    <row r="28" spans="1:5" x14ac:dyDescent="0.2">
      <c r="A28" s="8"/>
      <c r="B28" s="12" t="s">
        <v>30</v>
      </c>
      <c r="C28" s="6">
        <f>'מסלול כללי'!D29+'מסלול אג"ח עד 10% מניות'!C29+'מסלול ביג כללי לפחות 30% מניות'!C29+'מסלול מניות'!C29+'מסלול חו"ל'!C29+'מסלול אג"ח ממשלתי ישראלי'!C29+'מסלול שקלי טווח קצר'!C29+'מסלול אג"ח'!C29+'מסלול כהלכה'!C29+'מסלול לבני 50 ומטה'!C29+'מסלול לבני 50 עד 60'!C29+'מסלול לבני 60 ומעלה'!C29+'מסלול פאסיבי כללי'!C29-0.3</f>
        <v>6646.2430514841435</v>
      </c>
    </row>
    <row r="29" spans="1:5" x14ac:dyDescent="0.2">
      <c r="A29" s="8"/>
      <c r="B29" s="12"/>
      <c r="C29" s="7"/>
    </row>
    <row r="30" spans="1:5" ht="15" x14ac:dyDescent="0.25">
      <c r="A30" s="8">
        <v>5</v>
      </c>
      <c r="B30" s="11" t="s">
        <v>31</v>
      </c>
      <c r="C30" s="21">
        <v>0</v>
      </c>
    </row>
    <row r="31" spans="1:5" x14ac:dyDescent="0.2">
      <c r="A31" s="8" t="s">
        <v>19</v>
      </c>
      <c r="B31" s="12" t="s">
        <v>32</v>
      </c>
      <c r="C31" s="6">
        <f>'מסלול כללי'!D32+'מסלול אג"ח עד 10% מניות'!C32+'מסלול ביג כללי לפחות 30% מניות'!C32+'מסלול מניות'!C32+'מסלול חו"ל'!C32+'מסלול אג"ח ממשלתי ישראלי'!C32+'מסלול שקלי טווח קצר'!C32+'מסלול אג"ח'!C32+'מסלול כהלכה'!C32+'מסלול לבני 50 ומטה'!C32+'מסלול לבני 50 עד 60'!C32+'מסלול לבני 60 ומעלה'!C32+'מסלול פאסיבי כללי'!C32</f>
        <v>0</v>
      </c>
    </row>
    <row r="32" spans="1:5" x14ac:dyDescent="0.2">
      <c r="A32" s="8" t="s">
        <v>21</v>
      </c>
      <c r="B32" s="12" t="s">
        <v>33</v>
      </c>
      <c r="C32" s="6">
        <f>'מסלול כללי'!D33+'מסלול אג"ח עד 10% מניות'!C33+'מסלול ביג כללי לפחות 30% מניות'!C33+'מסלול מניות'!C33+'מסלול חו"ל'!C33+'מסלול אג"ח ממשלתי ישראלי'!C33+'מסלול שקלי טווח קצר'!C33+'מסלול אג"ח'!C33+'מסלול כהלכה'!C33+'מסלול לבני 50 ומטה'!C33+'מסלול לבני 50 עד 60'!C33+'מסלול לבני 60 ומעלה'!C33+'מסלול פאסיבי כללי'!C33</f>
        <v>0</v>
      </c>
    </row>
    <row r="33" spans="1:4" x14ac:dyDescent="0.2">
      <c r="A33" s="8"/>
      <c r="B33" s="12"/>
      <c r="C33" s="7"/>
    </row>
    <row r="34" spans="1:4" x14ac:dyDescent="0.2">
      <c r="A34" s="8"/>
      <c r="B34" s="12" t="s">
        <v>4</v>
      </c>
      <c r="C34" s="21">
        <f>C30+C20+C15+C11+C7</f>
        <v>19951.312254863024</v>
      </c>
    </row>
    <row r="35" spans="1:4" x14ac:dyDescent="0.2">
      <c r="A35" s="8"/>
      <c r="B35" s="12"/>
      <c r="C35" s="7"/>
    </row>
    <row r="36" spans="1:4" ht="15" x14ac:dyDescent="0.25">
      <c r="A36" s="8">
        <v>7</v>
      </c>
      <c r="B36" s="11" t="s">
        <v>34</v>
      </c>
      <c r="C36" s="7"/>
    </row>
    <row r="37" spans="1:4" ht="25.5" x14ac:dyDescent="0.2">
      <c r="A37" s="8" t="s">
        <v>19</v>
      </c>
      <c r="B37" s="29" t="s">
        <v>35</v>
      </c>
      <c r="C37" s="30">
        <f>(C16+C20+C32)/C40</f>
        <v>1.0744161500209029E-3</v>
      </c>
    </row>
    <row r="38" spans="1:4" x14ac:dyDescent="0.2">
      <c r="A38" s="8" t="s">
        <v>21</v>
      </c>
      <c r="B38" s="12" t="s">
        <v>36</v>
      </c>
      <c r="C38" s="30">
        <f>C34/C40</f>
        <v>1.4980454419655249E-3</v>
      </c>
    </row>
    <row r="39" spans="1:4" x14ac:dyDescent="0.2">
      <c r="A39" s="8"/>
      <c r="B39" s="12"/>
      <c r="C39" s="7"/>
    </row>
    <row r="40" spans="1:4" ht="15" thickBot="1" x14ac:dyDescent="0.25">
      <c r="A40" s="19"/>
      <c r="B40" s="15" t="s">
        <v>37</v>
      </c>
      <c r="C40" s="6">
        <f>'מסלול כללי'!D41+'מסלול אג"ח עד 10% מניות'!C41+'מסלול ביג כללי לפחות 30% מניות'!C41+'מסלול מניות'!C41+'מסלול חו"ל'!C41+'מסלול אג"ח ממשלתי ישראלי'!C41+'מסלול שקלי טווח קצר'!C41+'מסלול אג"ח'!C41+'מסלול כהלכה'!C41+'מסלול לבני 50 ומטה'!C41+'מסלול לבני 50 עד 60'!C41+'מסלול לבני 60 ומעלה'!C41+'מסלול פאסיבי כללי'!C41</f>
        <v>13318229.004245501</v>
      </c>
    </row>
    <row r="42" spans="1:4" x14ac:dyDescent="0.2">
      <c r="B42" s="25"/>
    </row>
    <row r="43" spans="1:4" ht="15" x14ac:dyDescent="0.25">
      <c r="C43" s="23"/>
      <c r="D43" s="23"/>
    </row>
    <row r="44" spans="1:4" ht="15" x14ac:dyDescent="0.25">
      <c r="C44" s="23"/>
      <c r="D44" s="23"/>
    </row>
    <row r="45" spans="1:4" x14ac:dyDescent="0.2">
      <c r="C45" s="2"/>
      <c r="D45" s="22"/>
    </row>
    <row r="46" spans="1:4" ht="15" x14ac:dyDescent="0.25">
      <c r="C46" s="23"/>
    </row>
  </sheetData>
  <sheetProtection sheet="1" objects="1" scenarios="1"/>
  <mergeCells count="3">
    <mergeCell ref="A5:A6"/>
    <mergeCell ref="B5:B6"/>
    <mergeCell ref="C5:C6"/>
  </mergeCells>
  <pageMargins left="0.70866141732283461" right="0.70866141732283461" top="0.3543307086614173" bottom="0.3543307086614173" header="0" footer="0"/>
  <pageSetup paperSize="9"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9"/>
  <sheetViews>
    <sheetView rightToLeft="1" workbookViewId="0">
      <selection activeCell="H6" sqref="H6"/>
    </sheetView>
  </sheetViews>
  <sheetFormatPr defaultRowHeight="14.25" x14ac:dyDescent="0.2"/>
  <cols>
    <col min="1" max="1" width="2.375" customWidth="1"/>
    <col min="2" max="2" width="4.5" customWidth="1"/>
    <col min="3" max="3" width="7.25" customWidth="1"/>
    <col min="4" max="4" width="43.5" customWidth="1"/>
    <col min="5" max="5" width="10.625" customWidth="1"/>
  </cols>
  <sheetData>
    <row r="1" spans="2:5" ht="15" x14ac:dyDescent="0.25">
      <c r="B1" s="28" t="s">
        <v>83</v>
      </c>
      <c r="C1" s="28"/>
    </row>
    <row r="2" spans="2:5" x14ac:dyDescent="0.2">
      <c r="B2" s="33" t="s">
        <v>99</v>
      </c>
      <c r="C2" s="32"/>
      <c r="D2" s="4"/>
      <c r="E2" t="s">
        <v>78</v>
      </c>
    </row>
    <row r="3" spans="2:5" ht="15" x14ac:dyDescent="0.25">
      <c r="B3" s="10"/>
    </row>
    <row r="4" spans="2:5" ht="33" customHeight="1" thickBot="1" x14ac:dyDescent="0.3">
      <c r="B4" s="87" t="s">
        <v>97</v>
      </c>
      <c r="C4" s="87"/>
      <c r="D4" s="87"/>
    </row>
    <row r="5" spans="2:5" x14ac:dyDescent="0.2">
      <c r="B5" s="34" t="s">
        <v>38</v>
      </c>
      <c r="C5" s="68"/>
      <c r="D5" s="35"/>
      <c r="E5" s="36" t="s">
        <v>0</v>
      </c>
    </row>
    <row r="6" spans="2:5" x14ac:dyDescent="0.2">
      <c r="B6" s="42" t="s">
        <v>39</v>
      </c>
      <c r="C6" s="70"/>
      <c r="D6" s="40"/>
      <c r="E6" s="38"/>
    </row>
    <row r="7" spans="2:5" x14ac:dyDescent="0.2">
      <c r="B7" s="39"/>
      <c r="C7" s="69">
        <v>1</v>
      </c>
      <c r="D7" s="45" t="s">
        <v>79</v>
      </c>
      <c r="E7" s="41">
        <v>26.27</v>
      </c>
    </row>
    <row r="8" spans="2:5" x14ac:dyDescent="0.2">
      <c r="B8" s="39"/>
      <c r="C8" s="69">
        <v>2</v>
      </c>
      <c r="D8" s="45" t="s">
        <v>69</v>
      </c>
      <c r="E8" s="41">
        <v>0</v>
      </c>
    </row>
    <row r="9" spans="2:5" x14ac:dyDescent="0.2">
      <c r="B9" s="39"/>
      <c r="C9" s="69">
        <v>3</v>
      </c>
      <c r="D9" s="45" t="s">
        <v>69</v>
      </c>
      <c r="E9" s="41">
        <v>0</v>
      </c>
    </row>
    <row r="10" spans="2:5" x14ac:dyDescent="0.2">
      <c r="B10" s="42" t="s">
        <v>40</v>
      </c>
      <c r="C10" s="70"/>
      <c r="D10" s="40"/>
      <c r="E10" s="38"/>
    </row>
    <row r="11" spans="2:5" x14ac:dyDescent="0.2">
      <c r="B11" s="44"/>
      <c r="C11" s="71">
        <v>1</v>
      </c>
      <c r="D11" s="45" t="s">
        <v>8</v>
      </c>
      <c r="E11" s="41">
        <v>937.69</v>
      </c>
    </row>
    <row r="12" spans="2:5" x14ac:dyDescent="0.2">
      <c r="B12" s="44"/>
      <c r="C12" s="69">
        <v>2</v>
      </c>
      <c r="D12" s="45" t="s">
        <v>101</v>
      </c>
      <c r="E12" s="41">
        <f>389899.48/1000</f>
        <v>389.89947999999998</v>
      </c>
    </row>
    <row r="13" spans="2:5" x14ac:dyDescent="0.2">
      <c r="B13" s="44"/>
      <c r="C13" s="71">
        <v>3</v>
      </c>
      <c r="D13" s="45" t="s">
        <v>102</v>
      </c>
      <c r="E13" s="41">
        <f>386361.96/1000</f>
        <v>386.36196000000001</v>
      </c>
    </row>
    <row r="14" spans="2:5" x14ac:dyDescent="0.2">
      <c r="B14" s="44"/>
      <c r="C14" s="69">
        <v>4</v>
      </c>
      <c r="D14" s="45" t="s">
        <v>103</v>
      </c>
      <c r="E14" s="41">
        <f>373251.44/1000</f>
        <v>373.25144</v>
      </c>
    </row>
    <row r="15" spans="2:5" x14ac:dyDescent="0.2">
      <c r="B15" s="44"/>
      <c r="C15" s="71">
        <v>5</v>
      </c>
      <c r="D15" s="45" t="s">
        <v>104</v>
      </c>
      <c r="E15" s="41">
        <f>270293.8/1000</f>
        <v>270.29379999999998</v>
      </c>
    </row>
    <row r="16" spans="2:5" x14ac:dyDescent="0.2">
      <c r="B16" s="44"/>
      <c r="C16" s="69">
        <v>6</v>
      </c>
      <c r="D16" s="45" t="s">
        <v>105</v>
      </c>
      <c r="E16" s="41">
        <f>218420.44/1000+0.1</f>
        <v>218.52044000000001</v>
      </c>
    </row>
    <row r="17" spans="2:6" x14ac:dyDescent="0.2">
      <c r="B17" s="44"/>
      <c r="C17" s="71">
        <v>7</v>
      </c>
      <c r="D17" s="45" t="s">
        <v>106</v>
      </c>
      <c r="E17" s="41">
        <f>215739.8/1000</f>
        <v>215.7398</v>
      </c>
    </row>
    <row r="18" spans="2:6" x14ac:dyDescent="0.2">
      <c r="B18" s="44"/>
      <c r="C18" s="71">
        <v>8</v>
      </c>
      <c r="D18" s="45" t="s">
        <v>107</v>
      </c>
      <c r="E18" s="41">
        <f>195035.71/1000</f>
        <v>195.03570999999999</v>
      </c>
    </row>
    <row r="19" spans="2:6" x14ac:dyDescent="0.2">
      <c r="B19" s="44"/>
      <c r="C19" s="69">
        <v>9</v>
      </c>
      <c r="D19" s="45" t="s">
        <v>108</v>
      </c>
      <c r="E19" s="41">
        <f>173099.05/1000</f>
        <v>173.09904999999998</v>
      </c>
    </row>
    <row r="20" spans="2:6" x14ac:dyDescent="0.2">
      <c r="B20" s="44"/>
      <c r="C20" s="71">
        <v>10</v>
      </c>
      <c r="D20" s="45" t="s">
        <v>41</v>
      </c>
      <c r="E20" s="41">
        <f>3091.89-E13-E14-E15-E16-E17-E12-E18-E19+1.5</f>
        <v>871.18831999999952</v>
      </c>
    </row>
    <row r="21" spans="2:6" x14ac:dyDescent="0.2">
      <c r="B21" s="46" t="s">
        <v>42</v>
      </c>
      <c r="C21" s="70"/>
      <c r="D21" s="43"/>
      <c r="E21" s="72">
        <f>SUM(E7:E20)</f>
        <v>4057.3499999999995</v>
      </c>
    </row>
    <row r="22" spans="2:6" x14ac:dyDescent="0.2">
      <c r="B22" s="46"/>
      <c r="C22" s="47"/>
      <c r="D22" s="47"/>
      <c r="E22" s="38"/>
    </row>
    <row r="23" spans="2:6" x14ac:dyDescent="0.2">
      <c r="B23" s="46" t="s">
        <v>43</v>
      </c>
      <c r="C23" s="47"/>
      <c r="D23" s="40"/>
      <c r="E23" s="73"/>
    </row>
    <row r="24" spans="2:6" x14ac:dyDescent="0.2">
      <c r="B24" s="46" t="s">
        <v>39</v>
      </c>
      <c r="C24" s="47"/>
      <c r="D24" s="40"/>
      <c r="E24" s="73"/>
    </row>
    <row r="25" spans="2:6" x14ac:dyDescent="0.2">
      <c r="B25" s="59"/>
      <c r="C25" s="45">
        <v>1</v>
      </c>
      <c r="D25" s="45" t="s">
        <v>79</v>
      </c>
      <c r="E25" s="41">
        <v>1.585</v>
      </c>
    </row>
    <row r="26" spans="2:6" x14ac:dyDescent="0.2">
      <c r="B26" s="59"/>
      <c r="C26" s="45">
        <v>2</v>
      </c>
      <c r="D26" s="45" t="s">
        <v>69</v>
      </c>
      <c r="E26" s="41">
        <v>0</v>
      </c>
    </row>
    <row r="27" spans="2:6" x14ac:dyDescent="0.2">
      <c r="B27" s="59"/>
      <c r="C27" s="45">
        <v>3</v>
      </c>
      <c r="D27" s="45" t="s">
        <v>69</v>
      </c>
      <c r="E27" s="41">
        <v>0</v>
      </c>
    </row>
    <row r="28" spans="2:6" x14ac:dyDescent="0.2">
      <c r="B28" s="46" t="s">
        <v>40</v>
      </c>
      <c r="C28" s="47"/>
      <c r="D28" s="40"/>
      <c r="E28" s="38"/>
    </row>
    <row r="29" spans="2:6" x14ac:dyDescent="0.2">
      <c r="B29" s="59"/>
      <c r="C29" s="45">
        <v>1</v>
      </c>
      <c r="D29" s="45" t="s">
        <v>70</v>
      </c>
      <c r="E29" s="41">
        <v>592.11377000000005</v>
      </c>
    </row>
    <row r="30" spans="2:6" x14ac:dyDescent="0.2">
      <c r="B30" s="59"/>
      <c r="C30" s="45">
        <v>2</v>
      </c>
      <c r="D30" s="45" t="s">
        <v>8</v>
      </c>
      <c r="E30" s="41">
        <v>311.43771302484873</v>
      </c>
    </row>
    <row r="31" spans="2:6" x14ac:dyDescent="0.2">
      <c r="B31" s="59"/>
      <c r="C31" s="45">
        <v>3</v>
      </c>
      <c r="D31" s="45" t="s">
        <v>10</v>
      </c>
      <c r="E31" s="41">
        <f>285.32641+42.2</f>
        <v>327.52641</v>
      </c>
    </row>
    <row r="32" spans="2:6" x14ac:dyDescent="0.2">
      <c r="B32" s="59"/>
      <c r="C32" s="45">
        <v>4</v>
      </c>
      <c r="D32" s="45" t="s">
        <v>11</v>
      </c>
      <c r="E32" s="41">
        <v>148.36834000000002</v>
      </c>
      <c r="F32" s="24"/>
    </row>
    <row r="33" spans="2:5" x14ac:dyDescent="0.2">
      <c r="B33" s="59"/>
      <c r="C33" s="45">
        <v>5</v>
      </c>
      <c r="D33" s="45" t="s">
        <v>74</v>
      </c>
      <c r="E33" s="41">
        <v>84.225589999999997</v>
      </c>
    </row>
    <row r="34" spans="2:5" x14ac:dyDescent="0.2">
      <c r="B34" s="59"/>
      <c r="C34" s="45">
        <v>6</v>
      </c>
      <c r="D34" s="45"/>
      <c r="E34" s="41"/>
    </row>
    <row r="35" spans="2:5" x14ac:dyDescent="0.2">
      <c r="B35" s="59"/>
      <c r="C35" s="45">
        <v>7</v>
      </c>
      <c r="D35" s="45" t="s">
        <v>69</v>
      </c>
      <c r="E35" s="41">
        <v>0</v>
      </c>
    </row>
    <row r="36" spans="2:5" x14ac:dyDescent="0.2">
      <c r="B36" s="59"/>
      <c r="C36" s="45">
        <v>8</v>
      </c>
      <c r="D36" s="45" t="s">
        <v>69</v>
      </c>
      <c r="E36" s="41">
        <v>0</v>
      </c>
    </row>
    <row r="37" spans="2:5" x14ac:dyDescent="0.2">
      <c r="B37" s="46" t="s">
        <v>44</v>
      </c>
      <c r="C37" s="70"/>
      <c r="D37" s="43"/>
      <c r="E37" s="72">
        <f>SUM(E25:E36)</f>
        <v>1465.2568230248487</v>
      </c>
    </row>
    <row r="38" spans="2:5" x14ac:dyDescent="0.2">
      <c r="B38" s="46"/>
      <c r="C38" s="47"/>
      <c r="D38" s="47"/>
      <c r="E38" s="38"/>
    </row>
    <row r="39" spans="2:5" x14ac:dyDescent="0.2">
      <c r="B39" s="46" t="s">
        <v>45</v>
      </c>
      <c r="C39" s="70"/>
      <c r="D39" s="43"/>
      <c r="E39" s="38"/>
    </row>
    <row r="40" spans="2:5" x14ac:dyDescent="0.2">
      <c r="B40" s="44"/>
      <c r="C40" s="71">
        <v>1</v>
      </c>
      <c r="D40" s="48" t="s">
        <v>71</v>
      </c>
      <c r="E40" s="41">
        <v>111.04321</v>
      </c>
    </row>
    <row r="41" spans="2:5" x14ac:dyDescent="0.2">
      <c r="B41" s="44"/>
      <c r="C41" s="71">
        <v>2</v>
      </c>
      <c r="D41" s="48" t="s">
        <v>72</v>
      </c>
      <c r="E41" s="41">
        <v>35.875279999999997</v>
      </c>
    </row>
    <row r="42" spans="2:5" x14ac:dyDescent="0.2">
      <c r="B42" s="44"/>
      <c r="C42" s="71">
        <v>3</v>
      </c>
      <c r="D42" s="48" t="s">
        <v>75</v>
      </c>
      <c r="E42" s="41">
        <v>26.781510000000001</v>
      </c>
    </row>
    <row r="43" spans="2:5" x14ac:dyDescent="0.2">
      <c r="B43" s="44"/>
      <c r="C43" s="71">
        <v>4</v>
      </c>
      <c r="D43" s="48" t="s">
        <v>80</v>
      </c>
      <c r="E43" s="41">
        <v>18.82582</v>
      </c>
    </row>
    <row r="44" spans="2:5" x14ac:dyDescent="0.2">
      <c r="B44" s="44"/>
      <c r="C44" s="71">
        <v>5</v>
      </c>
      <c r="D44" s="48" t="s">
        <v>81</v>
      </c>
      <c r="E44" s="41">
        <v>10.804920000000001</v>
      </c>
    </row>
    <row r="45" spans="2:5" x14ac:dyDescent="0.2">
      <c r="B45" s="44"/>
      <c r="C45" s="71">
        <v>6</v>
      </c>
      <c r="D45" s="48" t="s">
        <v>76</v>
      </c>
      <c r="E45" s="41">
        <f>20.16032-0.75</f>
        <v>19.410319999999999</v>
      </c>
    </row>
    <row r="46" spans="2:5" x14ac:dyDescent="0.2">
      <c r="B46" s="44"/>
      <c r="C46" s="71">
        <v>7</v>
      </c>
      <c r="D46" s="48"/>
      <c r="E46" s="41"/>
    </row>
    <row r="47" spans="2:5" x14ac:dyDescent="0.2">
      <c r="B47" s="44"/>
      <c r="C47" s="69">
        <v>8</v>
      </c>
      <c r="D47" s="48" t="s">
        <v>69</v>
      </c>
      <c r="E47" s="41">
        <v>0</v>
      </c>
    </row>
    <row r="48" spans="2:5" x14ac:dyDescent="0.2">
      <c r="B48" s="46" t="s">
        <v>46</v>
      </c>
      <c r="C48" s="70"/>
      <c r="D48" s="43"/>
      <c r="E48" s="72">
        <f>SUM(E39:E47)</f>
        <v>222.74106</v>
      </c>
    </row>
    <row r="49" spans="2:5" x14ac:dyDescent="0.2">
      <c r="B49" s="46"/>
      <c r="C49" s="47"/>
      <c r="D49" s="47"/>
      <c r="E49" s="38"/>
    </row>
    <row r="50" spans="2:5" x14ac:dyDescent="0.2">
      <c r="B50" s="46" t="s">
        <v>47</v>
      </c>
      <c r="C50" s="70"/>
      <c r="D50" s="43"/>
      <c r="E50" s="38"/>
    </row>
    <row r="51" spans="2:5" x14ac:dyDescent="0.2">
      <c r="B51" s="44"/>
      <c r="C51" s="71">
        <v>1</v>
      </c>
      <c r="D51" s="48" t="s">
        <v>69</v>
      </c>
      <c r="E51" s="41">
        <v>0</v>
      </c>
    </row>
    <row r="52" spans="2:5" x14ac:dyDescent="0.2">
      <c r="B52" s="44"/>
      <c r="C52" s="71">
        <v>2</v>
      </c>
      <c r="D52" s="48" t="s">
        <v>69</v>
      </c>
      <c r="E52" s="41">
        <v>0</v>
      </c>
    </row>
    <row r="53" spans="2:5" x14ac:dyDescent="0.2">
      <c r="B53" s="44"/>
      <c r="C53" s="71">
        <v>3</v>
      </c>
      <c r="D53" s="48" t="s">
        <v>69</v>
      </c>
      <c r="E53" s="41">
        <v>0</v>
      </c>
    </row>
    <row r="54" spans="2:5" x14ac:dyDescent="0.2">
      <c r="B54" s="44"/>
      <c r="C54" s="71">
        <v>4</v>
      </c>
      <c r="D54" s="48" t="s">
        <v>69</v>
      </c>
      <c r="E54" s="41">
        <v>0</v>
      </c>
    </row>
    <row r="55" spans="2:5" x14ac:dyDescent="0.2">
      <c r="B55" s="44"/>
      <c r="C55" s="71">
        <v>5</v>
      </c>
      <c r="D55" s="48" t="s">
        <v>69</v>
      </c>
      <c r="E55" s="41">
        <v>0</v>
      </c>
    </row>
    <row r="56" spans="2:5" x14ac:dyDescent="0.2">
      <c r="B56" s="44"/>
      <c r="C56" s="71">
        <v>6</v>
      </c>
      <c r="D56" s="48" t="s">
        <v>69</v>
      </c>
      <c r="E56" s="41">
        <v>0</v>
      </c>
    </row>
    <row r="57" spans="2:5" x14ac:dyDescent="0.2">
      <c r="B57" s="46" t="s">
        <v>3</v>
      </c>
      <c r="C57" s="47"/>
      <c r="D57" s="47"/>
      <c r="E57" s="72">
        <f>SUM(E51:E56)</f>
        <v>0</v>
      </c>
    </row>
    <row r="58" spans="2:5" x14ac:dyDescent="0.2">
      <c r="B58" s="46"/>
      <c r="C58" s="47"/>
      <c r="D58" s="47"/>
      <c r="E58" s="38"/>
    </row>
    <row r="59" spans="2:5" x14ac:dyDescent="0.2">
      <c r="B59" s="46" t="s">
        <v>48</v>
      </c>
      <c r="C59" s="47"/>
      <c r="D59" s="47"/>
      <c r="E59" s="38"/>
    </row>
    <row r="60" spans="2:5" x14ac:dyDescent="0.2">
      <c r="B60" s="44"/>
      <c r="C60" s="71">
        <v>1</v>
      </c>
      <c r="D60" s="48" t="s">
        <v>41</v>
      </c>
      <c r="E60" s="41"/>
    </row>
    <row r="61" spans="2:5" x14ac:dyDescent="0.2">
      <c r="B61" s="44"/>
      <c r="C61" s="71"/>
      <c r="D61" s="47" t="s">
        <v>49</v>
      </c>
      <c r="E61" s="72"/>
    </row>
    <row r="62" spans="2:5" x14ac:dyDescent="0.2">
      <c r="B62" s="46"/>
      <c r="C62" s="47"/>
      <c r="D62" s="48"/>
      <c r="E62" s="38"/>
    </row>
    <row r="63" spans="2:5" x14ac:dyDescent="0.2">
      <c r="B63" s="46" t="s">
        <v>50</v>
      </c>
      <c r="C63" s="47"/>
      <c r="D63" s="47"/>
      <c r="E63" s="38"/>
    </row>
    <row r="64" spans="2:5" x14ac:dyDescent="0.2">
      <c r="B64" s="44"/>
      <c r="C64" s="71">
        <v>1</v>
      </c>
      <c r="D64" s="48" t="s">
        <v>51</v>
      </c>
      <c r="E64" s="41"/>
    </row>
    <row r="65" spans="2:5" x14ac:dyDescent="0.2">
      <c r="B65" s="44"/>
      <c r="C65" s="71"/>
      <c r="D65" s="47" t="s">
        <v>33</v>
      </c>
      <c r="E65" s="72"/>
    </row>
    <row r="66" spans="2:5" x14ac:dyDescent="0.2">
      <c r="B66" s="44"/>
      <c r="C66" s="71"/>
      <c r="D66" s="47"/>
      <c r="E66" s="38"/>
    </row>
    <row r="67" spans="2:5" x14ac:dyDescent="0.2">
      <c r="B67" s="46"/>
      <c r="C67" s="47"/>
      <c r="D67" s="47" t="s">
        <v>52</v>
      </c>
      <c r="E67" s="72">
        <f>E57+E48+E37+E21</f>
        <v>5745.3478830248478</v>
      </c>
    </row>
    <row r="68" spans="2:5" x14ac:dyDescent="0.2">
      <c r="B68" s="46"/>
      <c r="C68" s="47"/>
      <c r="D68" s="47"/>
      <c r="E68" s="38"/>
    </row>
    <row r="69" spans="2:5" ht="15.75" thickBot="1" x14ac:dyDescent="0.3">
      <c r="B69" s="49"/>
      <c r="C69" s="50"/>
      <c r="D69" s="50" t="s">
        <v>68</v>
      </c>
      <c r="E69" s="74">
        <v>13318229.004245501</v>
      </c>
    </row>
  </sheetData>
  <sheetProtection sheet="1" objects="1" scenarios="1"/>
  <mergeCells count="1">
    <mergeCell ref="B4:D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rightToLeft="1" workbookViewId="0">
      <selection activeCell="F48" sqref="F48"/>
    </sheetView>
  </sheetViews>
  <sheetFormatPr defaultRowHeight="14.25" x14ac:dyDescent="0.2"/>
  <cols>
    <col min="1" max="1" width="2.375" customWidth="1"/>
    <col min="2" max="2" width="4.5" customWidth="1"/>
    <col min="3" max="3" width="50" customWidth="1"/>
    <col min="4" max="4" width="10.875" bestFit="1" customWidth="1"/>
    <col min="6" max="6" width="9.875" bestFit="1" customWidth="1"/>
  </cols>
  <sheetData>
    <row r="1" spans="2:7" ht="15" x14ac:dyDescent="0.25">
      <c r="B1" s="28" t="s">
        <v>83</v>
      </c>
      <c r="C1" s="28"/>
    </row>
    <row r="2" spans="2:7" x14ac:dyDescent="0.2">
      <c r="B2" s="33" t="s">
        <v>100</v>
      </c>
      <c r="C2" s="32"/>
      <c r="D2" s="4" t="s">
        <v>78</v>
      </c>
    </row>
    <row r="3" spans="2:7" x14ac:dyDescent="0.2">
      <c r="B3" s="32"/>
      <c r="C3" s="32"/>
      <c r="D3" s="32"/>
    </row>
    <row r="4" spans="2:7" ht="35.25" customHeight="1" thickBot="1" x14ac:dyDescent="0.3">
      <c r="B4" s="87" t="s">
        <v>97</v>
      </c>
      <c r="C4" s="87"/>
    </row>
    <row r="5" spans="2:7" x14ac:dyDescent="0.2">
      <c r="B5" s="51"/>
      <c r="C5" s="75"/>
      <c r="D5" s="52" t="s">
        <v>0</v>
      </c>
    </row>
    <row r="6" spans="2:7" x14ac:dyDescent="0.2">
      <c r="B6" s="46" t="s">
        <v>53</v>
      </c>
      <c r="C6" s="40"/>
      <c r="D6" s="53"/>
    </row>
    <row r="7" spans="2:7" x14ac:dyDescent="0.2">
      <c r="B7" s="44">
        <v>1</v>
      </c>
      <c r="C7" s="54" t="s">
        <v>76</v>
      </c>
      <c r="D7" s="55">
        <v>4886.7593153540329</v>
      </c>
      <c r="G7" s="22"/>
    </row>
    <row r="8" spans="2:7" x14ac:dyDescent="0.2">
      <c r="B8" s="44">
        <v>2</v>
      </c>
      <c r="C8" s="54" t="s">
        <v>82</v>
      </c>
      <c r="D8" s="55">
        <v>738.90518500000007</v>
      </c>
    </row>
    <row r="9" spans="2:7" x14ac:dyDescent="0.2">
      <c r="B9" s="44">
        <v>3</v>
      </c>
      <c r="C9" s="54" t="s">
        <v>69</v>
      </c>
      <c r="D9" s="55">
        <v>0</v>
      </c>
    </row>
    <row r="10" spans="2:7" x14ac:dyDescent="0.2">
      <c r="B10" s="44">
        <v>4</v>
      </c>
      <c r="C10" s="54" t="s">
        <v>69</v>
      </c>
      <c r="D10" s="55">
        <v>0</v>
      </c>
    </row>
    <row r="11" spans="2:7" x14ac:dyDescent="0.2">
      <c r="B11" s="44">
        <v>5</v>
      </c>
      <c r="C11" s="54" t="s">
        <v>69</v>
      </c>
      <c r="D11" s="55">
        <v>0</v>
      </c>
    </row>
    <row r="12" spans="2:7" x14ac:dyDescent="0.2">
      <c r="B12" s="44">
        <v>6</v>
      </c>
      <c r="C12" s="54" t="s">
        <v>69</v>
      </c>
      <c r="D12" s="55">
        <v>0</v>
      </c>
    </row>
    <row r="13" spans="2:7" x14ac:dyDescent="0.2">
      <c r="B13" s="44">
        <v>7</v>
      </c>
      <c r="C13" s="54" t="s">
        <v>69</v>
      </c>
      <c r="D13" s="55">
        <v>0</v>
      </c>
    </row>
    <row r="14" spans="2:7" x14ac:dyDescent="0.2">
      <c r="B14" s="44">
        <v>8</v>
      </c>
      <c r="C14" s="54" t="s">
        <v>69</v>
      </c>
      <c r="D14" s="55">
        <v>0</v>
      </c>
    </row>
    <row r="15" spans="2:7" x14ac:dyDescent="0.2">
      <c r="B15" s="37" t="s">
        <v>54</v>
      </c>
      <c r="C15" s="54"/>
      <c r="D15" s="76">
        <f>SUM(D7:D14)</f>
        <v>5625.6645003540325</v>
      </c>
    </row>
    <row r="16" spans="2:7" x14ac:dyDescent="0.2">
      <c r="B16" s="56"/>
      <c r="C16" s="57"/>
      <c r="D16" s="58"/>
    </row>
    <row r="17" spans="2:7" x14ac:dyDescent="0.2">
      <c r="B17" s="37" t="s">
        <v>55</v>
      </c>
      <c r="C17" s="54"/>
      <c r="D17" s="58"/>
    </row>
    <row r="18" spans="2:7" x14ac:dyDescent="0.2">
      <c r="B18" s="44">
        <v>1</v>
      </c>
      <c r="C18" s="54" t="s">
        <v>41</v>
      </c>
      <c r="D18" s="55"/>
    </row>
    <row r="19" spans="2:7" x14ac:dyDescent="0.2">
      <c r="B19" s="46" t="s">
        <v>56</v>
      </c>
      <c r="C19" s="40"/>
      <c r="D19" s="76"/>
    </row>
    <row r="20" spans="2:7" x14ac:dyDescent="0.2">
      <c r="B20" s="59"/>
      <c r="C20" s="60"/>
      <c r="D20" s="58"/>
    </row>
    <row r="21" spans="2:7" x14ac:dyDescent="0.2">
      <c r="B21" s="42" t="s">
        <v>57</v>
      </c>
      <c r="C21" s="61"/>
      <c r="D21" s="58"/>
    </row>
    <row r="22" spans="2:7" x14ac:dyDescent="0.2">
      <c r="B22" s="44">
        <v>1</v>
      </c>
      <c r="C22" s="54" t="s">
        <v>41</v>
      </c>
      <c r="D22" s="55"/>
    </row>
    <row r="23" spans="2:7" x14ac:dyDescent="0.2">
      <c r="B23" s="37" t="s">
        <v>13</v>
      </c>
      <c r="C23" s="54"/>
      <c r="D23" s="76"/>
      <c r="G23" s="22"/>
    </row>
    <row r="24" spans="2:7" x14ac:dyDescent="0.2">
      <c r="B24" s="56"/>
      <c r="C24" s="54"/>
      <c r="D24" s="58"/>
    </row>
    <row r="25" spans="2:7" x14ac:dyDescent="0.2">
      <c r="B25" s="37" t="s">
        <v>58</v>
      </c>
      <c r="C25" s="54"/>
      <c r="D25" s="58"/>
    </row>
    <row r="26" spans="2:7" x14ac:dyDescent="0.2">
      <c r="B26" s="37" t="s">
        <v>59</v>
      </c>
      <c r="C26" s="57" t="s">
        <v>60</v>
      </c>
      <c r="D26" s="58"/>
    </row>
    <row r="27" spans="2:7" x14ac:dyDescent="0.2">
      <c r="B27" s="44">
        <v>1</v>
      </c>
      <c r="C27" s="54"/>
      <c r="D27" s="55"/>
    </row>
    <row r="28" spans="2:7" x14ac:dyDescent="0.2">
      <c r="B28" s="44">
        <v>2</v>
      </c>
      <c r="C28" s="54"/>
      <c r="D28" s="55"/>
    </row>
    <row r="29" spans="2:7" x14ac:dyDescent="0.2">
      <c r="B29" s="46" t="s">
        <v>61</v>
      </c>
      <c r="C29" s="63" t="s">
        <v>62</v>
      </c>
      <c r="D29" s="58"/>
    </row>
    <row r="30" spans="2:7" x14ac:dyDescent="0.2">
      <c r="B30" s="62">
        <v>1</v>
      </c>
      <c r="C30" s="61" t="s">
        <v>12</v>
      </c>
      <c r="D30" s="55">
        <v>874.07430170676491</v>
      </c>
    </row>
    <row r="31" spans="2:7" x14ac:dyDescent="0.2">
      <c r="B31" s="62">
        <v>2</v>
      </c>
      <c r="C31" s="61" t="s">
        <v>77</v>
      </c>
      <c r="D31" s="55">
        <v>679.46393</v>
      </c>
    </row>
    <row r="32" spans="2:7" x14ac:dyDescent="0.2">
      <c r="B32" s="62">
        <v>3</v>
      </c>
      <c r="C32" s="61" t="s">
        <v>76</v>
      </c>
      <c r="D32" s="55">
        <f>5093.00481977738-0.5</f>
        <v>5092.5048197773804</v>
      </c>
    </row>
    <row r="33" spans="2:6" x14ac:dyDescent="0.2">
      <c r="B33" s="62">
        <v>4</v>
      </c>
      <c r="C33" s="61" t="s">
        <v>69</v>
      </c>
      <c r="D33" s="55">
        <v>0</v>
      </c>
    </row>
    <row r="34" spans="2:6" x14ac:dyDescent="0.2">
      <c r="B34" s="62">
        <v>5</v>
      </c>
      <c r="C34" s="61" t="s">
        <v>69</v>
      </c>
      <c r="D34" s="55">
        <v>0</v>
      </c>
    </row>
    <row r="35" spans="2:6" x14ac:dyDescent="0.2">
      <c r="B35" s="62">
        <v>6</v>
      </c>
      <c r="C35" s="61" t="s">
        <v>69</v>
      </c>
      <c r="D35" s="55">
        <v>0</v>
      </c>
    </row>
    <row r="36" spans="2:6" x14ac:dyDescent="0.2">
      <c r="B36" s="42" t="s">
        <v>73</v>
      </c>
      <c r="C36" s="60"/>
      <c r="D36" s="76">
        <f>SUM(D27:D35)</f>
        <v>6646.0430514841455</v>
      </c>
    </row>
    <row r="37" spans="2:6" x14ac:dyDescent="0.2">
      <c r="B37" s="42"/>
      <c r="C37" s="61"/>
      <c r="D37" s="58"/>
    </row>
    <row r="38" spans="2:6" x14ac:dyDescent="0.2">
      <c r="B38" s="37" t="s">
        <v>63</v>
      </c>
      <c r="C38" s="54"/>
      <c r="D38" s="58"/>
    </row>
    <row r="39" spans="2:6" x14ac:dyDescent="0.2">
      <c r="B39" s="37" t="s">
        <v>59</v>
      </c>
      <c r="C39" s="57" t="s">
        <v>64</v>
      </c>
      <c r="D39" s="58"/>
    </row>
    <row r="40" spans="2:6" x14ac:dyDescent="0.2">
      <c r="B40" s="44">
        <v>1</v>
      </c>
      <c r="C40" s="40" t="s">
        <v>41</v>
      </c>
      <c r="D40" s="55">
        <v>6.9638299999999997</v>
      </c>
    </row>
    <row r="41" spans="2:6" x14ac:dyDescent="0.2">
      <c r="B41" s="44">
        <v>2</v>
      </c>
      <c r="C41" s="40" t="s">
        <v>69</v>
      </c>
      <c r="D41" s="55">
        <v>0</v>
      </c>
    </row>
    <row r="42" spans="2:6" x14ac:dyDescent="0.2">
      <c r="B42" s="44">
        <v>3</v>
      </c>
      <c r="C42" s="40" t="s">
        <v>69</v>
      </c>
      <c r="D42" s="55">
        <v>0</v>
      </c>
    </row>
    <row r="43" spans="2:6" x14ac:dyDescent="0.2">
      <c r="B43" s="46" t="s">
        <v>61</v>
      </c>
      <c r="C43" s="57" t="s">
        <v>65</v>
      </c>
      <c r="D43" s="58"/>
    </row>
    <row r="44" spans="2:6" x14ac:dyDescent="0.2">
      <c r="B44" s="62">
        <v>1</v>
      </c>
      <c r="C44" s="40" t="s">
        <v>14</v>
      </c>
      <c r="D44" s="55">
        <v>784.88691000000017</v>
      </c>
      <c r="F44" s="22"/>
    </row>
    <row r="45" spans="2:6" x14ac:dyDescent="0.2">
      <c r="B45" s="62">
        <v>2</v>
      </c>
      <c r="C45" s="40" t="s">
        <v>9</v>
      </c>
      <c r="D45" s="55">
        <v>238.12245999999993</v>
      </c>
    </row>
    <row r="46" spans="2:6" x14ac:dyDescent="0.2">
      <c r="B46" s="62">
        <v>3</v>
      </c>
      <c r="C46" s="40" t="s">
        <v>41</v>
      </c>
      <c r="D46" s="55">
        <f>908.78929-3.1-1.6</f>
        <v>904.08929000000001</v>
      </c>
      <c r="F46" s="22"/>
    </row>
    <row r="47" spans="2:6" x14ac:dyDescent="0.2">
      <c r="B47" s="62">
        <v>4</v>
      </c>
      <c r="C47" s="40" t="s">
        <v>69</v>
      </c>
      <c r="D47" s="55">
        <v>0</v>
      </c>
      <c r="F47" s="78"/>
    </row>
    <row r="48" spans="2:6" x14ac:dyDescent="0.2">
      <c r="B48" s="62">
        <v>5</v>
      </c>
      <c r="C48" s="40" t="s">
        <v>69</v>
      </c>
      <c r="D48" s="55">
        <v>0</v>
      </c>
    </row>
    <row r="49" spans="2:4" x14ac:dyDescent="0.2">
      <c r="B49" s="46" t="s">
        <v>66</v>
      </c>
      <c r="C49" s="60"/>
      <c r="D49" s="76">
        <f>SUM(D40:D48)</f>
        <v>1934.0624900000003</v>
      </c>
    </row>
    <row r="50" spans="2:4" x14ac:dyDescent="0.2">
      <c r="B50" s="59"/>
      <c r="C50" s="60"/>
      <c r="D50" s="76"/>
    </row>
    <row r="51" spans="2:4" x14ac:dyDescent="0.2">
      <c r="B51" s="42" t="s">
        <v>67</v>
      </c>
      <c r="C51" s="61"/>
      <c r="D51" s="76">
        <f>D49+D36+D15</f>
        <v>14205.770041838179</v>
      </c>
    </row>
    <row r="52" spans="2:4" x14ac:dyDescent="0.2">
      <c r="B52" s="59"/>
      <c r="C52" s="60"/>
      <c r="D52" s="58"/>
    </row>
    <row r="53" spans="2:4" ht="15.75" thickBot="1" x14ac:dyDescent="0.3">
      <c r="B53" s="64" t="s">
        <v>68</v>
      </c>
      <c r="C53" s="65"/>
      <c r="D53" s="77">
        <v>13318229.004245501</v>
      </c>
    </row>
  </sheetData>
  <sheetProtection sheet="1" objects="1" scenarios="1"/>
  <mergeCells count="1"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2"/>
  <dimension ref="A1:G47"/>
  <sheetViews>
    <sheetView rightToLeft="1" topLeftCell="A22" workbookViewId="0">
      <selection activeCell="D14" sqref="D14"/>
    </sheetView>
  </sheetViews>
  <sheetFormatPr defaultRowHeight="14.25" x14ac:dyDescent="0.2"/>
  <cols>
    <col min="1" max="1" width="1.75" bestFit="1" customWidth="1"/>
    <col min="2" max="2" width="55.875" bestFit="1" customWidth="1"/>
    <col min="3" max="3" width="9.875" bestFit="1" customWidth="1"/>
  </cols>
  <sheetData>
    <row r="1" spans="1:7" ht="15" x14ac:dyDescent="0.25">
      <c r="B1" s="28" t="s">
        <v>83</v>
      </c>
    </row>
    <row r="2" spans="1:7" x14ac:dyDescent="0.2">
      <c r="B2" s="1" t="s">
        <v>98</v>
      </c>
      <c r="C2" s="2"/>
    </row>
    <row r="3" spans="1:7" x14ac:dyDescent="0.2">
      <c r="B3" s="3"/>
      <c r="C3" s="4"/>
      <c r="G3" s="20"/>
    </row>
    <row r="4" spans="1:7" ht="15" x14ac:dyDescent="0.25">
      <c r="B4" s="10" t="s">
        <v>5</v>
      </c>
      <c r="C4" s="2"/>
      <c r="G4" s="20"/>
    </row>
    <row r="5" spans="1:7" ht="16.5" thickBot="1" x14ac:dyDescent="0.3">
      <c r="B5" s="79" t="s">
        <v>85</v>
      </c>
      <c r="C5" s="2"/>
    </row>
    <row r="6" spans="1:7" ht="14.25" customHeight="1" x14ac:dyDescent="0.2">
      <c r="A6" s="85"/>
      <c r="B6" s="81"/>
      <c r="C6" s="83" t="s">
        <v>0</v>
      </c>
    </row>
    <row r="7" spans="1:7" x14ac:dyDescent="0.2">
      <c r="A7" s="86"/>
      <c r="B7" s="82"/>
      <c r="C7" s="84"/>
    </row>
    <row r="8" spans="1:7" ht="15" x14ac:dyDescent="0.25">
      <c r="A8" s="16">
        <v>1</v>
      </c>
      <c r="B8" s="11" t="s">
        <v>15</v>
      </c>
      <c r="C8" s="21">
        <f>SUM(C9:C10)</f>
        <v>56.9</v>
      </c>
    </row>
    <row r="9" spans="1:7" x14ac:dyDescent="0.2">
      <c r="A9" s="8"/>
      <c r="B9" s="12" t="s">
        <v>16</v>
      </c>
      <c r="C9" s="6">
        <v>0.32</v>
      </c>
    </row>
    <row r="10" spans="1:7" x14ac:dyDescent="0.2">
      <c r="A10" s="8"/>
      <c r="B10" s="12" t="s">
        <v>17</v>
      </c>
      <c r="C10" s="6">
        <f>56.18+0.4</f>
        <v>56.58</v>
      </c>
    </row>
    <row r="11" spans="1:7" x14ac:dyDescent="0.2">
      <c r="A11" s="8"/>
      <c r="B11" s="12"/>
      <c r="C11" s="7"/>
    </row>
    <row r="12" spans="1:7" ht="15" x14ac:dyDescent="0.25">
      <c r="A12" s="16">
        <v>2</v>
      </c>
      <c r="B12" s="11" t="s">
        <v>18</v>
      </c>
      <c r="C12" s="21">
        <f>SUM(C13:C14)</f>
        <v>32.098500602643902</v>
      </c>
    </row>
    <row r="13" spans="1:7" x14ac:dyDescent="0.2">
      <c r="A13" s="8"/>
      <c r="B13" s="13" t="s">
        <v>1</v>
      </c>
      <c r="C13" s="9">
        <v>0.89500000000000002</v>
      </c>
    </row>
    <row r="14" spans="1:7" x14ac:dyDescent="0.2">
      <c r="A14" s="8"/>
      <c r="B14" s="13" t="s">
        <v>2</v>
      </c>
      <c r="C14" s="9">
        <f>27.4617606026439+8409.54/1000-4667.8/1000</f>
        <v>31.203500602643899</v>
      </c>
    </row>
    <row r="15" spans="1:7" x14ac:dyDescent="0.2">
      <c r="A15" s="26"/>
      <c r="B15" s="27"/>
      <c r="C15" s="7"/>
    </row>
    <row r="16" spans="1:7" ht="15" x14ac:dyDescent="0.25">
      <c r="A16" s="16">
        <v>3</v>
      </c>
      <c r="B16" s="11" t="s">
        <v>7</v>
      </c>
      <c r="C16" s="21">
        <f>SUM(C17:C19)</f>
        <v>3.9938600000000006</v>
      </c>
    </row>
    <row r="17" spans="1:3" ht="25.5" x14ac:dyDescent="0.2">
      <c r="A17" s="8" t="s">
        <v>19</v>
      </c>
      <c r="B17" s="29" t="s">
        <v>20</v>
      </c>
      <c r="C17" s="6">
        <v>2.3760500000000002</v>
      </c>
    </row>
    <row r="18" spans="1:3" x14ac:dyDescent="0.2">
      <c r="A18" s="8" t="s">
        <v>21</v>
      </c>
      <c r="B18" s="29" t="s">
        <v>22</v>
      </c>
      <c r="C18" s="6">
        <v>1.6178100000000002</v>
      </c>
    </row>
    <row r="19" spans="1:3" x14ac:dyDescent="0.2">
      <c r="A19" s="8" t="s">
        <v>23</v>
      </c>
      <c r="B19" s="12" t="s">
        <v>3</v>
      </c>
      <c r="C19" s="6">
        <v>0</v>
      </c>
    </row>
    <row r="20" spans="1:3" x14ac:dyDescent="0.2">
      <c r="A20" s="17"/>
      <c r="B20" s="14"/>
      <c r="C20" s="7"/>
    </row>
    <row r="21" spans="1:3" ht="15" x14ac:dyDescent="0.25">
      <c r="A21" s="18">
        <v>4</v>
      </c>
      <c r="B21" s="11" t="s">
        <v>24</v>
      </c>
      <c r="C21" s="21">
        <f>SUM(C22:C29)</f>
        <v>111.38471000000001</v>
      </c>
    </row>
    <row r="22" spans="1:3" x14ac:dyDescent="0.2">
      <c r="A22" s="8"/>
      <c r="B22" s="12" t="s">
        <v>25</v>
      </c>
      <c r="C22" s="6">
        <v>0</v>
      </c>
    </row>
    <row r="23" spans="1:3" x14ac:dyDescent="0.2">
      <c r="A23" s="8"/>
      <c r="B23" s="12" t="s">
        <v>26</v>
      </c>
      <c r="C23" s="6">
        <v>0</v>
      </c>
    </row>
    <row r="24" spans="1:3" x14ac:dyDescent="0.2">
      <c r="A24" s="8"/>
      <c r="B24" s="12" t="s">
        <v>27</v>
      </c>
      <c r="C24" s="6"/>
    </row>
    <row r="25" spans="1:3" x14ac:dyDescent="0.2">
      <c r="A25" s="8"/>
      <c r="B25" s="12" t="s">
        <v>13</v>
      </c>
      <c r="C25" s="6"/>
    </row>
    <row r="26" spans="1:3" x14ac:dyDescent="0.2">
      <c r="A26" s="8"/>
      <c r="B26" s="12" t="s">
        <v>6</v>
      </c>
      <c r="C26" s="6">
        <v>0.42035</v>
      </c>
    </row>
    <row r="27" spans="1:3" x14ac:dyDescent="0.2">
      <c r="A27" s="8"/>
      <c r="B27" s="12" t="s">
        <v>28</v>
      </c>
      <c r="C27" s="6">
        <v>62.145520000000005</v>
      </c>
    </row>
    <row r="28" spans="1:3" x14ac:dyDescent="0.2">
      <c r="A28" s="8"/>
      <c r="B28" s="12" t="s">
        <v>29</v>
      </c>
      <c r="C28" s="6">
        <v>0</v>
      </c>
    </row>
    <row r="29" spans="1:3" x14ac:dyDescent="0.2">
      <c r="A29" s="8"/>
      <c r="B29" s="12" t="s">
        <v>30</v>
      </c>
      <c r="C29" s="6">
        <v>48.818840000000002</v>
      </c>
    </row>
    <row r="30" spans="1:3" x14ac:dyDescent="0.2">
      <c r="A30" s="8"/>
      <c r="B30" s="12"/>
      <c r="C30" s="7"/>
    </row>
    <row r="31" spans="1:3" ht="15" x14ac:dyDescent="0.25">
      <c r="A31" s="8">
        <v>5</v>
      </c>
      <c r="B31" s="11" t="s">
        <v>31</v>
      </c>
      <c r="C31" s="21">
        <v>0</v>
      </c>
    </row>
    <row r="32" spans="1:3" x14ac:dyDescent="0.2">
      <c r="A32" s="8" t="s">
        <v>19</v>
      </c>
      <c r="B32" s="12" t="s">
        <v>32</v>
      </c>
      <c r="C32" s="6"/>
    </row>
    <row r="33" spans="1:4" x14ac:dyDescent="0.2">
      <c r="A33" s="8" t="s">
        <v>21</v>
      </c>
      <c r="B33" s="12" t="s">
        <v>33</v>
      </c>
      <c r="C33" s="6"/>
    </row>
    <row r="34" spans="1:4" x14ac:dyDescent="0.2">
      <c r="A34" s="8"/>
      <c r="B34" s="12"/>
      <c r="C34" s="7"/>
    </row>
    <row r="35" spans="1:4" x14ac:dyDescent="0.2">
      <c r="A35" s="8"/>
      <c r="B35" s="12" t="s">
        <v>4</v>
      </c>
      <c r="C35" s="21">
        <f>C31+C21+C16+C12+C8</f>
        <v>204.37707060264393</v>
      </c>
    </row>
    <row r="36" spans="1:4" x14ac:dyDescent="0.2">
      <c r="A36" s="8"/>
      <c r="B36" s="12"/>
      <c r="C36" s="7"/>
    </row>
    <row r="37" spans="1:4" ht="15" x14ac:dyDescent="0.25">
      <c r="A37" s="8">
        <v>7</v>
      </c>
      <c r="B37" s="11" t="s">
        <v>34</v>
      </c>
      <c r="C37" s="7"/>
    </row>
    <row r="38" spans="1:4" ht="25.5" x14ac:dyDescent="0.2">
      <c r="A38" s="8" t="s">
        <v>19</v>
      </c>
      <c r="B38" s="29" t="s">
        <v>35</v>
      </c>
      <c r="C38" s="30">
        <f>(C17+C21+C33)/C41</f>
        <v>5.3279985012762577E-4</v>
      </c>
    </row>
    <row r="39" spans="1:4" x14ac:dyDescent="0.2">
      <c r="A39" s="8" t="s">
        <v>21</v>
      </c>
      <c r="B39" s="12" t="s">
        <v>36</v>
      </c>
      <c r="C39" s="30">
        <f>C35/C41</f>
        <v>9.5720240078047878E-4</v>
      </c>
    </row>
    <row r="40" spans="1:4" x14ac:dyDescent="0.2">
      <c r="A40" s="8"/>
      <c r="B40" s="12"/>
      <c r="C40" s="7"/>
    </row>
    <row r="41" spans="1:4" ht="15" thickBot="1" x14ac:dyDescent="0.25">
      <c r="A41" s="19"/>
      <c r="B41" s="15" t="s">
        <v>37</v>
      </c>
      <c r="C41" s="31">
        <v>213515</v>
      </c>
    </row>
    <row r="43" spans="1:4" x14ac:dyDescent="0.2">
      <c r="B43" s="25"/>
    </row>
    <row r="44" spans="1:4" ht="15" x14ac:dyDescent="0.25">
      <c r="C44" s="23"/>
      <c r="D44" s="23"/>
    </row>
    <row r="45" spans="1:4" ht="15" x14ac:dyDescent="0.25">
      <c r="C45" s="23"/>
      <c r="D45" s="23"/>
    </row>
    <row r="46" spans="1:4" x14ac:dyDescent="0.2">
      <c r="C46" s="2"/>
      <c r="D46" s="22"/>
    </row>
    <row r="47" spans="1:4" ht="15" x14ac:dyDescent="0.25">
      <c r="C47" s="23"/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pageSetUpPr fitToPage="1"/>
  </sheetPr>
  <dimension ref="A1:F47"/>
  <sheetViews>
    <sheetView rightToLeft="1" topLeftCell="A19" workbookViewId="0">
      <selection activeCell="G13" sqref="G13"/>
    </sheetView>
  </sheetViews>
  <sheetFormatPr defaultRowHeight="14.25" x14ac:dyDescent="0.2"/>
  <cols>
    <col min="1" max="1" width="1.75" bestFit="1" customWidth="1"/>
    <col min="2" max="2" width="55.875" bestFit="1" customWidth="1"/>
    <col min="3" max="3" width="9.875" bestFit="1" customWidth="1"/>
  </cols>
  <sheetData>
    <row r="1" spans="1:6" ht="15" x14ac:dyDescent="0.25">
      <c r="B1" s="28" t="s">
        <v>83</v>
      </c>
    </row>
    <row r="2" spans="1:6" x14ac:dyDescent="0.2">
      <c r="B2" s="1" t="s">
        <v>98</v>
      </c>
      <c r="C2" s="2"/>
    </row>
    <row r="3" spans="1:6" x14ac:dyDescent="0.2">
      <c r="B3" s="3"/>
      <c r="C3" s="4"/>
      <c r="F3" s="20"/>
    </row>
    <row r="4" spans="1:6" ht="15" x14ac:dyDescent="0.25">
      <c r="B4" s="10" t="s">
        <v>5</v>
      </c>
      <c r="C4" s="2"/>
      <c r="F4" s="20"/>
    </row>
    <row r="5" spans="1:6" ht="16.5" thickBot="1" x14ac:dyDescent="0.3">
      <c r="B5" s="79" t="s">
        <v>86</v>
      </c>
      <c r="C5" s="2"/>
    </row>
    <row r="6" spans="1:6" ht="14.25" customHeight="1" x14ac:dyDescent="0.2">
      <c r="A6" s="85"/>
      <c r="B6" s="81"/>
      <c r="C6" s="83" t="s">
        <v>0</v>
      </c>
    </row>
    <row r="7" spans="1:6" x14ac:dyDescent="0.2">
      <c r="A7" s="86"/>
      <c r="B7" s="82"/>
      <c r="C7" s="84"/>
    </row>
    <row r="8" spans="1:6" ht="15" x14ac:dyDescent="0.25">
      <c r="A8" s="16">
        <v>1</v>
      </c>
      <c r="B8" s="11" t="s">
        <v>15</v>
      </c>
      <c r="C8" s="21">
        <f>SUM(C9:C10)</f>
        <v>332.21000000000004</v>
      </c>
    </row>
    <row r="9" spans="1:6" x14ac:dyDescent="0.2">
      <c r="A9" s="8"/>
      <c r="B9" s="12" t="s">
        <v>16</v>
      </c>
      <c r="C9" s="6">
        <v>1.85</v>
      </c>
    </row>
    <row r="10" spans="1:6" x14ac:dyDescent="0.2">
      <c r="A10" s="8"/>
      <c r="B10" s="12" t="s">
        <v>17</v>
      </c>
      <c r="C10" s="6">
        <v>330.36</v>
      </c>
    </row>
    <row r="11" spans="1:6" x14ac:dyDescent="0.2">
      <c r="A11" s="8"/>
      <c r="B11" s="12"/>
      <c r="C11" s="7"/>
    </row>
    <row r="12" spans="1:6" ht="15" x14ac:dyDescent="0.25">
      <c r="A12" s="16">
        <v>2</v>
      </c>
      <c r="B12" s="11" t="s">
        <v>18</v>
      </c>
      <c r="C12" s="21">
        <f>SUM(C13:C14)</f>
        <v>76.100781004196904</v>
      </c>
    </row>
    <row r="13" spans="1:6" x14ac:dyDescent="0.2">
      <c r="A13" s="8"/>
      <c r="B13" s="13" t="s">
        <v>1</v>
      </c>
      <c r="C13" s="9">
        <v>0</v>
      </c>
    </row>
    <row r="14" spans="1:6" x14ac:dyDescent="0.2">
      <c r="A14" s="8"/>
      <c r="B14" s="13" t="s">
        <v>2</v>
      </c>
      <c r="C14" s="9">
        <f>70.0273110041969+36036.35/1000-29962.88/1000</f>
        <v>76.100781004196904</v>
      </c>
    </row>
    <row r="15" spans="1:6" x14ac:dyDescent="0.2">
      <c r="A15" s="26"/>
      <c r="B15" s="27"/>
      <c r="C15" s="7"/>
    </row>
    <row r="16" spans="1:6" ht="15" x14ac:dyDescent="0.25">
      <c r="A16" s="16">
        <v>3</v>
      </c>
      <c r="B16" s="11" t="s">
        <v>7</v>
      </c>
      <c r="C16" s="21">
        <f>SUM(C17:C19)</f>
        <v>11.13668</v>
      </c>
    </row>
    <row r="17" spans="1:3" ht="25.5" x14ac:dyDescent="0.2">
      <c r="A17" s="8" t="s">
        <v>19</v>
      </c>
      <c r="B17" s="29" t="s">
        <v>20</v>
      </c>
      <c r="C17" s="6">
        <f>4.59038-0.2</f>
        <v>4.3903799999999995</v>
      </c>
    </row>
    <row r="18" spans="1:3" x14ac:dyDescent="0.2">
      <c r="A18" s="8" t="s">
        <v>21</v>
      </c>
      <c r="B18" s="29" t="s">
        <v>22</v>
      </c>
      <c r="C18" s="6">
        <v>6.7463000000000006</v>
      </c>
    </row>
    <row r="19" spans="1:3" x14ac:dyDescent="0.2">
      <c r="A19" s="8" t="s">
        <v>23</v>
      </c>
      <c r="B19" s="12" t="s">
        <v>3</v>
      </c>
      <c r="C19" s="6">
        <v>0</v>
      </c>
    </row>
    <row r="20" spans="1:3" x14ac:dyDescent="0.2">
      <c r="A20" s="17"/>
      <c r="B20" s="14"/>
      <c r="C20" s="7"/>
    </row>
    <row r="21" spans="1:3" ht="15" x14ac:dyDescent="0.25">
      <c r="A21" s="18">
        <v>4</v>
      </c>
      <c r="B21" s="11" t="s">
        <v>24</v>
      </c>
      <c r="C21" s="21">
        <f>SUM(C22:C29)</f>
        <v>603.58215381048194</v>
      </c>
    </row>
    <row r="22" spans="1:3" x14ac:dyDescent="0.2">
      <c r="A22" s="8"/>
      <c r="B22" s="12" t="s">
        <v>25</v>
      </c>
      <c r="C22" s="6">
        <v>8.8476745805833321</v>
      </c>
    </row>
    <row r="23" spans="1:3" x14ac:dyDescent="0.2">
      <c r="A23" s="8"/>
      <c r="B23" s="12" t="s">
        <v>26</v>
      </c>
      <c r="C23" s="6">
        <v>45.6647282694572</v>
      </c>
    </row>
    <row r="24" spans="1:3" x14ac:dyDescent="0.2">
      <c r="A24" s="8"/>
      <c r="B24" s="12" t="s">
        <v>27</v>
      </c>
      <c r="C24" s="6"/>
    </row>
    <row r="25" spans="1:3" x14ac:dyDescent="0.2">
      <c r="A25" s="8"/>
      <c r="B25" s="12" t="s">
        <v>13</v>
      </c>
      <c r="C25" s="6"/>
    </row>
    <row r="26" spans="1:3" x14ac:dyDescent="0.2">
      <c r="A26" s="8"/>
      <c r="B26" s="12" t="s">
        <v>6</v>
      </c>
      <c r="C26" s="6">
        <v>4.8930200000000008</v>
      </c>
    </row>
    <row r="27" spans="1:3" x14ac:dyDescent="0.2">
      <c r="A27" s="8"/>
      <c r="B27" s="12" t="s">
        <v>28</v>
      </c>
      <c r="C27" s="6">
        <v>206.40944999999996</v>
      </c>
    </row>
    <row r="28" spans="1:3" x14ac:dyDescent="0.2">
      <c r="A28" s="8"/>
      <c r="B28" s="12" t="s">
        <v>29</v>
      </c>
      <c r="C28" s="6">
        <v>0</v>
      </c>
    </row>
    <row r="29" spans="1:3" x14ac:dyDescent="0.2">
      <c r="A29" s="8"/>
      <c r="B29" s="12" t="s">
        <v>30</v>
      </c>
      <c r="C29" s="6">
        <v>337.76728096044144</v>
      </c>
    </row>
    <row r="30" spans="1:3" x14ac:dyDescent="0.2">
      <c r="A30" s="8"/>
      <c r="B30" s="12"/>
      <c r="C30" s="7"/>
    </row>
    <row r="31" spans="1:3" ht="15" x14ac:dyDescent="0.25">
      <c r="A31" s="8">
        <v>5</v>
      </c>
      <c r="B31" s="11" t="s">
        <v>31</v>
      </c>
      <c r="C31" s="21">
        <v>0</v>
      </c>
    </row>
    <row r="32" spans="1:3" x14ac:dyDescent="0.2">
      <c r="A32" s="8" t="s">
        <v>19</v>
      </c>
      <c r="B32" s="12" t="s">
        <v>32</v>
      </c>
      <c r="C32" s="6"/>
    </row>
    <row r="33" spans="1:4" x14ac:dyDescent="0.2">
      <c r="A33" s="8" t="s">
        <v>21</v>
      </c>
      <c r="B33" s="12" t="s">
        <v>33</v>
      </c>
      <c r="C33" s="6"/>
    </row>
    <row r="34" spans="1:4" x14ac:dyDescent="0.2">
      <c r="A34" s="8"/>
      <c r="B34" s="12"/>
      <c r="C34" s="7"/>
    </row>
    <row r="35" spans="1:4" x14ac:dyDescent="0.2">
      <c r="A35" s="8"/>
      <c r="B35" s="12" t="s">
        <v>4</v>
      </c>
      <c r="C35" s="21">
        <f>C31+C21+C16+C12+C8</f>
        <v>1023.0296148146788</v>
      </c>
    </row>
    <row r="36" spans="1:4" x14ac:dyDescent="0.2">
      <c r="A36" s="8"/>
      <c r="B36" s="12"/>
      <c r="C36" s="7"/>
    </row>
    <row r="37" spans="1:4" ht="15" x14ac:dyDescent="0.25">
      <c r="A37" s="8">
        <v>7</v>
      </c>
      <c r="B37" s="11" t="s">
        <v>34</v>
      </c>
      <c r="C37" s="7"/>
    </row>
    <row r="38" spans="1:4" ht="25.5" x14ac:dyDescent="0.2">
      <c r="A38" s="8" t="s">
        <v>19</v>
      </c>
      <c r="B38" s="29" t="s">
        <v>35</v>
      </c>
      <c r="C38" s="30">
        <f>(C17+C21+C33)/C41</f>
        <v>8.9917877281766548E-4</v>
      </c>
    </row>
    <row r="39" spans="1:4" x14ac:dyDescent="0.2">
      <c r="A39" s="8" t="s">
        <v>21</v>
      </c>
      <c r="B39" s="12" t="s">
        <v>36</v>
      </c>
      <c r="C39" s="30">
        <f>C35/C41</f>
        <v>1.5130395905219301E-3</v>
      </c>
    </row>
    <row r="40" spans="1:4" x14ac:dyDescent="0.2">
      <c r="A40" s="8"/>
      <c r="B40" s="12"/>
      <c r="C40" s="7"/>
    </row>
    <row r="41" spans="1:4" ht="15" thickBot="1" x14ac:dyDescent="0.25">
      <c r="A41" s="19"/>
      <c r="B41" s="15" t="s">
        <v>37</v>
      </c>
      <c r="C41" s="31">
        <v>676142</v>
      </c>
    </row>
    <row r="43" spans="1:4" x14ac:dyDescent="0.2">
      <c r="B43" s="25"/>
    </row>
    <row r="44" spans="1:4" ht="15" x14ac:dyDescent="0.25">
      <c r="C44" s="23"/>
      <c r="D44" s="23"/>
    </row>
    <row r="45" spans="1:4" ht="15" x14ac:dyDescent="0.25">
      <c r="C45" s="23"/>
      <c r="D45" s="23"/>
    </row>
    <row r="46" spans="1:4" x14ac:dyDescent="0.2">
      <c r="C46" s="2"/>
      <c r="D46" s="22"/>
    </row>
    <row r="47" spans="1:4" ht="15" x14ac:dyDescent="0.25">
      <c r="C47" s="23"/>
    </row>
  </sheetData>
  <sheetProtection sheet="1" objects="1" scenarios="1"/>
  <mergeCells count="3">
    <mergeCell ref="A6:A7"/>
    <mergeCell ref="B6:B7"/>
    <mergeCell ref="C6:C7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pageSetUpPr fitToPage="1"/>
  </sheetPr>
  <dimension ref="A1:E47"/>
  <sheetViews>
    <sheetView rightToLeft="1" topLeftCell="A19" zoomScaleNormal="100" workbookViewId="0">
      <selection activeCell="E28" sqref="E28"/>
    </sheetView>
  </sheetViews>
  <sheetFormatPr defaultRowHeight="14.25" x14ac:dyDescent="0.2"/>
  <cols>
    <col min="1" max="1" width="1.875" bestFit="1" customWidth="1"/>
    <col min="2" max="2" width="55.875" bestFit="1" customWidth="1"/>
    <col min="3" max="3" width="10.875" bestFit="1" customWidth="1"/>
  </cols>
  <sheetData>
    <row r="1" spans="1:5" ht="15" x14ac:dyDescent="0.25">
      <c r="B1" s="28" t="s">
        <v>83</v>
      </c>
    </row>
    <row r="2" spans="1:5" x14ac:dyDescent="0.2">
      <c r="B2" s="1" t="s">
        <v>98</v>
      </c>
      <c r="C2" s="2"/>
    </row>
    <row r="3" spans="1:5" x14ac:dyDescent="0.2">
      <c r="B3" s="3"/>
      <c r="C3" s="4"/>
    </row>
    <row r="4" spans="1:5" ht="15" x14ac:dyDescent="0.25">
      <c r="B4" s="10" t="s">
        <v>5</v>
      </c>
      <c r="C4" s="2"/>
      <c r="D4" s="5"/>
      <c r="E4" s="5"/>
    </row>
    <row r="5" spans="1:5" ht="16.5" thickBot="1" x14ac:dyDescent="0.3">
      <c r="B5" s="79" t="s">
        <v>87</v>
      </c>
      <c r="C5" s="2"/>
    </row>
    <row r="6" spans="1:5" ht="14.25" customHeight="1" x14ac:dyDescent="0.2">
      <c r="A6" s="85"/>
      <c r="B6" s="81"/>
      <c r="C6" s="83" t="s">
        <v>0</v>
      </c>
    </row>
    <row r="7" spans="1:5" x14ac:dyDescent="0.2">
      <c r="A7" s="86"/>
      <c r="B7" s="82"/>
      <c r="C7" s="84"/>
    </row>
    <row r="8" spans="1:5" ht="15" x14ac:dyDescent="0.25">
      <c r="A8" s="16">
        <v>1</v>
      </c>
      <c r="B8" s="11" t="s">
        <v>15</v>
      </c>
      <c r="C8" s="21">
        <f>SUM(C9:C10)</f>
        <v>115.51000000000002</v>
      </c>
    </row>
    <row r="9" spans="1:5" x14ac:dyDescent="0.2">
      <c r="A9" s="8"/>
      <c r="B9" s="12" t="s">
        <v>16</v>
      </c>
      <c r="C9" s="6">
        <v>0</v>
      </c>
    </row>
    <row r="10" spans="1:5" x14ac:dyDescent="0.2">
      <c r="A10" s="8"/>
      <c r="B10" s="12" t="s">
        <v>17</v>
      </c>
      <c r="C10" s="6">
        <v>115.51000000000002</v>
      </c>
    </row>
    <row r="11" spans="1:5" x14ac:dyDescent="0.2">
      <c r="A11" s="8"/>
      <c r="B11" s="12"/>
      <c r="C11" s="7"/>
    </row>
    <row r="12" spans="1:5" ht="15" x14ac:dyDescent="0.25">
      <c r="A12" s="16">
        <v>2</v>
      </c>
      <c r="B12" s="11" t="s">
        <v>18</v>
      </c>
      <c r="C12" s="21">
        <f>SUM(C13:C14)</f>
        <v>34.071510271089807</v>
      </c>
    </row>
    <row r="13" spans="1:5" x14ac:dyDescent="0.2">
      <c r="A13" s="8"/>
      <c r="B13" s="13" t="s">
        <v>1</v>
      </c>
      <c r="C13" s="9">
        <v>0</v>
      </c>
    </row>
    <row r="14" spans="1:5" x14ac:dyDescent="0.2">
      <c r="A14" s="8"/>
      <c r="B14" s="13" t="s">
        <v>2</v>
      </c>
      <c r="C14" s="9">
        <f>29.8824902710898+18590.25/1000-14401.23/1000</f>
        <v>34.071510271089807</v>
      </c>
    </row>
    <row r="15" spans="1:5" x14ac:dyDescent="0.2">
      <c r="A15" s="26"/>
      <c r="B15" s="27"/>
      <c r="C15" s="7"/>
    </row>
    <row r="16" spans="1:5" ht="15" x14ac:dyDescent="0.25">
      <c r="A16" s="16">
        <v>3</v>
      </c>
      <c r="B16" s="11" t="s">
        <v>7</v>
      </c>
      <c r="C16" s="21">
        <f>SUM(C17:C19)</f>
        <v>0</v>
      </c>
    </row>
    <row r="17" spans="1:3" ht="25.5" x14ac:dyDescent="0.2">
      <c r="A17" s="8" t="s">
        <v>19</v>
      </c>
      <c r="B17" s="29" t="s">
        <v>20</v>
      </c>
      <c r="C17" s="6">
        <v>0</v>
      </c>
    </row>
    <row r="18" spans="1:3" x14ac:dyDescent="0.2">
      <c r="A18" s="8" t="s">
        <v>21</v>
      </c>
      <c r="B18" s="29" t="s">
        <v>22</v>
      </c>
      <c r="C18" s="6">
        <v>0</v>
      </c>
    </row>
    <row r="19" spans="1:3" x14ac:dyDescent="0.2">
      <c r="A19" s="8" t="s">
        <v>23</v>
      </c>
      <c r="B19" s="12" t="s">
        <v>3</v>
      </c>
      <c r="C19" s="6">
        <v>0</v>
      </c>
    </row>
    <row r="20" spans="1:3" x14ac:dyDescent="0.2">
      <c r="A20" s="17"/>
      <c r="B20" s="14"/>
      <c r="C20" s="7"/>
    </row>
    <row r="21" spans="1:3" ht="15" x14ac:dyDescent="0.25">
      <c r="A21" s="18">
        <v>4</v>
      </c>
      <c r="B21" s="11" t="s">
        <v>24</v>
      </c>
      <c r="C21" s="21">
        <f>SUM(C22:C29)</f>
        <v>130.1289756476433</v>
      </c>
    </row>
    <row r="22" spans="1:3" x14ac:dyDescent="0.2">
      <c r="A22" s="8"/>
      <c r="B22" s="12" t="s">
        <v>25</v>
      </c>
      <c r="C22" s="6">
        <v>2.30796125</v>
      </c>
    </row>
    <row r="23" spans="1:3" x14ac:dyDescent="0.2">
      <c r="A23" s="8"/>
      <c r="B23" s="12" t="s">
        <v>26</v>
      </c>
      <c r="C23" s="6">
        <v>0</v>
      </c>
    </row>
    <row r="24" spans="1:3" x14ac:dyDescent="0.2">
      <c r="A24" s="8"/>
      <c r="B24" s="12" t="s">
        <v>27</v>
      </c>
      <c r="C24" s="6"/>
    </row>
    <row r="25" spans="1:3" x14ac:dyDescent="0.2">
      <c r="A25" s="8"/>
      <c r="B25" s="12" t="s">
        <v>13</v>
      </c>
      <c r="C25" s="6"/>
    </row>
    <row r="26" spans="1:3" x14ac:dyDescent="0.2">
      <c r="A26" s="8"/>
      <c r="B26" s="12" t="s">
        <v>6</v>
      </c>
      <c r="C26" s="6"/>
    </row>
    <row r="27" spans="1:3" x14ac:dyDescent="0.2">
      <c r="A27" s="8"/>
      <c r="B27" s="12" t="s">
        <v>28</v>
      </c>
      <c r="C27" s="6">
        <v>81.763149999999996</v>
      </c>
    </row>
    <row r="28" spans="1:3" x14ac:dyDescent="0.2">
      <c r="A28" s="8"/>
      <c r="B28" s="12" t="s">
        <v>29</v>
      </c>
      <c r="C28" s="6">
        <v>0</v>
      </c>
    </row>
    <row r="29" spans="1:3" x14ac:dyDescent="0.2">
      <c r="A29" s="8"/>
      <c r="B29" s="12" t="s">
        <v>30</v>
      </c>
      <c r="C29" s="6">
        <v>46.057864397643314</v>
      </c>
    </row>
    <row r="30" spans="1:3" x14ac:dyDescent="0.2">
      <c r="A30" s="8"/>
      <c r="B30" s="12"/>
      <c r="C30" s="7"/>
    </row>
    <row r="31" spans="1:3" ht="15" x14ac:dyDescent="0.25">
      <c r="A31" s="8">
        <v>5</v>
      </c>
      <c r="B31" s="11" t="s">
        <v>31</v>
      </c>
      <c r="C31" s="21">
        <v>0</v>
      </c>
    </row>
    <row r="32" spans="1:3" x14ac:dyDescent="0.2">
      <c r="A32" s="8" t="s">
        <v>19</v>
      </c>
      <c r="B32" s="12" t="s">
        <v>32</v>
      </c>
      <c r="C32" s="6"/>
    </row>
    <row r="33" spans="1:4" x14ac:dyDescent="0.2">
      <c r="A33" s="8" t="s">
        <v>21</v>
      </c>
      <c r="B33" s="12" t="s">
        <v>33</v>
      </c>
      <c r="C33" s="6"/>
    </row>
    <row r="34" spans="1:4" x14ac:dyDescent="0.2">
      <c r="A34" s="8"/>
      <c r="B34" s="12"/>
      <c r="C34" s="7"/>
    </row>
    <row r="35" spans="1:4" x14ac:dyDescent="0.2">
      <c r="A35" s="8"/>
      <c r="B35" s="12" t="s">
        <v>4</v>
      </c>
      <c r="C35" s="21">
        <f>C31+C21+C16+C12+C8</f>
        <v>279.71048591873313</v>
      </c>
    </row>
    <row r="36" spans="1:4" x14ac:dyDescent="0.2">
      <c r="A36" s="8"/>
      <c r="B36" s="12"/>
      <c r="C36" s="7"/>
    </row>
    <row r="37" spans="1:4" ht="15" x14ac:dyDescent="0.25">
      <c r="A37" s="8">
        <v>7</v>
      </c>
      <c r="B37" s="11" t="s">
        <v>34</v>
      </c>
      <c r="C37" s="7"/>
    </row>
    <row r="38" spans="1:4" ht="25.5" x14ac:dyDescent="0.2">
      <c r="A38" s="8" t="s">
        <v>19</v>
      </c>
      <c r="B38" s="29" t="s">
        <v>35</v>
      </c>
      <c r="C38" s="30">
        <f>(C17+C21+C33)/C41</f>
        <v>1.047399997163903E-3</v>
      </c>
    </row>
    <row r="39" spans="1:4" x14ac:dyDescent="0.2">
      <c r="A39" s="8" t="s">
        <v>21</v>
      </c>
      <c r="B39" s="12" t="s">
        <v>36</v>
      </c>
      <c r="C39" s="30">
        <f>C35/C41</f>
        <v>2.2513722305113741E-3</v>
      </c>
    </row>
    <row r="40" spans="1:4" x14ac:dyDescent="0.2">
      <c r="A40" s="8"/>
      <c r="B40" s="12"/>
      <c r="C40" s="7"/>
    </row>
    <row r="41" spans="1:4" ht="15" thickBot="1" x14ac:dyDescent="0.25">
      <c r="A41" s="19"/>
      <c r="B41" s="15" t="s">
        <v>37</v>
      </c>
      <c r="C41" s="31">
        <v>124240</v>
      </c>
    </row>
    <row r="43" spans="1:4" x14ac:dyDescent="0.2">
      <c r="B43" s="25"/>
    </row>
    <row r="44" spans="1:4" ht="15" x14ac:dyDescent="0.25">
      <c r="C44" s="23"/>
      <c r="D44" s="23"/>
    </row>
    <row r="45" spans="1:4" ht="15" x14ac:dyDescent="0.25">
      <c r="C45" s="23"/>
      <c r="D45" s="23"/>
    </row>
    <row r="46" spans="1:4" x14ac:dyDescent="0.2">
      <c r="C46" s="2"/>
      <c r="D46" s="22"/>
    </row>
    <row r="47" spans="1:4" ht="15" x14ac:dyDescent="0.25">
      <c r="C47" s="23"/>
    </row>
  </sheetData>
  <sheetProtection sheet="1" objects="1" scenarios="1"/>
  <mergeCells count="3">
    <mergeCell ref="A6:A7"/>
    <mergeCell ref="B6:B7"/>
    <mergeCell ref="C6:C7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pageSetUpPr fitToPage="1"/>
  </sheetPr>
  <dimension ref="A1:F47"/>
  <sheetViews>
    <sheetView rightToLeft="1" topLeftCell="A22" workbookViewId="0">
      <selection activeCell="D39" sqref="D39"/>
    </sheetView>
  </sheetViews>
  <sheetFormatPr defaultRowHeight="14.25" x14ac:dyDescent="0.2"/>
  <cols>
    <col min="1" max="1" width="1.75" bestFit="1" customWidth="1"/>
    <col min="2" max="2" width="55.875" bestFit="1" customWidth="1"/>
    <col min="3" max="3" width="9.875" bestFit="1" customWidth="1"/>
  </cols>
  <sheetData>
    <row r="1" spans="1:6" ht="15" x14ac:dyDescent="0.25">
      <c r="B1" s="28" t="s">
        <v>83</v>
      </c>
    </row>
    <row r="2" spans="1:6" x14ac:dyDescent="0.2">
      <c r="B2" s="1" t="s">
        <v>98</v>
      </c>
      <c r="C2" s="2"/>
    </row>
    <row r="3" spans="1:6" x14ac:dyDescent="0.2">
      <c r="B3" s="3"/>
      <c r="C3" s="4"/>
      <c r="F3" s="20"/>
    </row>
    <row r="4" spans="1:6" ht="15" x14ac:dyDescent="0.25">
      <c r="B4" s="10" t="s">
        <v>5</v>
      </c>
      <c r="C4" s="2"/>
    </row>
    <row r="5" spans="1:6" ht="16.5" thickBot="1" x14ac:dyDescent="0.3">
      <c r="B5" s="79" t="s">
        <v>88</v>
      </c>
      <c r="C5" s="2"/>
    </row>
    <row r="6" spans="1:6" ht="14.25" customHeight="1" x14ac:dyDescent="0.2">
      <c r="A6" s="85"/>
      <c r="B6" s="81"/>
      <c r="C6" s="83" t="s">
        <v>0</v>
      </c>
    </row>
    <row r="7" spans="1:6" x14ac:dyDescent="0.2">
      <c r="A7" s="86"/>
      <c r="B7" s="82"/>
      <c r="C7" s="84"/>
    </row>
    <row r="8" spans="1:6" ht="15" x14ac:dyDescent="0.25">
      <c r="A8" s="16">
        <v>1</v>
      </c>
      <c r="B8" s="11" t="s">
        <v>15</v>
      </c>
      <c r="C8" s="21">
        <f>SUM(C9:C10)</f>
        <v>10.809999999999999</v>
      </c>
    </row>
    <row r="9" spans="1:6" x14ac:dyDescent="0.2">
      <c r="A9" s="8"/>
      <c r="B9" s="12" t="s">
        <v>16</v>
      </c>
      <c r="C9" s="6">
        <v>0</v>
      </c>
    </row>
    <row r="10" spans="1:6" x14ac:dyDescent="0.2">
      <c r="A10" s="8"/>
      <c r="B10" s="12" t="s">
        <v>17</v>
      </c>
      <c r="C10" s="6">
        <v>10.809999999999999</v>
      </c>
    </row>
    <row r="11" spans="1:6" x14ac:dyDescent="0.2">
      <c r="A11" s="8"/>
      <c r="B11" s="12"/>
      <c r="C11" s="7"/>
    </row>
    <row r="12" spans="1:6" ht="15" x14ac:dyDescent="0.25">
      <c r="A12" s="16">
        <v>2</v>
      </c>
      <c r="B12" s="11" t="s">
        <v>18</v>
      </c>
      <c r="C12" s="21">
        <f>SUM(C13:C14)</f>
        <v>11.804919999999999</v>
      </c>
    </row>
    <row r="13" spans="1:6" x14ac:dyDescent="0.2">
      <c r="A13" s="8"/>
      <c r="B13" s="13" t="s">
        <v>1</v>
      </c>
      <c r="C13" s="9">
        <v>0</v>
      </c>
    </row>
    <row r="14" spans="1:6" x14ac:dyDescent="0.2">
      <c r="A14" s="8"/>
      <c r="B14" s="13" t="s">
        <v>2</v>
      </c>
      <c r="C14" s="9">
        <f>10.31185+1493.07/1000</f>
        <v>11.804919999999999</v>
      </c>
    </row>
    <row r="15" spans="1:6" x14ac:dyDescent="0.2">
      <c r="A15" s="26"/>
      <c r="B15" s="27"/>
      <c r="C15" s="7"/>
    </row>
    <row r="16" spans="1:6" ht="15" x14ac:dyDescent="0.25">
      <c r="A16" s="16">
        <v>3</v>
      </c>
      <c r="B16" s="11" t="s">
        <v>7</v>
      </c>
      <c r="C16" s="21">
        <f>SUM(C17:C19)</f>
        <v>0</v>
      </c>
    </row>
    <row r="17" spans="1:3" ht="25.5" x14ac:dyDescent="0.2">
      <c r="A17" s="8" t="s">
        <v>19</v>
      </c>
      <c r="B17" s="29" t="s">
        <v>20</v>
      </c>
      <c r="C17" s="6">
        <v>0</v>
      </c>
    </row>
    <row r="18" spans="1:3" x14ac:dyDescent="0.2">
      <c r="A18" s="8" t="s">
        <v>21</v>
      </c>
      <c r="B18" s="29" t="s">
        <v>22</v>
      </c>
      <c r="C18" s="6">
        <v>0</v>
      </c>
    </row>
    <row r="19" spans="1:3" x14ac:dyDescent="0.2">
      <c r="A19" s="8" t="s">
        <v>23</v>
      </c>
      <c r="B19" s="12" t="s">
        <v>3</v>
      </c>
      <c r="C19" s="6">
        <v>0</v>
      </c>
    </row>
    <row r="20" spans="1:3" x14ac:dyDescent="0.2">
      <c r="A20" s="17"/>
      <c r="B20" s="14"/>
      <c r="C20" s="7"/>
    </row>
    <row r="21" spans="1:3" ht="15" x14ac:dyDescent="0.25">
      <c r="A21" s="18">
        <v>4</v>
      </c>
      <c r="B21" s="11" t="s">
        <v>24</v>
      </c>
      <c r="C21" s="21">
        <f>SUM(C22:C29)</f>
        <v>21.27413</v>
      </c>
    </row>
    <row r="22" spans="1:3" x14ac:dyDescent="0.2">
      <c r="A22" s="8"/>
      <c r="B22" s="12" t="s">
        <v>25</v>
      </c>
      <c r="C22" s="6">
        <v>0</v>
      </c>
    </row>
    <row r="23" spans="1:3" x14ac:dyDescent="0.2">
      <c r="A23" s="8"/>
      <c r="B23" s="12" t="s">
        <v>26</v>
      </c>
      <c r="C23" s="6">
        <v>0</v>
      </c>
    </row>
    <row r="24" spans="1:3" x14ac:dyDescent="0.2">
      <c r="A24" s="8"/>
      <c r="B24" s="12" t="s">
        <v>27</v>
      </c>
      <c r="C24" s="6"/>
    </row>
    <row r="25" spans="1:3" x14ac:dyDescent="0.2">
      <c r="A25" s="8"/>
      <c r="B25" s="12" t="s">
        <v>13</v>
      </c>
      <c r="C25" s="6"/>
    </row>
    <row r="26" spans="1:3" x14ac:dyDescent="0.2">
      <c r="A26" s="8"/>
      <c r="B26" s="12" t="s">
        <v>6</v>
      </c>
      <c r="C26" s="6">
        <v>1.0509200000000001</v>
      </c>
    </row>
    <row r="27" spans="1:3" x14ac:dyDescent="0.2">
      <c r="A27" s="8"/>
      <c r="B27" s="12" t="s">
        <v>28</v>
      </c>
      <c r="C27" s="6">
        <v>14.430240000000001</v>
      </c>
    </row>
    <row r="28" spans="1:3" x14ac:dyDescent="0.2">
      <c r="A28" s="8"/>
      <c r="B28" s="12" t="s">
        <v>29</v>
      </c>
      <c r="C28" s="6">
        <v>0</v>
      </c>
    </row>
    <row r="29" spans="1:3" x14ac:dyDescent="0.2">
      <c r="A29" s="8"/>
      <c r="B29" s="12" t="s">
        <v>30</v>
      </c>
      <c r="C29" s="6">
        <v>5.7929700000000004</v>
      </c>
    </row>
    <row r="30" spans="1:3" x14ac:dyDescent="0.2">
      <c r="A30" s="8"/>
      <c r="B30" s="12"/>
      <c r="C30" s="7"/>
    </row>
    <row r="31" spans="1:3" ht="15" x14ac:dyDescent="0.25">
      <c r="A31" s="8">
        <v>5</v>
      </c>
      <c r="B31" s="11" t="s">
        <v>31</v>
      </c>
      <c r="C31" s="21">
        <v>0</v>
      </c>
    </row>
    <row r="32" spans="1:3" x14ac:dyDescent="0.2">
      <c r="A32" s="8" t="s">
        <v>19</v>
      </c>
      <c r="B32" s="12" t="s">
        <v>32</v>
      </c>
      <c r="C32" s="6"/>
    </row>
    <row r="33" spans="1:4" x14ac:dyDescent="0.2">
      <c r="A33" s="8" t="s">
        <v>21</v>
      </c>
      <c r="B33" s="12" t="s">
        <v>33</v>
      </c>
      <c r="C33" s="6"/>
    </row>
    <row r="34" spans="1:4" x14ac:dyDescent="0.2">
      <c r="A34" s="8"/>
      <c r="B34" s="12"/>
      <c r="C34" s="7"/>
    </row>
    <row r="35" spans="1:4" x14ac:dyDescent="0.2">
      <c r="A35" s="8"/>
      <c r="B35" s="12" t="s">
        <v>4</v>
      </c>
      <c r="C35" s="21">
        <f>C31+C21+C16+C12+C8</f>
        <v>43.889049999999997</v>
      </c>
    </row>
    <row r="36" spans="1:4" x14ac:dyDescent="0.2">
      <c r="A36" s="8"/>
      <c r="B36" s="12"/>
      <c r="C36" s="7"/>
    </row>
    <row r="37" spans="1:4" ht="15" x14ac:dyDescent="0.25">
      <c r="A37" s="8">
        <v>7</v>
      </c>
      <c r="B37" s="11" t="s">
        <v>34</v>
      </c>
      <c r="C37" s="7"/>
    </row>
    <row r="38" spans="1:4" ht="25.5" x14ac:dyDescent="0.2">
      <c r="A38" s="8" t="s">
        <v>19</v>
      </c>
      <c r="B38" s="29" t="s">
        <v>35</v>
      </c>
      <c r="C38" s="30">
        <v>1.1999999999999999E-3</v>
      </c>
    </row>
    <row r="39" spans="1:4" x14ac:dyDescent="0.2">
      <c r="A39" s="8" t="s">
        <v>21</v>
      </c>
      <c r="B39" s="12" t="s">
        <v>36</v>
      </c>
      <c r="C39" s="30">
        <f>C35/C41</f>
        <v>2.3506534197418453E-3</v>
      </c>
    </row>
    <row r="40" spans="1:4" x14ac:dyDescent="0.2">
      <c r="A40" s="8"/>
      <c r="B40" s="12"/>
      <c r="C40" s="7"/>
    </row>
    <row r="41" spans="1:4" ht="15" thickBot="1" x14ac:dyDescent="0.25">
      <c r="A41" s="19"/>
      <c r="B41" s="15" t="s">
        <v>37</v>
      </c>
      <c r="C41" s="31">
        <v>18671</v>
      </c>
    </row>
    <row r="43" spans="1:4" x14ac:dyDescent="0.2">
      <c r="B43" s="25"/>
    </row>
    <row r="44" spans="1:4" ht="15" x14ac:dyDescent="0.25">
      <c r="C44" s="23"/>
      <c r="D44" s="23"/>
    </row>
    <row r="45" spans="1:4" ht="15" x14ac:dyDescent="0.25">
      <c r="C45" s="23"/>
      <c r="D45" s="23"/>
    </row>
    <row r="46" spans="1:4" x14ac:dyDescent="0.2">
      <c r="C46" s="2"/>
      <c r="D46" s="22"/>
    </row>
    <row r="47" spans="1:4" ht="15" x14ac:dyDescent="0.25">
      <c r="C47" s="23"/>
    </row>
  </sheetData>
  <sheetProtection sheet="1" objects="1" scenarios="1"/>
  <mergeCells count="3">
    <mergeCell ref="A6:A7"/>
    <mergeCell ref="B6:B7"/>
    <mergeCell ref="C6:C7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pageSetUpPr fitToPage="1"/>
  </sheetPr>
  <dimension ref="A1:F47"/>
  <sheetViews>
    <sheetView rightToLeft="1" topLeftCell="A22" workbookViewId="0">
      <selection activeCell="B2" sqref="B2:E3"/>
    </sheetView>
  </sheetViews>
  <sheetFormatPr defaultRowHeight="14.25" x14ac:dyDescent="0.2"/>
  <cols>
    <col min="1" max="1" width="1.75" bestFit="1" customWidth="1"/>
    <col min="2" max="2" width="55.875" bestFit="1" customWidth="1"/>
    <col min="3" max="3" width="9.875" bestFit="1" customWidth="1"/>
  </cols>
  <sheetData>
    <row r="1" spans="1:6" ht="15" x14ac:dyDescent="0.25">
      <c r="B1" s="28" t="s">
        <v>83</v>
      </c>
    </row>
    <row r="2" spans="1:6" x14ac:dyDescent="0.2">
      <c r="B2" s="1" t="s">
        <v>98</v>
      </c>
      <c r="C2" s="2"/>
    </row>
    <row r="3" spans="1:6" x14ac:dyDescent="0.2">
      <c r="B3" s="3"/>
      <c r="C3" s="4"/>
      <c r="F3" s="20"/>
    </row>
    <row r="4" spans="1:6" ht="15" x14ac:dyDescent="0.25">
      <c r="B4" s="10" t="s">
        <v>5</v>
      </c>
      <c r="C4" s="2"/>
      <c r="F4" s="20"/>
    </row>
    <row r="5" spans="1:6" ht="16.5" thickBot="1" x14ac:dyDescent="0.3">
      <c r="B5" s="79" t="s">
        <v>90</v>
      </c>
      <c r="C5" s="2"/>
    </row>
    <row r="6" spans="1:6" ht="14.25" customHeight="1" x14ac:dyDescent="0.2">
      <c r="A6" s="85"/>
      <c r="B6" s="81"/>
      <c r="C6" s="83" t="s">
        <v>0</v>
      </c>
    </row>
    <row r="7" spans="1:6" x14ac:dyDescent="0.2">
      <c r="A7" s="86"/>
      <c r="B7" s="82"/>
      <c r="C7" s="84"/>
    </row>
    <row r="8" spans="1:6" ht="15" x14ac:dyDescent="0.25">
      <c r="A8" s="16">
        <v>1</v>
      </c>
      <c r="B8" s="11" t="s">
        <v>15</v>
      </c>
      <c r="C8" s="21">
        <f>SUM(C9:C10)</f>
        <v>79.09999999999998</v>
      </c>
    </row>
    <row r="9" spans="1:6" x14ac:dyDescent="0.2">
      <c r="A9" s="8"/>
      <c r="B9" s="12" t="s">
        <v>16</v>
      </c>
      <c r="C9" s="6">
        <v>1.94</v>
      </c>
    </row>
    <row r="10" spans="1:6" x14ac:dyDescent="0.2">
      <c r="A10" s="8"/>
      <c r="B10" s="12" t="s">
        <v>17</v>
      </c>
      <c r="C10" s="6">
        <v>77.159999999999982</v>
      </c>
    </row>
    <row r="11" spans="1:6" x14ac:dyDescent="0.2">
      <c r="A11" s="8"/>
      <c r="B11" s="12"/>
      <c r="C11" s="7"/>
    </row>
    <row r="12" spans="1:6" ht="15" x14ac:dyDescent="0.25">
      <c r="A12" s="16">
        <v>2</v>
      </c>
      <c r="B12" s="11" t="s">
        <v>18</v>
      </c>
      <c r="C12" s="21">
        <f>SUM(C13:C14)</f>
        <v>24.947099999999999</v>
      </c>
    </row>
    <row r="13" spans="1:6" x14ac:dyDescent="0.2">
      <c r="A13" s="8"/>
      <c r="B13" s="13" t="s">
        <v>1</v>
      </c>
      <c r="C13" s="9">
        <v>0</v>
      </c>
    </row>
    <row r="14" spans="1:6" x14ac:dyDescent="0.2">
      <c r="A14" s="8"/>
      <c r="B14" s="13" t="s">
        <v>2</v>
      </c>
      <c r="C14" s="9">
        <f>24.75+197.1/1000</f>
        <v>24.947099999999999</v>
      </c>
    </row>
    <row r="15" spans="1:6" x14ac:dyDescent="0.2">
      <c r="A15" s="26"/>
      <c r="B15" s="27"/>
      <c r="C15" s="7"/>
    </row>
    <row r="16" spans="1:6" ht="15" x14ac:dyDescent="0.25">
      <c r="A16" s="16">
        <v>3</v>
      </c>
      <c r="B16" s="11" t="s">
        <v>7</v>
      </c>
      <c r="C16" s="21">
        <f>SUM(C17:C19)</f>
        <v>0</v>
      </c>
    </row>
    <row r="17" spans="1:3" ht="25.5" x14ac:dyDescent="0.2">
      <c r="A17" s="8" t="s">
        <v>19</v>
      </c>
      <c r="B17" s="29" t="s">
        <v>20</v>
      </c>
      <c r="C17" s="6">
        <v>0</v>
      </c>
    </row>
    <row r="18" spans="1:3" x14ac:dyDescent="0.2">
      <c r="A18" s="8" t="s">
        <v>21</v>
      </c>
      <c r="B18" s="29" t="s">
        <v>22</v>
      </c>
      <c r="C18" s="6">
        <v>0</v>
      </c>
    </row>
    <row r="19" spans="1:3" x14ac:dyDescent="0.2">
      <c r="A19" s="8" t="s">
        <v>23</v>
      </c>
      <c r="B19" s="12" t="s">
        <v>3</v>
      </c>
      <c r="C19" s="6">
        <v>0</v>
      </c>
    </row>
    <row r="20" spans="1:3" x14ac:dyDescent="0.2">
      <c r="A20" s="17"/>
      <c r="B20" s="14"/>
      <c r="C20" s="7"/>
    </row>
    <row r="21" spans="1:3" ht="15" x14ac:dyDescent="0.25">
      <c r="A21" s="18">
        <v>4</v>
      </c>
      <c r="B21" s="11" t="s">
        <v>24</v>
      </c>
      <c r="C21" s="21">
        <f>SUM(C22:C29)</f>
        <v>0</v>
      </c>
    </row>
    <row r="22" spans="1:3" x14ac:dyDescent="0.2">
      <c r="A22" s="8"/>
      <c r="B22" s="12" t="s">
        <v>25</v>
      </c>
      <c r="C22" s="6">
        <v>0</v>
      </c>
    </row>
    <row r="23" spans="1:3" x14ac:dyDescent="0.2">
      <c r="A23" s="8"/>
      <c r="B23" s="12" t="s">
        <v>26</v>
      </c>
      <c r="C23" s="6">
        <v>0</v>
      </c>
    </row>
    <row r="24" spans="1:3" x14ac:dyDescent="0.2">
      <c r="A24" s="8"/>
      <c r="B24" s="12" t="s">
        <v>27</v>
      </c>
      <c r="C24" s="6"/>
    </row>
    <row r="25" spans="1:3" x14ac:dyDescent="0.2">
      <c r="A25" s="8"/>
      <c r="B25" s="12" t="s">
        <v>13</v>
      </c>
      <c r="C25" s="6"/>
    </row>
    <row r="26" spans="1:3" x14ac:dyDescent="0.2">
      <c r="A26" s="8"/>
      <c r="B26" s="12" t="s">
        <v>6</v>
      </c>
      <c r="C26" s="6">
        <v>0</v>
      </c>
    </row>
    <row r="27" spans="1:3" x14ac:dyDescent="0.2">
      <c r="A27" s="8"/>
      <c r="B27" s="12" t="s">
        <v>28</v>
      </c>
      <c r="C27" s="6">
        <v>0</v>
      </c>
    </row>
    <row r="28" spans="1:3" x14ac:dyDescent="0.2">
      <c r="A28" s="8"/>
      <c r="B28" s="12" t="s">
        <v>29</v>
      </c>
      <c r="C28" s="6">
        <v>0</v>
      </c>
    </row>
    <row r="29" spans="1:3" x14ac:dyDescent="0.2">
      <c r="A29" s="8"/>
      <c r="B29" s="12" t="s">
        <v>30</v>
      </c>
      <c r="C29" s="6">
        <v>0</v>
      </c>
    </row>
    <row r="30" spans="1:3" x14ac:dyDescent="0.2">
      <c r="A30" s="8"/>
      <c r="B30" s="12"/>
      <c r="C30" s="7"/>
    </row>
    <row r="31" spans="1:3" ht="15" x14ac:dyDescent="0.25">
      <c r="A31" s="8">
        <v>5</v>
      </c>
      <c r="B31" s="11" t="s">
        <v>31</v>
      </c>
      <c r="C31" s="21">
        <v>0</v>
      </c>
    </row>
    <row r="32" spans="1:3" x14ac:dyDescent="0.2">
      <c r="A32" s="8" t="s">
        <v>19</v>
      </c>
      <c r="B32" s="12" t="s">
        <v>32</v>
      </c>
      <c r="C32" s="6"/>
    </row>
    <row r="33" spans="1:4" x14ac:dyDescent="0.2">
      <c r="A33" s="8" t="s">
        <v>21</v>
      </c>
      <c r="B33" s="12" t="s">
        <v>33</v>
      </c>
      <c r="C33" s="6"/>
    </row>
    <row r="34" spans="1:4" x14ac:dyDescent="0.2">
      <c r="A34" s="8"/>
      <c r="B34" s="12"/>
      <c r="C34" s="7"/>
    </row>
    <row r="35" spans="1:4" x14ac:dyDescent="0.2">
      <c r="A35" s="8"/>
      <c r="B35" s="12" t="s">
        <v>4</v>
      </c>
      <c r="C35" s="21">
        <f>C31+C21+C16+C12+C8</f>
        <v>104.04709999999997</v>
      </c>
    </row>
    <row r="36" spans="1:4" x14ac:dyDescent="0.2">
      <c r="A36" s="8"/>
      <c r="B36" s="12"/>
      <c r="C36" s="7"/>
    </row>
    <row r="37" spans="1:4" ht="15" x14ac:dyDescent="0.25">
      <c r="A37" s="8">
        <v>7</v>
      </c>
      <c r="B37" s="11" t="s">
        <v>34</v>
      </c>
      <c r="C37" s="7"/>
    </row>
    <row r="38" spans="1:4" ht="25.5" x14ac:dyDescent="0.2">
      <c r="A38" s="8" t="s">
        <v>19</v>
      </c>
      <c r="B38" s="29" t="s">
        <v>35</v>
      </c>
      <c r="C38" s="30">
        <f>(C17+C21+C33)/C41</f>
        <v>0</v>
      </c>
    </row>
    <row r="39" spans="1:4" x14ac:dyDescent="0.2">
      <c r="A39" s="8" t="s">
        <v>21</v>
      </c>
      <c r="B39" s="12" t="s">
        <v>36</v>
      </c>
      <c r="C39" s="30">
        <f>C35/C41</f>
        <v>2.6336104122265695E-4</v>
      </c>
    </row>
    <row r="40" spans="1:4" x14ac:dyDescent="0.2">
      <c r="A40" s="8"/>
      <c r="B40" s="12"/>
      <c r="C40" s="7"/>
    </row>
    <row r="41" spans="1:4" ht="15" thickBot="1" x14ac:dyDescent="0.25">
      <c r="A41" s="19"/>
      <c r="B41" s="15" t="s">
        <v>37</v>
      </c>
      <c r="C41" s="31">
        <v>395074</v>
      </c>
    </row>
    <row r="43" spans="1:4" x14ac:dyDescent="0.2">
      <c r="B43" s="25"/>
    </row>
    <row r="44" spans="1:4" ht="15" x14ac:dyDescent="0.25">
      <c r="C44" s="23"/>
      <c r="D44" s="23"/>
    </row>
    <row r="45" spans="1:4" ht="15" x14ac:dyDescent="0.25">
      <c r="C45" s="23"/>
      <c r="D45" s="23"/>
    </row>
    <row r="46" spans="1:4" x14ac:dyDescent="0.2">
      <c r="C46" s="2"/>
      <c r="D46" s="22"/>
    </row>
    <row r="47" spans="1:4" ht="15" x14ac:dyDescent="0.25">
      <c r="C47" s="23"/>
    </row>
  </sheetData>
  <sheetProtection sheet="1" objects="1" scenarios="1"/>
  <mergeCells count="3">
    <mergeCell ref="A6:A7"/>
    <mergeCell ref="B6:B7"/>
    <mergeCell ref="C6:C7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pageSetUpPr fitToPage="1"/>
  </sheetPr>
  <dimension ref="A1:F47"/>
  <sheetViews>
    <sheetView rightToLeft="1" topLeftCell="A28" workbookViewId="0">
      <selection activeCell="B2" sqref="B2:E3"/>
    </sheetView>
  </sheetViews>
  <sheetFormatPr defaultRowHeight="14.25" x14ac:dyDescent="0.2"/>
  <cols>
    <col min="1" max="1" width="1.75" bestFit="1" customWidth="1"/>
    <col min="2" max="2" width="55.875" bestFit="1" customWidth="1"/>
    <col min="3" max="3" width="9.875" bestFit="1" customWidth="1"/>
  </cols>
  <sheetData>
    <row r="1" spans="1:6" ht="15" x14ac:dyDescent="0.25">
      <c r="B1" s="28" t="s">
        <v>83</v>
      </c>
    </row>
    <row r="2" spans="1:6" x14ac:dyDescent="0.2">
      <c r="B2" s="1" t="s">
        <v>98</v>
      </c>
      <c r="C2" s="2"/>
    </row>
    <row r="3" spans="1:6" x14ac:dyDescent="0.2">
      <c r="B3" s="3"/>
      <c r="C3" s="4"/>
      <c r="F3" s="20"/>
    </row>
    <row r="4" spans="1:6" ht="15" x14ac:dyDescent="0.25">
      <c r="B4" s="10" t="s">
        <v>5</v>
      </c>
      <c r="C4" s="2"/>
    </row>
    <row r="5" spans="1:6" ht="16.5" thickBot="1" x14ac:dyDescent="0.3">
      <c r="B5" s="79" t="s">
        <v>89</v>
      </c>
      <c r="C5" s="2"/>
    </row>
    <row r="6" spans="1:6" ht="14.25" customHeight="1" x14ac:dyDescent="0.2">
      <c r="A6" s="85"/>
      <c r="B6" s="81"/>
      <c r="C6" s="83" t="s">
        <v>0</v>
      </c>
    </row>
    <row r="7" spans="1:6" x14ac:dyDescent="0.2">
      <c r="A7" s="86"/>
      <c r="B7" s="82"/>
      <c r="C7" s="84"/>
    </row>
    <row r="8" spans="1:6" ht="15" x14ac:dyDescent="0.25">
      <c r="A8" s="16">
        <v>1</v>
      </c>
      <c r="B8" s="11" t="s">
        <v>15</v>
      </c>
      <c r="C8" s="21">
        <f>SUM(C9:C10)</f>
        <v>5.2200000000000006</v>
      </c>
    </row>
    <row r="9" spans="1:6" x14ac:dyDescent="0.2">
      <c r="A9" s="8"/>
      <c r="B9" s="12" t="s">
        <v>16</v>
      </c>
      <c r="C9" s="6">
        <v>0.98</v>
      </c>
    </row>
    <row r="10" spans="1:6" x14ac:dyDescent="0.2">
      <c r="A10" s="8"/>
      <c r="B10" s="12" t="s">
        <v>17</v>
      </c>
      <c r="C10" s="6">
        <v>4.24</v>
      </c>
    </row>
    <row r="11" spans="1:6" x14ac:dyDescent="0.2">
      <c r="A11" s="8"/>
      <c r="B11" s="12"/>
      <c r="C11" s="7"/>
    </row>
    <row r="12" spans="1:6" ht="15" x14ac:dyDescent="0.25">
      <c r="A12" s="16">
        <v>2</v>
      </c>
      <c r="B12" s="11" t="s">
        <v>18</v>
      </c>
      <c r="C12" s="21">
        <f>SUM(C13:C14)</f>
        <v>5.7586499999999994</v>
      </c>
    </row>
    <row r="13" spans="1:6" x14ac:dyDescent="0.2">
      <c r="A13" s="8"/>
      <c r="B13" s="13" t="s">
        <v>1</v>
      </c>
      <c r="C13" s="9">
        <v>0</v>
      </c>
    </row>
    <row r="14" spans="1:6" x14ac:dyDescent="0.2">
      <c r="A14" s="8"/>
      <c r="B14" s="13" t="s">
        <v>2</v>
      </c>
      <c r="C14" s="9">
        <f>5.3165+442.15/1000</f>
        <v>5.7586499999999994</v>
      </c>
    </row>
    <row r="15" spans="1:6" x14ac:dyDescent="0.2">
      <c r="A15" s="26"/>
      <c r="B15" s="27"/>
      <c r="C15" s="7"/>
    </row>
    <row r="16" spans="1:6" ht="15" x14ac:dyDescent="0.25">
      <c r="A16" s="16">
        <v>3</v>
      </c>
      <c r="B16" s="11" t="s">
        <v>7</v>
      </c>
      <c r="C16" s="21">
        <f>SUM(C17:C19)</f>
        <v>0</v>
      </c>
    </row>
    <row r="17" spans="1:3" ht="25.5" x14ac:dyDescent="0.2">
      <c r="A17" s="8" t="s">
        <v>19</v>
      </c>
      <c r="B17" s="29" t="s">
        <v>20</v>
      </c>
      <c r="C17" s="6">
        <v>0</v>
      </c>
    </row>
    <row r="18" spans="1:3" x14ac:dyDescent="0.2">
      <c r="A18" s="8" t="s">
        <v>21</v>
      </c>
      <c r="B18" s="29" t="s">
        <v>22</v>
      </c>
      <c r="C18" s="6">
        <v>0</v>
      </c>
    </row>
    <row r="19" spans="1:3" x14ac:dyDescent="0.2">
      <c r="A19" s="8" t="s">
        <v>23</v>
      </c>
      <c r="B19" s="12" t="s">
        <v>3</v>
      </c>
      <c r="C19" s="6">
        <v>0</v>
      </c>
    </row>
    <row r="20" spans="1:3" x14ac:dyDescent="0.2">
      <c r="A20" s="17"/>
      <c r="B20" s="14"/>
      <c r="C20" s="7"/>
    </row>
    <row r="21" spans="1:3" ht="15" x14ac:dyDescent="0.25">
      <c r="A21" s="18">
        <v>4</v>
      </c>
      <c r="B21" s="11" t="s">
        <v>24</v>
      </c>
      <c r="C21" s="21">
        <f>SUM(C22:C29)</f>
        <v>0</v>
      </c>
    </row>
    <row r="22" spans="1:3" x14ac:dyDescent="0.2">
      <c r="A22" s="8"/>
      <c r="B22" s="12" t="s">
        <v>25</v>
      </c>
      <c r="C22" s="6">
        <v>0</v>
      </c>
    </row>
    <row r="23" spans="1:3" x14ac:dyDescent="0.2">
      <c r="A23" s="8"/>
      <c r="B23" s="12" t="s">
        <v>26</v>
      </c>
      <c r="C23" s="6">
        <v>0</v>
      </c>
    </row>
    <row r="24" spans="1:3" x14ac:dyDescent="0.2">
      <c r="A24" s="8"/>
      <c r="B24" s="12" t="s">
        <v>27</v>
      </c>
      <c r="C24" s="6"/>
    </row>
    <row r="25" spans="1:3" x14ac:dyDescent="0.2">
      <c r="A25" s="8"/>
      <c r="B25" s="12" t="s">
        <v>13</v>
      </c>
      <c r="C25" s="6"/>
    </row>
    <row r="26" spans="1:3" x14ac:dyDescent="0.2">
      <c r="A26" s="8"/>
      <c r="B26" s="12" t="s">
        <v>6</v>
      </c>
      <c r="C26" s="6">
        <v>0</v>
      </c>
    </row>
    <row r="27" spans="1:3" x14ac:dyDescent="0.2">
      <c r="A27" s="8"/>
      <c r="B27" s="12" t="s">
        <v>28</v>
      </c>
      <c r="C27" s="6">
        <v>0</v>
      </c>
    </row>
    <row r="28" spans="1:3" x14ac:dyDescent="0.2">
      <c r="A28" s="8"/>
      <c r="B28" s="12" t="s">
        <v>29</v>
      </c>
      <c r="C28" s="6">
        <v>0</v>
      </c>
    </row>
    <row r="29" spans="1:3" x14ac:dyDescent="0.2">
      <c r="A29" s="8"/>
      <c r="B29" s="12" t="s">
        <v>30</v>
      </c>
      <c r="C29" s="6">
        <v>0</v>
      </c>
    </row>
    <row r="30" spans="1:3" x14ac:dyDescent="0.2">
      <c r="A30" s="8"/>
      <c r="B30" s="12"/>
      <c r="C30" s="7"/>
    </row>
    <row r="31" spans="1:3" ht="15" x14ac:dyDescent="0.25">
      <c r="A31" s="8">
        <v>5</v>
      </c>
      <c r="B31" s="11" t="s">
        <v>31</v>
      </c>
      <c r="C31" s="21">
        <v>0</v>
      </c>
    </row>
    <row r="32" spans="1:3" x14ac:dyDescent="0.2">
      <c r="A32" s="8" t="s">
        <v>19</v>
      </c>
      <c r="B32" s="12" t="s">
        <v>32</v>
      </c>
      <c r="C32" s="6"/>
    </row>
    <row r="33" spans="1:4" x14ac:dyDescent="0.2">
      <c r="A33" s="8" t="s">
        <v>21</v>
      </c>
      <c r="B33" s="12" t="s">
        <v>33</v>
      </c>
      <c r="C33" s="6"/>
    </row>
    <row r="34" spans="1:4" x14ac:dyDescent="0.2">
      <c r="A34" s="8"/>
      <c r="B34" s="12"/>
      <c r="C34" s="7"/>
    </row>
    <row r="35" spans="1:4" x14ac:dyDescent="0.2">
      <c r="A35" s="8"/>
      <c r="B35" s="12" t="s">
        <v>4</v>
      </c>
      <c r="C35" s="21">
        <f>C31+C21+C16+C12+C8</f>
        <v>10.97865</v>
      </c>
    </row>
    <row r="36" spans="1:4" x14ac:dyDescent="0.2">
      <c r="A36" s="8"/>
      <c r="B36" s="12"/>
      <c r="C36" s="7"/>
    </row>
    <row r="37" spans="1:4" ht="15" x14ac:dyDescent="0.25">
      <c r="A37" s="8">
        <v>7</v>
      </c>
      <c r="B37" s="11" t="s">
        <v>34</v>
      </c>
      <c r="C37" s="7"/>
    </row>
    <row r="38" spans="1:4" ht="25.5" x14ac:dyDescent="0.2">
      <c r="A38" s="8" t="s">
        <v>19</v>
      </c>
      <c r="B38" s="29" t="s">
        <v>35</v>
      </c>
      <c r="C38" s="30">
        <f>(C17+C21+C33)/C41</f>
        <v>0</v>
      </c>
    </row>
    <row r="39" spans="1:4" x14ac:dyDescent="0.2">
      <c r="A39" s="8" t="s">
        <v>21</v>
      </c>
      <c r="B39" s="12" t="s">
        <v>36</v>
      </c>
      <c r="C39" s="30">
        <f>C35/C41</f>
        <v>5.2346089294909693E-5</v>
      </c>
    </row>
    <row r="40" spans="1:4" x14ac:dyDescent="0.2">
      <c r="A40" s="8"/>
      <c r="B40" s="12"/>
      <c r="C40" s="7"/>
    </row>
    <row r="41" spans="1:4" ht="15" thickBot="1" x14ac:dyDescent="0.25">
      <c r="A41" s="19"/>
      <c r="B41" s="15" t="s">
        <v>37</v>
      </c>
      <c r="C41" s="31">
        <v>209732</v>
      </c>
    </row>
    <row r="43" spans="1:4" x14ac:dyDescent="0.2">
      <c r="B43" s="25"/>
    </row>
    <row r="44" spans="1:4" ht="15" x14ac:dyDescent="0.25">
      <c r="C44" s="23"/>
      <c r="D44" s="23"/>
    </row>
    <row r="45" spans="1:4" ht="15" x14ac:dyDescent="0.25">
      <c r="C45" s="23"/>
      <c r="D45" s="23"/>
    </row>
    <row r="46" spans="1:4" x14ac:dyDescent="0.2">
      <c r="C46" s="2"/>
      <c r="D46" s="22"/>
    </row>
    <row r="47" spans="1:4" ht="15" x14ac:dyDescent="0.25">
      <c r="C47" s="23"/>
    </row>
  </sheetData>
  <sheetProtection sheet="1" objects="1" scenarios="1"/>
  <mergeCells count="3">
    <mergeCell ref="A6:A7"/>
    <mergeCell ref="B6:B7"/>
    <mergeCell ref="C6:C7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/>
  <dimension ref="A1:F47"/>
  <sheetViews>
    <sheetView rightToLeft="1" topLeftCell="A22" workbookViewId="0">
      <selection activeCell="F26" sqref="F26"/>
    </sheetView>
  </sheetViews>
  <sheetFormatPr defaultRowHeight="14.25" x14ac:dyDescent="0.2"/>
  <cols>
    <col min="1" max="1" width="1.75" bestFit="1" customWidth="1"/>
    <col min="2" max="2" width="55.875" bestFit="1" customWidth="1"/>
    <col min="3" max="3" width="9.875" bestFit="1" customWidth="1"/>
  </cols>
  <sheetData>
    <row r="1" spans="1:6" ht="15" x14ac:dyDescent="0.25">
      <c r="B1" s="28" t="s">
        <v>83</v>
      </c>
    </row>
    <row r="2" spans="1:6" x14ac:dyDescent="0.2">
      <c r="B2" s="1" t="s">
        <v>98</v>
      </c>
      <c r="C2" s="2"/>
    </row>
    <row r="3" spans="1:6" x14ac:dyDescent="0.2">
      <c r="B3" s="3"/>
      <c r="C3" s="4"/>
      <c r="F3" s="20"/>
    </row>
    <row r="4" spans="1:6" ht="15" x14ac:dyDescent="0.25">
      <c r="B4" s="10" t="s">
        <v>5</v>
      </c>
      <c r="C4" s="2"/>
      <c r="F4" s="20"/>
    </row>
    <row r="5" spans="1:6" ht="16.5" thickBot="1" x14ac:dyDescent="0.3">
      <c r="B5" s="79" t="s">
        <v>91</v>
      </c>
      <c r="C5" s="2"/>
    </row>
    <row r="6" spans="1:6" ht="14.25" customHeight="1" x14ac:dyDescent="0.2">
      <c r="A6" s="85"/>
      <c r="B6" s="81"/>
      <c r="C6" s="83" t="s">
        <v>0</v>
      </c>
    </row>
    <row r="7" spans="1:6" x14ac:dyDescent="0.2">
      <c r="A7" s="86"/>
      <c r="B7" s="82"/>
      <c r="C7" s="84"/>
    </row>
    <row r="8" spans="1:6" ht="15" x14ac:dyDescent="0.25">
      <c r="A8" s="16">
        <v>1</v>
      </c>
      <c r="B8" s="11" t="s">
        <v>15</v>
      </c>
      <c r="C8" s="21">
        <f>SUM(C9:C10)</f>
        <v>69.609999999999985</v>
      </c>
    </row>
    <row r="9" spans="1:6" x14ac:dyDescent="0.2">
      <c r="A9" s="8"/>
      <c r="B9" s="12" t="s">
        <v>16</v>
      </c>
      <c r="C9" s="6">
        <v>2.57</v>
      </c>
    </row>
    <row r="10" spans="1:6" x14ac:dyDescent="0.2">
      <c r="A10" s="8"/>
      <c r="B10" s="12" t="s">
        <v>17</v>
      </c>
      <c r="C10" s="6">
        <v>67.039999999999992</v>
      </c>
    </row>
    <row r="11" spans="1:6" x14ac:dyDescent="0.2">
      <c r="A11" s="8"/>
      <c r="B11" s="12"/>
      <c r="C11" s="7"/>
    </row>
    <row r="12" spans="1:6" ht="15" x14ac:dyDescent="0.25">
      <c r="A12" s="16">
        <v>2</v>
      </c>
      <c r="B12" s="11" t="s">
        <v>18</v>
      </c>
      <c r="C12" s="21">
        <f>SUM(C13:C14)</f>
        <v>29.122175464997596</v>
      </c>
    </row>
    <row r="13" spans="1:6" x14ac:dyDescent="0.2">
      <c r="A13" s="8"/>
      <c r="B13" s="13" t="s">
        <v>1</v>
      </c>
      <c r="C13" s="9">
        <v>0</v>
      </c>
    </row>
    <row r="14" spans="1:6" x14ac:dyDescent="0.2">
      <c r="A14" s="8"/>
      <c r="B14" s="13" t="s">
        <v>2</v>
      </c>
      <c r="C14" s="9">
        <f>25.5331154649976+6696.11/1000-3107.05/1000</f>
        <v>29.122175464997596</v>
      </c>
    </row>
    <row r="15" spans="1:6" x14ac:dyDescent="0.2">
      <c r="A15" s="26"/>
      <c r="B15" s="27"/>
      <c r="C15" s="7"/>
    </row>
    <row r="16" spans="1:6" ht="15" x14ac:dyDescent="0.25">
      <c r="A16" s="16">
        <v>3</v>
      </c>
      <c r="B16" s="11" t="s">
        <v>7</v>
      </c>
      <c r="C16" s="21">
        <f>SUM(C17:C19)</f>
        <v>4.0514799999999997</v>
      </c>
    </row>
    <row r="17" spans="1:3" ht="25.5" x14ac:dyDescent="0.2">
      <c r="A17" s="8" t="s">
        <v>19</v>
      </c>
      <c r="B17" s="29" t="s">
        <v>20</v>
      </c>
      <c r="C17" s="6">
        <v>1.95024</v>
      </c>
    </row>
    <row r="18" spans="1:3" x14ac:dyDescent="0.2">
      <c r="A18" s="8" t="s">
        <v>21</v>
      </c>
      <c r="B18" s="29" t="s">
        <v>22</v>
      </c>
      <c r="C18" s="6">
        <v>2.1012399999999998</v>
      </c>
    </row>
    <row r="19" spans="1:3" x14ac:dyDescent="0.2">
      <c r="A19" s="8" t="s">
        <v>23</v>
      </c>
      <c r="B19" s="12" t="s">
        <v>3</v>
      </c>
      <c r="C19" s="6">
        <v>0</v>
      </c>
    </row>
    <row r="20" spans="1:3" x14ac:dyDescent="0.2">
      <c r="A20" s="17"/>
      <c r="B20" s="14"/>
      <c r="C20" s="7"/>
    </row>
    <row r="21" spans="1:3" ht="15" x14ac:dyDescent="0.25">
      <c r="A21" s="18">
        <v>4</v>
      </c>
      <c r="B21" s="11" t="s">
        <v>24</v>
      </c>
      <c r="C21" s="21">
        <f>SUM(C22:C29)</f>
        <v>135.4941</v>
      </c>
    </row>
    <row r="22" spans="1:3" x14ac:dyDescent="0.2">
      <c r="A22" s="8"/>
      <c r="B22" s="12" t="s">
        <v>25</v>
      </c>
      <c r="C22" s="6">
        <v>0</v>
      </c>
    </row>
    <row r="23" spans="1:3" x14ac:dyDescent="0.2">
      <c r="A23" s="8"/>
      <c r="B23" s="12" t="s">
        <v>26</v>
      </c>
      <c r="C23" s="6">
        <v>0</v>
      </c>
    </row>
    <row r="24" spans="1:3" x14ac:dyDescent="0.2">
      <c r="A24" s="8"/>
      <c r="B24" s="12" t="s">
        <v>27</v>
      </c>
      <c r="C24" s="6"/>
    </row>
    <row r="25" spans="1:3" x14ac:dyDescent="0.2">
      <c r="A25" s="8"/>
      <c r="B25" s="12" t="s">
        <v>13</v>
      </c>
      <c r="C25" s="6"/>
    </row>
    <row r="26" spans="1:3" x14ac:dyDescent="0.2">
      <c r="A26" s="8"/>
      <c r="B26" s="12" t="s">
        <v>6</v>
      </c>
      <c r="C26" s="6"/>
    </row>
    <row r="27" spans="1:3" x14ac:dyDescent="0.2">
      <c r="A27" s="8"/>
      <c r="B27" s="12" t="s">
        <v>28</v>
      </c>
      <c r="C27" s="6">
        <v>58.200600000000001</v>
      </c>
    </row>
    <row r="28" spans="1:3" x14ac:dyDescent="0.2">
      <c r="A28" s="8"/>
      <c r="B28" s="12" t="s">
        <v>29</v>
      </c>
      <c r="C28" s="6">
        <v>0</v>
      </c>
    </row>
    <row r="29" spans="1:3" x14ac:dyDescent="0.2">
      <c r="A29" s="8"/>
      <c r="B29" s="12" t="s">
        <v>30</v>
      </c>
      <c r="C29" s="6">
        <v>77.293499999999995</v>
      </c>
    </row>
    <row r="30" spans="1:3" x14ac:dyDescent="0.2">
      <c r="A30" s="8"/>
      <c r="B30" s="12"/>
      <c r="C30" s="7"/>
    </row>
    <row r="31" spans="1:3" ht="15" x14ac:dyDescent="0.25">
      <c r="A31" s="8">
        <v>5</v>
      </c>
      <c r="B31" s="11" t="s">
        <v>31</v>
      </c>
      <c r="C31" s="21">
        <v>0</v>
      </c>
    </row>
    <row r="32" spans="1:3" x14ac:dyDescent="0.2">
      <c r="A32" s="8" t="s">
        <v>19</v>
      </c>
      <c r="B32" s="12" t="s">
        <v>32</v>
      </c>
      <c r="C32" s="6"/>
    </row>
    <row r="33" spans="1:4" x14ac:dyDescent="0.2">
      <c r="A33" s="8" t="s">
        <v>21</v>
      </c>
      <c r="B33" s="12" t="s">
        <v>33</v>
      </c>
      <c r="C33" s="6"/>
    </row>
    <row r="34" spans="1:4" x14ac:dyDescent="0.2">
      <c r="A34" s="8"/>
      <c r="B34" s="12"/>
      <c r="C34" s="7"/>
    </row>
    <row r="35" spans="1:4" x14ac:dyDescent="0.2">
      <c r="A35" s="8"/>
      <c r="B35" s="12" t="s">
        <v>4</v>
      </c>
      <c r="C35" s="21">
        <f>C31+C21+C16+C12+C8</f>
        <v>238.27775546499757</v>
      </c>
    </row>
    <row r="36" spans="1:4" x14ac:dyDescent="0.2">
      <c r="A36" s="8"/>
      <c r="B36" s="12"/>
      <c r="C36" s="7"/>
    </row>
    <row r="37" spans="1:4" ht="15" x14ac:dyDescent="0.25">
      <c r="A37" s="8">
        <v>7</v>
      </c>
      <c r="B37" s="11" t="s">
        <v>34</v>
      </c>
      <c r="C37" s="7"/>
    </row>
    <row r="38" spans="1:4" ht="25.5" x14ac:dyDescent="0.2">
      <c r="A38" s="8" t="s">
        <v>19</v>
      </c>
      <c r="B38" s="29" t="s">
        <v>35</v>
      </c>
      <c r="C38" s="30">
        <f>(C17+C21+C33)/C41</f>
        <v>4.1694147411337518E-4</v>
      </c>
    </row>
    <row r="39" spans="1:4" x14ac:dyDescent="0.2">
      <c r="A39" s="8" t="s">
        <v>21</v>
      </c>
      <c r="B39" s="12" t="s">
        <v>36</v>
      </c>
      <c r="C39" s="30">
        <f>C35/C41</f>
        <v>7.2282262486765493E-4</v>
      </c>
    </row>
    <row r="40" spans="1:4" x14ac:dyDescent="0.2">
      <c r="A40" s="8"/>
      <c r="B40" s="12"/>
      <c r="C40" s="7"/>
    </row>
    <row r="41" spans="1:4" ht="15" thickBot="1" x14ac:dyDescent="0.25">
      <c r="A41" s="19"/>
      <c r="B41" s="15" t="s">
        <v>37</v>
      </c>
      <c r="C41" s="31">
        <v>329649</v>
      </c>
    </row>
    <row r="43" spans="1:4" x14ac:dyDescent="0.2">
      <c r="B43" s="25"/>
    </row>
    <row r="44" spans="1:4" ht="15" x14ac:dyDescent="0.25">
      <c r="C44" s="23"/>
      <c r="D44" s="23"/>
    </row>
    <row r="45" spans="1:4" ht="15" x14ac:dyDescent="0.25">
      <c r="C45" s="23"/>
      <c r="D45" s="23"/>
    </row>
    <row r="46" spans="1:4" x14ac:dyDescent="0.2">
      <c r="C46" s="2"/>
      <c r="D46" s="22"/>
    </row>
    <row r="47" spans="1:4" ht="15" x14ac:dyDescent="0.25">
      <c r="C47" s="23"/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1"/>
  <dimension ref="A1:F47"/>
  <sheetViews>
    <sheetView rightToLeft="1" topLeftCell="A22" workbookViewId="0">
      <selection activeCell="E17" sqref="E17"/>
    </sheetView>
  </sheetViews>
  <sheetFormatPr defaultRowHeight="14.25" x14ac:dyDescent="0.2"/>
  <cols>
    <col min="1" max="1" width="1.75" bestFit="1" customWidth="1"/>
    <col min="2" max="2" width="55.875" bestFit="1" customWidth="1"/>
    <col min="3" max="3" width="9.875" bestFit="1" customWidth="1"/>
  </cols>
  <sheetData>
    <row r="1" spans="1:6" ht="15" x14ac:dyDescent="0.25">
      <c r="B1" s="28" t="s">
        <v>83</v>
      </c>
    </row>
    <row r="2" spans="1:6" x14ac:dyDescent="0.2">
      <c r="B2" s="1" t="s">
        <v>98</v>
      </c>
      <c r="C2" s="2"/>
    </row>
    <row r="3" spans="1:6" x14ac:dyDescent="0.2">
      <c r="B3" s="3"/>
      <c r="C3" s="4"/>
      <c r="F3" s="20"/>
    </row>
    <row r="4" spans="1:6" ht="15" x14ac:dyDescent="0.25">
      <c r="B4" s="10" t="s">
        <v>5</v>
      </c>
      <c r="C4" s="2"/>
      <c r="F4" s="20"/>
    </row>
    <row r="5" spans="1:6" ht="16.5" thickBot="1" x14ac:dyDescent="0.3">
      <c r="B5" s="79" t="s">
        <v>92</v>
      </c>
      <c r="C5" s="2"/>
    </row>
    <row r="6" spans="1:6" ht="14.25" customHeight="1" x14ac:dyDescent="0.2">
      <c r="A6" s="85"/>
      <c r="B6" s="81"/>
      <c r="C6" s="83" t="s">
        <v>0</v>
      </c>
    </row>
    <row r="7" spans="1:6" x14ac:dyDescent="0.2">
      <c r="A7" s="86"/>
      <c r="B7" s="82"/>
      <c r="C7" s="84"/>
    </row>
    <row r="8" spans="1:6" ht="15" x14ac:dyDescent="0.25">
      <c r="A8" s="16">
        <v>1</v>
      </c>
      <c r="B8" s="11" t="s">
        <v>15</v>
      </c>
      <c r="C8" s="21">
        <f>SUM(C9:C10)</f>
        <v>12.24</v>
      </c>
    </row>
    <row r="9" spans="1:6" x14ac:dyDescent="0.2">
      <c r="A9" s="8"/>
      <c r="B9" s="12" t="s">
        <v>16</v>
      </c>
      <c r="C9" s="6">
        <v>0.4</v>
      </c>
    </row>
    <row r="10" spans="1:6" x14ac:dyDescent="0.2">
      <c r="A10" s="8"/>
      <c r="B10" s="12" t="s">
        <v>17</v>
      </c>
      <c r="C10" s="6">
        <f>12.24-0.4</f>
        <v>11.84</v>
      </c>
    </row>
    <row r="11" spans="1:6" x14ac:dyDescent="0.2">
      <c r="A11" s="8"/>
      <c r="B11" s="12"/>
      <c r="C11" s="7"/>
    </row>
    <row r="12" spans="1:6" ht="15" x14ac:dyDescent="0.25">
      <c r="A12" s="16">
        <v>2</v>
      </c>
      <c r="B12" s="11" t="s">
        <v>18</v>
      </c>
      <c r="C12" s="21">
        <f>SUM(C13:C14)</f>
        <v>10.88691</v>
      </c>
    </row>
    <row r="13" spans="1:6" x14ac:dyDescent="0.2">
      <c r="A13" s="8"/>
      <c r="B13" s="13" t="s">
        <v>1</v>
      </c>
      <c r="C13" s="9">
        <v>0</v>
      </c>
    </row>
    <row r="14" spans="1:6" x14ac:dyDescent="0.2">
      <c r="A14" s="8"/>
      <c r="B14" s="13" t="s">
        <v>2</v>
      </c>
      <c r="C14" s="9">
        <f>10.69+196.91/1000</f>
        <v>10.88691</v>
      </c>
    </row>
    <row r="15" spans="1:6" x14ac:dyDescent="0.2">
      <c r="A15" s="26"/>
      <c r="B15" s="27"/>
      <c r="C15" s="7"/>
    </row>
    <row r="16" spans="1:6" ht="15" x14ac:dyDescent="0.25">
      <c r="A16" s="16">
        <v>3</v>
      </c>
      <c r="B16" s="11" t="s">
        <v>7</v>
      </c>
      <c r="C16" s="21">
        <f>SUM(C17:C19)</f>
        <v>0</v>
      </c>
    </row>
    <row r="17" spans="1:3" ht="25.5" x14ac:dyDescent="0.2">
      <c r="A17" s="8" t="s">
        <v>19</v>
      </c>
      <c r="B17" s="29" t="s">
        <v>20</v>
      </c>
      <c r="C17" s="6">
        <v>0</v>
      </c>
    </row>
    <row r="18" spans="1:3" x14ac:dyDescent="0.2">
      <c r="A18" s="8" t="s">
        <v>21</v>
      </c>
      <c r="B18" s="29" t="s">
        <v>22</v>
      </c>
      <c r="C18" s="6">
        <v>0</v>
      </c>
    </row>
    <row r="19" spans="1:3" x14ac:dyDescent="0.2">
      <c r="A19" s="8" t="s">
        <v>23</v>
      </c>
      <c r="B19" s="12" t="s">
        <v>3</v>
      </c>
      <c r="C19" s="6">
        <v>0</v>
      </c>
    </row>
    <row r="20" spans="1:3" x14ac:dyDescent="0.2">
      <c r="A20" s="17"/>
      <c r="B20" s="14"/>
      <c r="C20" s="7"/>
    </row>
    <row r="21" spans="1:3" ht="15" x14ac:dyDescent="0.25">
      <c r="A21" s="18">
        <v>4</v>
      </c>
      <c r="B21" s="11" t="s">
        <v>24</v>
      </c>
      <c r="C21" s="21">
        <f>SUM(C22:C29)</f>
        <v>26.589550000000003</v>
      </c>
    </row>
    <row r="22" spans="1:3" x14ac:dyDescent="0.2">
      <c r="A22" s="8"/>
      <c r="B22" s="12" t="s">
        <v>25</v>
      </c>
      <c r="C22" s="6">
        <v>0</v>
      </c>
    </row>
    <row r="23" spans="1:3" x14ac:dyDescent="0.2">
      <c r="A23" s="8"/>
      <c r="B23" s="12" t="s">
        <v>26</v>
      </c>
      <c r="C23" s="6">
        <v>0</v>
      </c>
    </row>
    <row r="24" spans="1:3" x14ac:dyDescent="0.2">
      <c r="A24" s="8"/>
      <c r="B24" s="12" t="s">
        <v>27</v>
      </c>
      <c r="C24" s="6"/>
    </row>
    <row r="25" spans="1:3" x14ac:dyDescent="0.2">
      <c r="A25" s="8"/>
      <c r="B25" s="12" t="s">
        <v>13</v>
      </c>
      <c r="C25" s="6"/>
    </row>
    <row r="26" spans="1:3" x14ac:dyDescent="0.2">
      <c r="A26" s="8"/>
      <c r="B26" s="12" t="s">
        <v>6</v>
      </c>
      <c r="C26" s="6">
        <v>0.5999000000000001</v>
      </c>
    </row>
    <row r="27" spans="1:3" x14ac:dyDescent="0.2">
      <c r="A27" s="8"/>
      <c r="B27" s="12" t="s">
        <v>28</v>
      </c>
      <c r="C27" s="6">
        <v>25.989650000000001</v>
      </c>
    </row>
    <row r="28" spans="1:3" x14ac:dyDescent="0.2">
      <c r="A28" s="8"/>
      <c r="B28" s="12" t="s">
        <v>29</v>
      </c>
      <c r="C28" s="6">
        <v>0</v>
      </c>
    </row>
    <row r="29" spans="1:3" x14ac:dyDescent="0.2">
      <c r="A29" s="8"/>
      <c r="B29" s="12" t="s">
        <v>30</v>
      </c>
      <c r="C29" s="6">
        <v>0</v>
      </c>
    </row>
    <row r="30" spans="1:3" x14ac:dyDescent="0.2">
      <c r="A30" s="8"/>
      <c r="B30" s="12"/>
      <c r="C30" s="7"/>
    </row>
    <row r="31" spans="1:3" ht="15" x14ac:dyDescent="0.25">
      <c r="A31" s="8">
        <v>5</v>
      </c>
      <c r="B31" s="11" t="s">
        <v>31</v>
      </c>
      <c r="C31" s="21">
        <v>0</v>
      </c>
    </row>
    <row r="32" spans="1:3" x14ac:dyDescent="0.2">
      <c r="A32" s="8" t="s">
        <v>19</v>
      </c>
      <c r="B32" s="12" t="s">
        <v>32</v>
      </c>
      <c r="C32" s="6"/>
    </row>
    <row r="33" spans="1:4" x14ac:dyDescent="0.2">
      <c r="A33" s="8" t="s">
        <v>21</v>
      </c>
      <c r="B33" s="12" t="s">
        <v>33</v>
      </c>
      <c r="C33" s="6"/>
    </row>
    <row r="34" spans="1:4" x14ac:dyDescent="0.2">
      <c r="A34" s="8"/>
      <c r="B34" s="12"/>
      <c r="C34" s="7"/>
    </row>
    <row r="35" spans="1:4" x14ac:dyDescent="0.2">
      <c r="A35" s="8"/>
      <c r="B35" s="12" t="s">
        <v>4</v>
      </c>
      <c r="C35" s="21">
        <f>C31+C21+C16+C12+C8</f>
        <v>49.716460000000005</v>
      </c>
    </row>
    <row r="36" spans="1:4" x14ac:dyDescent="0.2">
      <c r="A36" s="8"/>
      <c r="B36" s="12"/>
      <c r="C36" s="7"/>
    </row>
    <row r="37" spans="1:4" ht="15" x14ac:dyDescent="0.25">
      <c r="A37" s="8">
        <v>7</v>
      </c>
      <c r="B37" s="11" t="s">
        <v>34</v>
      </c>
      <c r="C37" s="7"/>
    </row>
    <row r="38" spans="1:4" ht="25.5" x14ac:dyDescent="0.2">
      <c r="A38" s="8" t="s">
        <v>19</v>
      </c>
      <c r="B38" s="29" t="s">
        <v>35</v>
      </c>
      <c r="C38" s="30">
        <f>(C17+C21+C33)/C41</f>
        <v>8.086600164228583E-4</v>
      </c>
    </row>
    <row r="39" spans="1:4" x14ac:dyDescent="0.2">
      <c r="A39" s="8" t="s">
        <v>21</v>
      </c>
      <c r="B39" s="12" t="s">
        <v>36</v>
      </c>
      <c r="C39" s="30">
        <f>C35/C41</f>
        <v>1.5120118001277336E-3</v>
      </c>
    </row>
    <row r="40" spans="1:4" x14ac:dyDescent="0.2">
      <c r="A40" s="8"/>
      <c r="B40" s="12"/>
      <c r="C40" s="7"/>
    </row>
    <row r="41" spans="1:4" ht="15" thickBot="1" x14ac:dyDescent="0.25">
      <c r="A41" s="19"/>
      <c r="B41" s="15" t="s">
        <v>37</v>
      </c>
      <c r="C41" s="31">
        <v>32881</v>
      </c>
    </row>
    <row r="43" spans="1:4" x14ac:dyDescent="0.2">
      <c r="B43" s="25"/>
    </row>
    <row r="44" spans="1:4" ht="15" x14ac:dyDescent="0.25">
      <c r="C44" s="23"/>
      <c r="D44" s="23"/>
    </row>
    <row r="45" spans="1:4" ht="15" x14ac:dyDescent="0.25">
      <c r="C45" s="23"/>
      <c r="D45" s="23"/>
    </row>
    <row r="46" spans="1:4" x14ac:dyDescent="0.2">
      <c r="C46" s="2"/>
      <c r="D46" s="22"/>
    </row>
    <row r="47" spans="1:4" ht="15" x14ac:dyDescent="0.25">
      <c r="C47" s="23"/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2017-04-06T05:59:29+00:00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95303F-7C88-451C-91D0-8AAEB7F9194D}"/>
</file>

<file path=customXml/itemProps2.xml><?xml version="1.0" encoding="utf-8"?>
<ds:datastoreItem xmlns:ds="http://schemas.openxmlformats.org/officeDocument/2006/customXml" ds:itemID="{E3B212B7-A00B-40AB-9D9E-E62C0C34B00B}"/>
</file>

<file path=customXml/itemProps3.xml><?xml version="1.0" encoding="utf-8"?>
<ds:datastoreItem xmlns:ds="http://schemas.openxmlformats.org/officeDocument/2006/customXml" ds:itemID="{918CB26C-78B4-4716-BF71-69C2F44223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16</vt:i4>
      </vt:variant>
    </vt:vector>
  </HeadingPairs>
  <TitlesOfParts>
    <vt:vector size="16" baseType="lpstr">
      <vt:lpstr>מסלול כללי</vt:lpstr>
      <vt:lpstr>מסלול אג"ח עד 10% מניות</vt:lpstr>
      <vt:lpstr>מסלול ביג כללי לפחות 30% מניות</vt:lpstr>
      <vt:lpstr>מסלול מניות</vt:lpstr>
      <vt:lpstr>מסלול חו"ל</vt:lpstr>
      <vt:lpstr>מסלול אג"ח ממשלתי ישראלי</vt:lpstr>
      <vt:lpstr>מסלול שקלי טווח קצר</vt:lpstr>
      <vt:lpstr>מסלול אג"ח</vt:lpstr>
      <vt:lpstr>מסלול כהלכה</vt:lpstr>
      <vt:lpstr>מסלול לבני 50 ומטה</vt:lpstr>
      <vt:lpstr>מסלול לבני 50 עד 60</vt:lpstr>
      <vt:lpstr>מסלול לבני 60 ומעלה</vt:lpstr>
      <vt:lpstr>מסלול פאסיבי כללי</vt:lpstr>
      <vt:lpstr>מגדל השתלמות- נספח 1</vt:lpstr>
      <vt:lpstr>מגדל השתלמות-נספח 2</vt:lpstr>
      <vt:lpstr>מגדל השתלמות-נספח 3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</dc:creator>
  <cp:lastModifiedBy>אופיר שנקר</cp:lastModifiedBy>
  <cp:lastPrinted>2014-11-25T09:37:00Z</cp:lastPrinted>
  <dcterms:created xsi:type="dcterms:W3CDTF">2013-05-20T07:11:09Z</dcterms:created>
  <dcterms:modified xsi:type="dcterms:W3CDTF">2017-04-05T14:07:15Z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