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677" firstSheet="7" activeTab="11"/>
  </bookViews>
  <sheets>
    <sheet name="מסלול כללי" sheetId="1" r:id="rId1"/>
    <sheet name="מסלול ביג כללי לפחות 30% מניות" sheetId="38" r:id="rId2"/>
    <sheet name="מסלול מניות" sheetId="41" r:id="rId3"/>
    <sheet name="מסלול חו&quot;ל" sheetId="42" r:id="rId4"/>
    <sheet name="מסלול אג&quot;ח ממשלתי ישראלי" sheetId="40" r:id="rId5"/>
    <sheet name="מסלול שקלי טווח קצר" sheetId="39" r:id="rId6"/>
    <sheet name="מסלול צמוד מדד" sheetId="44" r:id="rId7"/>
    <sheet name="מסלול אג&quot;ח עד 10% מניות" sheetId="43" r:id="rId8"/>
    <sheet name="מסלול לבני 50 ומטה" sheetId="64" r:id="rId9"/>
    <sheet name="מסלול לבני 50 עד 60" sheetId="63" r:id="rId10"/>
    <sheet name="מסלול לבני 60 ומעלה" sheetId="62" r:id="rId11"/>
    <sheet name="מגדל תגמולים- נספח 1" sheetId="73" r:id="rId12"/>
    <sheet name="מגדל תגמולים-נספח 2" sheetId="74" r:id="rId13"/>
    <sheet name="מגדל תגמולים-נספח 3" sheetId="75" r:id="rId14"/>
  </sheets>
  <calcPr calcId="145621" iterate="1"/>
</workbook>
</file>

<file path=xl/calcChain.xml><?xml version="1.0" encoding="utf-8"?>
<calcChain xmlns="http://schemas.openxmlformats.org/spreadsheetml/2006/main">
  <c r="E21" i="74" l="1"/>
  <c r="E20" i="74"/>
  <c r="E19" i="74"/>
  <c r="E18" i="74"/>
  <c r="E17" i="74"/>
  <c r="E16" i="74"/>
  <c r="E15" i="74"/>
  <c r="E14" i="74"/>
  <c r="E13" i="74"/>
  <c r="E12" i="74"/>
  <c r="E11" i="74"/>
  <c r="D8" i="75" l="1"/>
  <c r="D52" i="75"/>
  <c r="D33" i="75"/>
  <c r="E45" i="74"/>
  <c r="E46" i="74"/>
  <c r="E30" i="74"/>
  <c r="E33" i="74"/>
  <c r="E38" i="74" s="1"/>
  <c r="D26" i="73"/>
  <c r="D16" i="73"/>
  <c r="D13" i="73"/>
  <c r="D27" i="63"/>
  <c r="D29" i="64"/>
  <c r="D14" i="64"/>
  <c r="D10" i="43"/>
  <c r="D10" i="39"/>
  <c r="D14" i="39"/>
  <c r="D10" i="40"/>
  <c r="D27" i="41"/>
  <c r="D14" i="38"/>
  <c r="D14" i="62"/>
  <c r="D14" i="63"/>
  <c r="D14" i="43"/>
  <c r="D14" i="44"/>
  <c r="D14" i="40"/>
  <c r="D14" i="42"/>
  <c r="D14" i="41"/>
  <c r="D14" i="1"/>
  <c r="D23" i="1" l="1"/>
  <c r="D40" i="73" l="1"/>
  <c r="D32" i="73"/>
  <c r="D31" i="73"/>
  <c r="D28" i="73"/>
  <c r="D27" i="73"/>
  <c r="D25" i="73"/>
  <c r="D24" i="73"/>
  <c r="D23" i="73"/>
  <c r="D22" i="73"/>
  <c r="D21" i="73"/>
  <c r="D18" i="73"/>
  <c r="D17" i="73"/>
  <c r="D12" i="73"/>
  <c r="D9" i="73"/>
  <c r="D8" i="73"/>
  <c r="D20" i="73" l="1"/>
  <c r="D57" i="75"/>
  <c r="D36" i="75"/>
  <c r="D15" i="75"/>
  <c r="E58" i="74"/>
  <c r="E49" i="74"/>
  <c r="E22" i="74"/>
  <c r="D15" i="73"/>
  <c r="D11" i="73"/>
  <c r="D7" i="73"/>
  <c r="D35" i="63"/>
  <c r="D35" i="42"/>
  <c r="D21" i="62"/>
  <c r="D21" i="63"/>
  <c r="D21" i="64"/>
  <c r="D21" i="43"/>
  <c r="D21" i="38"/>
  <c r="D21" i="41"/>
  <c r="D21" i="42"/>
  <c r="D21" i="44"/>
  <c r="D21" i="40"/>
  <c r="D21" i="39"/>
  <c r="D21" i="1"/>
  <c r="D16" i="62"/>
  <c r="D16" i="63"/>
  <c r="D16" i="64"/>
  <c r="D16" i="43"/>
  <c r="D16" i="38"/>
  <c r="D16" i="41"/>
  <c r="D16" i="42"/>
  <c r="D16" i="44"/>
  <c r="D16" i="40"/>
  <c r="D16" i="39"/>
  <c r="D16" i="1"/>
  <c r="D12" i="62"/>
  <c r="D35" i="62" s="1"/>
  <c r="D8" i="62"/>
  <c r="D12" i="63"/>
  <c r="D8" i="63"/>
  <c r="D12" i="64"/>
  <c r="D8" i="64"/>
  <c r="D12" i="43"/>
  <c r="D8" i="43"/>
  <c r="D12" i="38"/>
  <c r="D35" i="38" s="1"/>
  <c r="D8" i="38"/>
  <c r="D12" i="41"/>
  <c r="D8" i="41"/>
  <c r="D12" i="42"/>
  <c r="D8" i="42"/>
  <c r="D12" i="44"/>
  <c r="D8" i="44"/>
  <c r="D12" i="40"/>
  <c r="D8" i="40"/>
  <c r="D12" i="39"/>
  <c r="D35" i="39" s="1"/>
  <c r="D8" i="39"/>
  <c r="D12" i="1"/>
  <c r="D8" i="1"/>
  <c r="D34" i="73" l="1"/>
  <c r="D59" i="75"/>
  <c r="E68" i="74"/>
  <c r="D35" i="64"/>
  <c r="D39" i="64" s="1"/>
  <c r="D35" i="43"/>
  <c r="D35" i="44"/>
  <c r="D39" i="44" s="1"/>
  <c r="D35" i="40"/>
  <c r="D35" i="41"/>
  <c r="D39" i="41" s="1"/>
  <c r="D35" i="1"/>
  <c r="D39" i="1" s="1"/>
  <c r="D39" i="62"/>
  <c r="D38" i="62"/>
  <c r="D38" i="63"/>
  <c r="D38" i="64"/>
  <c r="D38" i="43"/>
  <c r="D39" i="38"/>
  <c r="D38" i="41"/>
  <c r="D39" i="42"/>
  <c r="D38" i="42"/>
  <c r="D38" i="44"/>
  <c r="D38" i="40"/>
  <c r="D39" i="39"/>
  <c r="D38" i="39"/>
  <c r="D38" i="1"/>
</calcChain>
</file>

<file path=xl/sharedStrings.xml><?xml version="1.0" encoding="utf-8"?>
<sst xmlns="http://schemas.openxmlformats.org/spreadsheetml/2006/main" count="588" uniqueCount="111">
  <si>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</si>
  <si>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</si>
  <si>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</si>
  <si>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</si>
  <si>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</si>
  <si>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</si>
  <si>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</si>
  <si>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</si>
  <si>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</si>
  <si>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State Street Global Advisors</t>
  </si>
  <si>
    <t>בנק לאומי</t>
  </si>
  <si>
    <t>Cheyne Capital</t>
  </si>
  <si>
    <t>M&amp;G Investments</t>
  </si>
  <si>
    <t>PSAGOT</t>
  </si>
  <si>
    <t>סך תשלומים למנהלי תיקים זרים</t>
  </si>
  <si>
    <t>BlackRock Inc USA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</si>
  <si>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</si>
  <si>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</si>
  <si>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</si>
  <si>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</si>
  <si>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</si>
  <si>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</si>
  <si>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</si>
  <si>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</si>
  <si>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</si>
  <si>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</si>
  <si>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</si>
  <si>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</si>
  <si>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</si>
  <si>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</si>
  <si>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</si>
  <si>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</si>
  <si>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</si>
  <si>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</si>
  <si>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</si>
  <si>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</si>
  <si>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</si>
  <si>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</si>
  <si>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</si>
  <si>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</si>
  <si>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</si>
  <si>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</si>
  <si>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</si>
  <si>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</si>
  <si>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</si>
  <si>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</si>
  <si>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</si>
  <si>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</si>
  <si>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</si>
  <si>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</si>
  <si>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</si>
  <si>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</si>
  <si>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</si>
  <si>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</si>
  <si>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</si>
  <si>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</si>
  <si>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</si>
  <si>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</si>
  <si>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</si>
  <si>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</si>
  <si>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</si>
  <si>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</si>
  <si>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</si>
  <si>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</si>
  <si>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</si>
  <si>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</si>
  <si>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</si>
  <si>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</si>
  <si>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</si>
  <si>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</si>
  <si>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</si>
  <si>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</si>
  <si>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יו בנק</t>
  </si>
  <si>
    <t>גוף 1</t>
  </si>
  <si>
    <t>גוף 2</t>
  </si>
  <si>
    <t xml:space="preserve">סך תשלומים בגין השקעת בקרנות נאמנות </t>
  </si>
  <si>
    <t>בנק הפועלים</t>
  </si>
  <si>
    <t>גוף 3</t>
  </si>
  <si>
    <t>אחר</t>
  </si>
  <si>
    <t>31.12.2016</t>
  </si>
  <si>
    <t>IGUD</t>
  </si>
  <si>
    <t>גוף 4</t>
  </si>
  <si>
    <t>גוף 5</t>
  </si>
  <si>
    <t>NEUBERGER BERMAN</t>
  </si>
  <si>
    <t>BROOKFIELD</t>
  </si>
  <si>
    <t>גורם 1</t>
  </si>
  <si>
    <t>מגדל מקפת קרנות פנסיה וקופות גמל בע"מ</t>
  </si>
  <si>
    <t>נספח 1 - סך התשלומים ששולמו בעד כל סוג של הוצאה ישירה לשנה המסתיימת ביום 31.12.2016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</si>
  <si>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</si>
  <si>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</si>
  <si>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מגדל לתגמולים ולפיצויים- מסלול כללי- מספר באוצר 744</t>
  </si>
  <si>
    <t>מגדל לתגמולים ולפיצויים- מסלול שקלי טווח קצר- מספר באוצר 858</t>
  </si>
  <si>
    <t>מגדל לתגמולים ולפיצויים- מסלול ביג כללי לפחות 30% מניות- מספר באוצר 1156</t>
  </si>
  <si>
    <t>מגדל לתגמולים ולפיצויים- מסלול מניות- מספר באוצר 863</t>
  </si>
  <si>
    <t>מגדל לתגמולים ולפיצויים- מסלול חו"ל- מספר באוצר 862</t>
  </si>
  <si>
    <t>מגדל לתגמולים ולפיצויים- מסלול אג"ח ממשלתי ישראלי- מספר באוצר 859</t>
  </si>
  <si>
    <t>מגדל לתגמולים ולפיצויים- מסלול צמוד מדד- מספר באוצר 860</t>
  </si>
  <si>
    <t>מגדל לתגמולים ולפיצויים- מסלול אג"ח עד 10% מניות- מספר באוצר 8012</t>
  </si>
  <si>
    <t>מגדל לתגמולים ולפיצויים- מסלול לבני 50 עד 60- מספר באוצר 9780</t>
  </si>
  <si>
    <t>מגדל לתגמולים ולפיצויים- מסלול לבני 50 ומטה- מספר באוצר 9779</t>
  </si>
  <si>
    <t>מגדל לתגמולים ולפיצויים- מסלול לבני 60 ומעלה- מספר באוצר 9781</t>
  </si>
  <si>
    <t>נספח 1 - סך התשלומים ששולמו בעד כל סוג של הוצאה ישירה לתקופה המסתיימת ביום 31.12.2016</t>
  </si>
  <si>
    <t>שם הקופה:  מגדל לתגמולים ולפיצויים- מצרפי (מספרים באוצר- 858 ,744, 859, 860, 862, 863, 1156, 8012, 9779, 9780, 9781)</t>
  </si>
  <si>
    <t>GOLDMAN</t>
  </si>
  <si>
    <t>JPMORGAN</t>
  </si>
  <si>
    <t>DASH</t>
  </si>
  <si>
    <t>NESSUAH</t>
  </si>
  <si>
    <t>CANTOR</t>
  </si>
  <si>
    <t>LEUMI</t>
  </si>
  <si>
    <t>BENLEUMI</t>
  </si>
  <si>
    <t>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</si>
</sst>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</cellStyleXfs>
  <cellXfs count="89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165" fontId="0" fillId="3" borderId="5" xfId="1" applyNumberFormat="1" applyFont="1" applyFill="1" applyBorder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5" fontId="0" fillId="4" borderId="3" xfId="1" applyNumberFormat="1" applyFont="1" applyFill="1" applyBorder="1"/>
    <xf numFmtId="165" fontId="0" fillId="0" borderId="0" xfId="0" applyNumberFormat="1"/>
    <xf numFmtId="0" fontId="5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7" fillId="0" borderId="0" xfId="0" applyFo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5" fontId="0" fillId="3" borderId="11" xfId="1" applyNumberFormat="1" applyFont="1" applyFill="1" applyBorder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9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6" fillId="2" borderId="16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7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8" xfId="0" applyNumberFormat="1" applyFont="1" applyFill="1" applyBorder="1" applyAlignment="1">
      <alignment horizontal="right" readingOrder="2"/>
    </xf>
    <xf numFmtId="165" fontId="2" fillId="5" borderId="3" xfId="1" applyNumberFormat="1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5" fillId="3" borderId="26" xfId="1" applyNumberFormat="1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29" xfId="0" applyFont="1" applyBorder="1" applyAlignment="1">
      <alignment wrapText="1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11" fillId="0" borderId="29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B1:E47"/>
  <sheetViews>
    <sheetView rightToLeft="1" topLeftCell="A22" workbookViewId="0">
      <selection activeCell="G12" sqref="G12"/>
    </sheetView>
  </sheetViews>
  <sheetFormatPr defaultRowHeight="14.25" x14ac:dyDescent="0.2"/>
  <cols>
    <col min="1" max="1" width="1.125" customWidth="1"/>
    <col min="2" max="2" width="1.875" bestFit="1" customWidth="1"/>
    <col min="3" max="3" width="55.875" bestFit="1" customWidth="1"/>
    <col min="4" max="4" width="10.875" bestFit="1" customWidth="1"/>
    <col min="6" max="6" width="9.625" customWidth="1"/>
    <col min="7" max="7" width="11.375" customWidth="1"/>
    <col min="8" max="8" width="9.75" customWidth="1"/>
    <col min="9" max="9" width="10" customWidth="1"/>
  </cols>
  <sheetData>
    <row r="1" spans="2:5" ht="15" x14ac:dyDescent="0.25">
      <c r="B1" s="27" t="s">
        <v>86</v>
      </c>
    </row>
    <row r="2" spans="2:5" x14ac:dyDescent="0.2">
      <c r="B2" s="1" t="s">
        <v>87</v>
      </c>
      <c r="D2" s="2"/>
    </row>
    <row r="3" spans="2:5" x14ac:dyDescent="0.2">
      <c r="B3" s="3"/>
      <c r="D3" s="4"/>
    </row>
    <row r="4" spans="2:5" ht="15" x14ac:dyDescent="0.25">
      <c r="B4" s="10" t="s">
        <v>5</v>
      </c>
      <c r="D4" s="2"/>
      <c r="E4" s="5"/>
    </row>
    <row r="5" spans="2:5" ht="16.5" thickBot="1" x14ac:dyDescent="0.3">
      <c r="B5" s="80" t="s">
        <v>90</v>
      </c>
      <c r="D5" s="2"/>
    </row>
    <row r="6" spans="2:5" ht="14.25" customHeight="1" x14ac:dyDescent="0.2">
      <c r="B6" s="82"/>
      <c r="C6" s="84"/>
      <c r="D6" s="86" t="s">
        <v>0</v>
      </c>
    </row>
    <row r="7" spans="2:5" x14ac:dyDescent="0.2">
      <c r="B7" s="83"/>
      <c r="C7" s="85"/>
      <c r="D7" s="87"/>
    </row>
    <row r="8" spans="2:5" ht="15" x14ac:dyDescent="0.25">
      <c r="B8" s="16">
        <v>1</v>
      </c>
      <c r="C8" s="11" t="s">
        <v>17</v>
      </c>
      <c r="D8" s="20">
        <f>SUM(D9:D10)</f>
        <v>442.10999999999996</v>
      </c>
    </row>
    <row r="9" spans="2:5" x14ac:dyDescent="0.2">
      <c r="B9" s="8"/>
      <c r="C9" s="12" t="s">
        <v>18</v>
      </c>
      <c r="D9" s="6">
        <v>2.99</v>
      </c>
    </row>
    <row r="10" spans="2:5" x14ac:dyDescent="0.2">
      <c r="B10" s="8"/>
      <c r="C10" s="12" t="s">
        <v>19</v>
      </c>
      <c r="D10" s="6">
        <v>439.11999999999995</v>
      </c>
    </row>
    <row r="11" spans="2:5" x14ac:dyDescent="0.2">
      <c r="B11" s="8"/>
      <c r="C11" s="12"/>
      <c r="D11" s="7"/>
    </row>
    <row r="12" spans="2:5" ht="15" x14ac:dyDescent="0.25">
      <c r="B12" s="16">
        <v>2</v>
      </c>
      <c r="C12" s="11" t="s">
        <v>20</v>
      </c>
      <c r="D12" s="20">
        <f>SUM(D13:D14)</f>
        <v>195.21959970504702</v>
      </c>
    </row>
    <row r="13" spans="2:5" x14ac:dyDescent="0.2">
      <c r="B13" s="8"/>
      <c r="C13" s="13" t="s">
        <v>1</v>
      </c>
      <c r="D13" s="9">
        <v>0</v>
      </c>
    </row>
    <row r="14" spans="2:5" x14ac:dyDescent="0.2">
      <c r="B14" s="8"/>
      <c r="C14" s="13" t="s">
        <v>2</v>
      </c>
      <c r="D14" s="9">
        <f>182.268199705047+49211.19/1000-36259.79/1000</f>
        <v>195.21959970504702</v>
      </c>
    </row>
    <row r="15" spans="2:5" x14ac:dyDescent="0.2">
      <c r="B15" s="25"/>
      <c r="C15" s="26"/>
      <c r="D15" s="7"/>
    </row>
    <row r="16" spans="2:5" ht="15" x14ac:dyDescent="0.25">
      <c r="B16" s="16">
        <v>3</v>
      </c>
      <c r="C16" s="11" t="s">
        <v>7</v>
      </c>
      <c r="D16" s="20">
        <f>SUM(D17:D19)</f>
        <v>27.96189</v>
      </c>
    </row>
    <row r="17" spans="2:4" ht="25.5" x14ac:dyDescent="0.2">
      <c r="B17" s="8" t="s">
        <v>21</v>
      </c>
      <c r="C17" s="28" t="s">
        <v>22</v>
      </c>
      <c r="D17" s="6">
        <v>14.15943</v>
      </c>
    </row>
    <row r="18" spans="2:4" x14ac:dyDescent="0.2">
      <c r="B18" s="8" t="s">
        <v>23</v>
      </c>
      <c r="C18" s="28" t="s">
        <v>24</v>
      </c>
      <c r="D18" s="6">
        <v>13.80246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1597.8297160869338</v>
      </c>
    </row>
    <row r="22" spans="2:4" x14ac:dyDescent="0.2">
      <c r="B22" s="8"/>
      <c r="C22" s="12" t="s">
        <v>27</v>
      </c>
      <c r="D22" s="6">
        <v>84.259758050077565</v>
      </c>
    </row>
    <row r="23" spans="2:4" x14ac:dyDescent="0.2">
      <c r="B23" s="8"/>
      <c r="C23" s="12" t="s">
        <v>28</v>
      </c>
      <c r="D23" s="6">
        <f>491.486977275328+0.1</f>
        <v>491.58697727532802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-2.0000000000000002E-5</v>
      </c>
    </row>
    <row r="27" spans="2:4" x14ac:dyDescent="0.2">
      <c r="B27" s="8"/>
      <c r="C27" s="12" t="s">
        <v>30</v>
      </c>
      <c r="D27" s="6">
        <v>182.59515999999996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839.3878407615282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2263.1212057919811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1.1348423924827686E-3</v>
      </c>
    </row>
    <row r="39" spans="2:5" x14ac:dyDescent="0.2">
      <c r="B39" s="8" t="s">
        <v>23</v>
      </c>
      <c r="C39" s="12" t="s">
        <v>38</v>
      </c>
      <c r="D39" s="29">
        <f>D35/D41</f>
        <v>1.5932401839639644E-3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1420452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rightToLeft="1" topLeftCell="A19" workbookViewId="0">
      <selection activeCell="H37" sqref="H37"/>
    </sheetView>
  </sheetViews>
  <sheetFormatPr defaultRowHeight="14.25" x14ac:dyDescent="0.2"/>
  <cols>
    <col min="1" max="1" width="1.75" customWidth="1"/>
    <col min="2" max="2" width="1.875" bestFit="1" customWidth="1"/>
    <col min="3" max="3" width="55.875" bestFit="1" customWidth="1"/>
    <col min="4" max="4" width="9.875" bestFit="1" customWidth="1"/>
    <col min="8" max="8" width="9.62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98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49.529999999999994</v>
      </c>
    </row>
    <row r="9" spans="2:4" x14ac:dyDescent="0.2">
      <c r="B9" s="8"/>
      <c r="C9" s="12" t="s">
        <v>18</v>
      </c>
      <c r="D9" s="6">
        <v>0.69000000000000006</v>
      </c>
    </row>
    <row r="10" spans="2:4" x14ac:dyDescent="0.2">
      <c r="B10" s="8"/>
      <c r="C10" s="12" t="s">
        <v>19</v>
      </c>
      <c r="D10" s="6">
        <v>48.839999999999996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31.46752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29.2275+2240.02/1000</f>
        <v>31.46752</v>
      </c>
    </row>
    <row r="15" spans="2:4" x14ac:dyDescent="0.2">
      <c r="B15" s="66"/>
      <c r="C15" s="67"/>
      <c r="D15" s="7"/>
    </row>
    <row r="16" spans="2:4" ht="15" x14ac:dyDescent="0.25">
      <c r="B16" s="16">
        <v>3</v>
      </c>
      <c r="C16" s="11" t="s">
        <v>7</v>
      </c>
      <c r="D16" s="20">
        <f>SUM(D17:D19)</f>
        <v>1.183644704393892</v>
      </c>
    </row>
    <row r="17" spans="2:4" ht="25.5" x14ac:dyDescent="0.2">
      <c r="B17" s="8" t="s">
        <v>21</v>
      </c>
      <c r="C17" s="28" t="s">
        <v>22</v>
      </c>
      <c r="D17" s="6">
        <v>6.6539999999999988E-2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1.117104704393892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23.729640000000003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/>
    </row>
    <row r="27" spans="2:4" x14ac:dyDescent="0.2">
      <c r="B27" s="8"/>
      <c r="C27" s="12" t="s">
        <v>30</v>
      </c>
      <c r="D27" s="6">
        <f>19.26085+0.3</f>
        <v>19.560850000000002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4.1687899999999996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105.91080470439388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1.0454354886327987E-3</v>
      </c>
    </row>
    <row r="39" spans="2:5" x14ac:dyDescent="0.2">
      <c r="B39" s="8" t="s">
        <v>23</v>
      </c>
      <c r="C39" s="12" t="s">
        <v>38</v>
      </c>
      <c r="D39" s="29">
        <v>4.5999999999999999E-3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22761.978389618482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rightToLeft="1" topLeftCell="A22" workbookViewId="0">
      <selection activeCell="C9" sqref="C9"/>
    </sheetView>
  </sheetViews>
  <sheetFormatPr defaultRowHeight="14.25" x14ac:dyDescent="0.2"/>
  <cols>
    <col min="1" max="1" width="2" customWidth="1"/>
    <col min="2" max="2" width="1.875" bestFit="1" customWidth="1"/>
    <col min="3" max="3" width="55.875" bestFit="1" customWidth="1"/>
    <col min="4" max="4" width="9.875" bestFit="1" customWidth="1"/>
    <col min="8" max="8" width="9.62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100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32.120000000000005</v>
      </c>
    </row>
    <row r="9" spans="2:4" x14ac:dyDescent="0.2">
      <c r="B9" s="8"/>
      <c r="C9" s="12" t="s">
        <v>18</v>
      </c>
      <c r="D9" s="6">
        <v>1</v>
      </c>
    </row>
    <row r="10" spans="2:4" x14ac:dyDescent="0.2">
      <c r="B10" s="8"/>
      <c r="C10" s="12" t="s">
        <v>19</v>
      </c>
      <c r="D10" s="6">
        <v>31.120000000000005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14.540659999999999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14.279+261.66/1000</f>
        <v>14.540659999999999</v>
      </c>
    </row>
    <row r="15" spans="2:4" x14ac:dyDescent="0.2">
      <c r="B15" s="66"/>
      <c r="C15" s="67"/>
      <c r="D15" s="7"/>
    </row>
    <row r="16" spans="2:4" ht="15" x14ac:dyDescent="0.25">
      <c r="B16" s="16">
        <v>3</v>
      </c>
      <c r="C16" s="11" t="s">
        <v>7</v>
      </c>
      <c r="D16" s="20">
        <f>SUM(D17:D19)</f>
        <v>0.88729274335472375</v>
      </c>
    </row>
    <row r="17" spans="2:4" ht="25.5" x14ac:dyDescent="0.2">
      <c r="B17" s="8" t="s">
        <v>21</v>
      </c>
      <c r="C17" s="28" t="s">
        <v>22</v>
      </c>
      <c r="D17" s="6">
        <v>0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0.88729274335472375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10.178280000000001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/>
    </row>
    <row r="27" spans="2:4" x14ac:dyDescent="0.2">
      <c r="B27" s="8"/>
      <c r="C27" s="12" t="s">
        <v>30</v>
      </c>
      <c r="D27" s="6">
        <v>8.7844500000000014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1.3938299999999999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57.726232743354728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2.2462895114208257E-3</v>
      </c>
    </row>
    <row r="39" spans="2:5" x14ac:dyDescent="0.2">
      <c r="B39" s="8" t="s">
        <v>23</v>
      </c>
      <c r="C39" s="12" t="s">
        <v>38</v>
      </c>
      <c r="D39" s="29">
        <f>D35/D41</f>
        <v>1.2739856944909667E-2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4531.1523506878784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6"/>
  <sheetViews>
    <sheetView rightToLeft="1" tabSelected="1" workbookViewId="0">
      <selection activeCell="C3" sqref="C3"/>
    </sheetView>
  </sheetViews>
  <sheetFormatPr defaultRowHeight="14.25" x14ac:dyDescent="0.2"/>
  <cols>
    <col min="1" max="1" width="1.875" customWidth="1"/>
    <col min="2" max="2" width="1.875" bestFit="1" customWidth="1"/>
    <col min="3" max="3" width="55.875" bestFit="1" customWidth="1"/>
    <col min="4" max="4" width="10.875" bestFit="1" customWidth="1"/>
    <col min="6" max="6" width="9.875" customWidth="1"/>
    <col min="7" max="7" width="10" customWidth="1"/>
    <col min="8" max="9" width="9.75" customWidth="1"/>
  </cols>
  <sheetData>
    <row r="1" spans="2:4" ht="15" x14ac:dyDescent="0.25">
      <c r="B1" s="27" t="s">
        <v>86</v>
      </c>
    </row>
    <row r="2" spans="2:4" x14ac:dyDescent="0.2">
      <c r="B2" s="1" t="s">
        <v>101</v>
      </c>
      <c r="D2" s="2"/>
    </row>
    <row r="3" spans="2:4" x14ac:dyDescent="0.2">
      <c r="B3" s="3"/>
      <c r="D3" s="4"/>
    </row>
    <row r="4" spans="2:4" ht="34.5" customHeight="1" thickBot="1" x14ac:dyDescent="0.3">
      <c r="B4" s="88" t="s">
        <v>102</v>
      </c>
      <c r="C4" s="88"/>
      <c r="D4" s="4"/>
    </row>
    <row r="5" spans="2:4" ht="14.25" customHeight="1" x14ac:dyDescent="0.2">
      <c r="B5" s="82"/>
      <c r="C5" s="84"/>
      <c r="D5" s="86" t="s">
        <v>0</v>
      </c>
    </row>
    <row r="6" spans="2:4" x14ac:dyDescent="0.2">
      <c r="B6" s="83"/>
      <c r="C6" s="85"/>
      <c r="D6" s="87"/>
    </row>
    <row r="7" spans="2:4" ht="15" x14ac:dyDescent="0.25">
      <c r="B7" s="16">
        <v>1</v>
      </c>
      <c r="C7" s="11" t="s">
        <v>17</v>
      </c>
      <c r="D7" s="20">
        <f>SUM(D8:D9)</f>
        <v>674.21</v>
      </c>
    </row>
    <row r="8" spans="2:4" x14ac:dyDescent="0.2">
      <c r="B8" s="8"/>
      <c r="C8" s="12" t="s">
        <v>18</v>
      </c>
      <c r="D8" s="6">
        <f>'מסלול כללי'!D9+'מסלול שקלי טווח קצר'!D9+'מסלול אג"ח ממשלתי ישראלי'!D9+'מסלול צמוד מדד'!D9+'מסלול חו"ל'!D9+'מסלול מניות'!D9+'מסלול ביג כללי לפחות 30% מניות'!D9+'מסלול אג"ח עד 10% מניות'!D9+'מסלול לבני 50 ומטה'!D9+'מסלול לבני 50 עד 60'!D9+'מסלול לבני 60 ומעלה'!D9</f>
        <v>6.3200000000000012</v>
      </c>
    </row>
    <row r="9" spans="2:4" x14ac:dyDescent="0.2">
      <c r="B9" s="8"/>
      <c r="C9" s="12" t="s">
        <v>19</v>
      </c>
      <c r="D9" s="6">
        <f>'מסלול כללי'!D10+'מסלול שקלי טווח קצר'!D10+'מסלול אג"ח ממשלתי ישראלי'!D10+'מסלול צמוד מדד'!D10+'מסלול חו"ל'!D10+'מסלול מניות'!D10+'מסלול ביג כללי לפחות 30% מניות'!D10+'מסלול אג"ח עד 10% מניות'!D10+'מסלול לבני 50 ומטה'!D10+'מסלול לבני 50 עד 60'!D10+'מסלול לבני 60 ומעלה'!D10</f>
        <v>667.89</v>
      </c>
    </row>
    <row r="10" spans="2:4" x14ac:dyDescent="0.2">
      <c r="B10" s="8"/>
      <c r="C10" s="12"/>
      <c r="D10" s="7"/>
    </row>
    <row r="11" spans="2:4" ht="15" x14ac:dyDescent="0.25">
      <c r="B11" s="16">
        <v>2</v>
      </c>
      <c r="C11" s="11" t="s">
        <v>20</v>
      </c>
      <c r="D11" s="20">
        <f>SUM(D12:D13)</f>
        <v>343.58354774175245</v>
      </c>
    </row>
    <row r="12" spans="2:4" x14ac:dyDescent="0.2">
      <c r="B12" s="8"/>
      <c r="C12" s="13" t="s">
        <v>1</v>
      </c>
      <c r="D12" s="6">
        <f>'מסלול כללי'!D13+'מסלול שקלי טווח קצר'!D13+'מסלול אג"ח ממשלתי ישראלי'!D13+'מסלול צמוד מדד'!D13+'מסלול חו"ל'!D13+'מסלול מניות'!D13+'מסלול ביג כללי לפחות 30% מניות'!D13+'מסלול אג"ח עד 10% מניות'!D13+'מסלול לבני 50 ומטה'!D13+'מסלול לבני 50 עד 60'!D13+'מסלול לבני 60 ומעלה'!D13</f>
        <v>0</v>
      </c>
    </row>
    <row r="13" spans="2:4" x14ac:dyDescent="0.2">
      <c r="B13" s="8"/>
      <c r="C13" s="13" t="s">
        <v>2</v>
      </c>
      <c r="D13" s="6">
        <f>'מסלול כללי'!D14+'מסלול שקלי טווח קצר'!D14+'מסלול אג"ח ממשלתי ישראלי'!D14+'מסלול צמוד מדד'!D14+'מסלול חו"ל'!D14+'מסלול מניות'!D14+'מסלול ביג כללי לפחות 30% מניות'!D14+'מסלול אג"ח עד 10% מניות'!D14+'מסלול לבני 50 ומטה'!D14+'מסלול לבני 50 עד 60'!D14+'מסלול לבני 60 ומעלה'!D14+0.3</f>
        <v>343.58354774175245</v>
      </c>
    </row>
    <row r="14" spans="2:4" x14ac:dyDescent="0.2">
      <c r="B14" s="78"/>
      <c r="C14" s="79"/>
      <c r="D14" s="7"/>
    </row>
    <row r="15" spans="2:4" ht="15" x14ac:dyDescent="0.25">
      <c r="B15" s="16">
        <v>3</v>
      </c>
      <c r="C15" s="11" t="s">
        <v>7</v>
      </c>
      <c r="D15" s="20">
        <f>SUM(D16:D18)</f>
        <v>33.11731664369831</v>
      </c>
    </row>
    <row r="16" spans="2:4" ht="25.5" x14ac:dyDescent="0.2">
      <c r="B16" s="8" t="s">
        <v>21</v>
      </c>
      <c r="C16" s="28" t="s">
        <v>22</v>
      </c>
      <c r="D16" s="6">
        <f>'מסלול כללי'!D17+'מסלול שקלי טווח קצר'!D17+'מסלול אג"ח ממשלתי ישראלי'!D17+'מסלול צמוד מדד'!D17+'מסלול חו"ל'!D17+'מסלול מניות'!D17+'מסלול ביג כללי לפחות 30% מניות'!D17+'מסלול אג"ח עד 10% מניות'!D17+'מסלול לבני 50 ומטה'!D17+'מסלול לבני 50 עד 60'!D17+'מסלול לבני 60 ומעלה'!D17-0.4</f>
        <v>14.994339999999999</v>
      </c>
    </row>
    <row r="17" spans="2:4" x14ac:dyDescent="0.2">
      <c r="B17" s="8" t="s">
        <v>23</v>
      </c>
      <c r="C17" s="28" t="s">
        <v>24</v>
      </c>
      <c r="D17" s="6">
        <f>'מסלול כללי'!D18+'מסלול שקלי טווח קצר'!D18+'מסלול אג"ח ממשלתי ישראלי'!D18+'מסלול צמוד מדד'!D18+'מסלול חו"ל'!D18+'מסלול מניות'!D18+'מסלול ביג כללי לפחות 30% מניות'!D18+'מסלול אג"ח עד 10% מניות'!D18+'מסלול לבני 50 ומטה'!D18+'מסלול לבני 50 עד 60'!D18+'מסלול לבני 60 ומעלה'!D18</f>
        <v>15.2645</v>
      </c>
    </row>
    <row r="18" spans="2:4" x14ac:dyDescent="0.2">
      <c r="B18" s="8" t="s">
        <v>25</v>
      </c>
      <c r="C18" s="12" t="s">
        <v>3</v>
      </c>
      <c r="D18" s="6">
        <f>'מסלול כללי'!D19+'מסלול שקלי טווח קצר'!D19+'מסלול אג"ח ממשלתי ישראלי'!D19+'מסלול צמוד מדד'!D19+'מסלול חו"ל'!D19+'מסלול מניות'!D19+'מסלול ביג כללי לפחות 30% מניות'!D19+'מסלול אג"ח עד 10% מניות'!D19+'מסלול לבני 50 ומטה'!D19+'מסלול לבני 50 עד 60'!D19+'מסלול לבני 60 ומעלה'!D19</f>
        <v>2.8584766436983111</v>
      </c>
    </row>
    <row r="19" spans="2:4" x14ac:dyDescent="0.2">
      <c r="B19" s="17"/>
      <c r="C19" s="14"/>
      <c r="D19" s="7"/>
    </row>
    <row r="20" spans="2:4" ht="15" x14ac:dyDescent="0.25">
      <c r="B20" s="18">
        <v>4</v>
      </c>
      <c r="C20" s="11" t="s">
        <v>26</v>
      </c>
      <c r="D20" s="20">
        <f>SUM(D21:D28)</f>
        <v>1837.5877803959715</v>
      </c>
    </row>
    <row r="21" spans="2:4" x14ac:dyDescent="0.2">
      <c r="B21" s="8"/>
      <c r="C21" s="12" t="s">
        <v>27</v>
      </c>
      <c r="D21" s="6">
        <f>'מסלול כללי'!D22+'מסלול שקלי טווח קצר'!D22+'מסלול אג"ח ממשלתי ישראלי'!D22+'מסלול צמוד מדד'!D22+'מסלול חו"ל'!D22+'מסלול מניות'!D22+'מסלול ביג כללי לפחות 30% מניות'!D22+'מסלול אג"ח עד 10% מניות'!D22+'מסלול לבני 50 ומטה'!D22+'מסלול לבני 50 עד 60'!D22+'מסלול לבני 60 ומעלה'!D22</f>
        <v>86.39540363849423</v>
      </c>
    </row>
    <row r="22" spans="2:4" x14ac:dyDescent="0.2">
      <c r="B22" s="8"/>
      <c r="C22" s="12" t="s">
        <v>28</v>
      </c>
      <c r="D22" s="6">
        <f>'מסלול כללי'!D23+'מסלול שקלי טווח קצר'!D23+'מסלול אג"ח ממשלתי ישראלי'!D23+'מסלול צמוד מדד'!D23+'מסלול חו"ל'!D23+'מסלול מניות'!D23+'מסלול ביג כללי לפחות 30% מניות'!D23+'מסלול אג"ח עד 10% מניות'!D23+'מסלול לבני 50 ומטה'!D23+'מסלול לבני 50 עד 60'!D23+'מסלול לבני 60 ומעלה'!D23</f>
        <v>498.63305599594912</v>
      </c>
    </row>
    <row r="23" spans="2:4" x14ac:dyDescent="0.2">
      <c r="B23" s="8"/>
      <c r="C23" s="12" t="s">
        <v>29</v>
      </c>
      <c r="D23" s="6">
        <f>'מסלול כללי'!D24+'מסלול שקלי טווח קצר'!D24+'מסלול אג"ח ממשלתי ישראלי'!D24+'מסלול צמוד מדד'!D24+'מסלול חו"ל'!D24+'מסלול מניות'!D24+'מסלול ביג כללי לפחות 30% מניות'!D24+'מסלול אג"ח עד 10% מניות'!D24+'מסלול לבני 50 ומטה'!D24+'מסלול לבני 50 עד 60'!D24+'מסלול לבני 60 ומעלה'!D24</f>
        <v>0</v>
      </c>
    </row>
    <row r="24" spans="2:4" x14ac:dyDescent="0.2">
      <c r="B24" s="8"/>
      <c r="C24" s="12" t="s">
        <v>14</v>
      </c>
      <c r="D24" s="6">
        <f>'מסלול כללי'!D25+'מסלול שקלי טווח קצר'!D25+'מסלול אג"ח ממשלתי ישראלי'!D25+'מסלול צמוד מדד'!D25+'מסלול חו"ל'!D25+'מסלול מניות'!D25+'מסלול ביג כללי לפחות 30% מניות'!D25+'מסלול אג"ח עד 10% מניות'!D25+'מסלול לבני 50 ומטה'!D25+'מסלול לבני 50 עד 60'!D25+'מסלול לבני 60 ומעלה'!D25</f>
        <v>0</v>
      </c>
    </row>
    <row r="25" spans="2:4" x14ac:dyDescent="0.2">
      <c r="B25" s="8"/>
      <c r="C25" s="12" t="s">
        <v>6</v>
      </c>
      <c r="D25" s="6">
        <f>'מסלול כללי'!D26+'מסלול שקלי טווח קצר'!D26+'מסלול אג"ח ממשלתי ישראלי'!D26+'מסלול צמוד מדד'!D26+'מסלול חו"ל'!D26+'מסלול מניות'!D26+'מסלול ביג כללי לפחות 30% מניות'!D26+'מסלול אג"ח עד 10% מניות'!D26+'מסלול לבני 50 ומטה'!D26+'מסלול לבני 50 עד 60'!D26+'מסלול לבני 60 ומעלה'!D26</f>
        <v>1.2669599999999999</v>
      </c>
    </row>
    <row r="26" spans="2:4" x14ac:dyDescent="0.2">
      <c r="B26" s="8"/>
      <c r="C26" s="12" t="s">
        <v>30</v>
      </c>
      <c r="D26" s="6">
        <f>'מסלול כללי'!D27+'מסלול שקלי טווח קצר'!D27+'מסלול אג"ח ממשלתי ישראלי'!D27+'מסלול צמוד מדד'!D27+'מסלול חו"ל'!D27+'מסלול מניות'!D27+'מסלול ביג כללי לפחות 30% מניות'!D27+'מסלול אג"ח עד 10% מניות'!D27+'מסלול לבני 50 ומטה'!D27+'מסלול לבני 50 עד 60'!D27+'מסלול לבני 60 ומעלה'!D27+0.3</f>
        <v>356.54334</v>
      </c>
    </row>
    <row r="27" spans="2:4" x14ac:dyDescent="0.2">
      <c r="B27" s="8"/>
      <c r="C27" s="12" t="s">
        <v>31</v>
      </c>
      <c r="D27" s="6">
        <f>'מסלול כללי'!D28+'מסלול שקלי טווח קצר'!D28+'מסלול אג"ח ממשלתי ישראלי'!D28+'מסלול צמוד מדד'!D28+'מסלול חו"ל'!D28+'מסלול מניות'!D28+'מסלול ביג כללי לפחות 30% מניות'!D28+'מסלול אג"ח עד 10% מניות'!D28+'מסלול לבני 50 ומטה'!D28+'מסלול לבני 50 עד 60'!D28+'מסלול לבני 60 ומעלה'!D28</f>
        <v>0</v>
      </c>
    </row>
    <row r="28" spans="2:4" x14ac:dyDescent="0.2">
      <c r="B28" s="8"/>
      <c r="C28" s="12" t="s">
        <v>32</v>
      </c>
      <c r="D28" s="6">
        <f>'מסלול כללי'!D29+'מסלול שקלי טווח קצר'!D29+'מסלול אג"ח ממשלתי ישראלי'!D29+'מסלול צמוד מדד'!D29+'מסלול חו"ל'!D29+'מסלול מניות'!D29+'מסלול ביג כללי לפחות 30% מניות'!D29+'מסלול אג"ח עד 10% מניות'!D29+'מסלול לבני 50 ומטה'!D29+'מסלול לבני 50 עד 60'!D29+'מסלול לבני 60 ומעלה'!D29</f>
        <v>894.74902076152819</v>
      </c>
    </row>
    <row r="29" spans="2:4" x14ac:dyDescent="0.2">
      <c r="B29" s="8"/>
      <c r="C29" s="12"/>
      <c r="D29" s="7"/>
    </row>
    <row r="30" spans="2:4" ht="15" x14ac:dyDescent="0.25">
      <c r="B30" s="8">
        <v>5</v>
      </c>
      <c r="C30" s="11" t="s">
        <v>33</v>
      </c>
      <c r="D30" s="20">
        <v>0</v>
      </c>
    </row>
    <row r="31" spans="2:4" x14ac:dyDescent="0.2">
      <c r="B31" s="8" t="s">
        <v>21</v>
      </c>
      <c r="C31" s="12" t="s">
        <v>34</v>
      </c>
      <c r="D31" s="6">
        <f>'מסלול כללי'!D32+'מסלול שקלי טווח קצר'!D32+'מסלול אג"ח ממשלתי ישראלי'!D32+'מסלול צמוד מדד'!D32+'מסלול חו"ל'!D32+'מסלול מניות'!D32+'מסלול ביג כללי לפחות 30% מניות'!D32+'מסלול אג"ח עד 10% מניות'!D32+'מסלול לבני 50 ומטה'!D32+'מסלול לבני 50 עד 60'!D32+'מסלול לבני 60 ומעלה'!D32</f>
        <v>0</v>
      </c>
    </row>
    <row r="32" spans="2:4" x14ac:dyDescent="0.2">
      <c r="B32" s="8" t="s">
        <v>23</v>
      </c>
      <c r="C32" s="12" t="s">
        <v>35</v>
      </c>
      <c r="D32" s="6">
        <f>'מסלול כללי'!D33+'מסלול שקלי טווח קצר'!D33+'מסלול אג"ח ממשלתי ישראלי'!D33+'מסלול צמוד מדד'!D33+'מסלול חו"ל'!D33+'מסלול מניות'!D33+'מסלול ביג כללי לפחות 30% מניות'!D33+'מסלול אג"ח עד 10% מניות'!D33+'מסלול לבני 50 ומטה'!D33+'מסלול לבני 50 עד 60'!D33+'מסלול לבני 60 ומעלה'!D33</f>
        <v>0</v>
      </c>
    </row>
    <row r="33" spans="2:5" x14ac:dyDescent="0.2">
      <c r="B33" s="8"/>
      <c r="C33" s="12"/>
      <c r="D33" s="7"/>
    </row>
    <row r="34" spans="2:5" x14ac:dyDescent="0.2">
      <c r="B34" s="8"/>
      <c r="C34" s="12" t="s">
        <v>4</v>
      </c>
      <c r="D34" s="20">
        <f>D30+D20+D15+D11+D7+0.2</f>
        <v>2888.6986447814224</v>
      </c>
    </row>
    <row r="35" spans="2:5" x14ac:dyDescent="0.2">
      <c r="B35" s="8"/>
      <c r="C35" s="12"/>
      <c r="D35" s="7"/>
    </row>
    <row r="36" spans="2:5" ht="15" x14ac:dyDescent="0.25">
      <c r="B36" s="8">
        <v>7</v>
      </c>
      <c r="C36" s="11" t="s">
        <v>36</v>
      </c>
      <c r="D36" s="7"/>
    </row>
    <row r="37" spans="2:5" ht="25.5" x14ac:dyDescent="0.2">
      <c r="B37" s="8" t="s">
        <v>21</v>
      </c>
      <c r="C37" s="28" t="s">
        <v>37</v>
      </c>
      <c r="D37" s="29">
        <v>9.7521737496216994E-4</v>
      </c>
    </row>
    <row r="38" spans="2:5" x14ac:dyDescent="0.2">
      <c r="B38" s="8" t="s">
        <v>23</v>
      </c>
      <c r="C38" s="12" t="s">
        <v>38</v>
      </c>
      <c r="D38" s="29">
        <v>1.5080217617991012E-3</v>
      </c>
    </row>
    <row r="39" spans="2:5" x14ac:dyDescent="0.2">
      <c r="B39" s="8"/>
      <c r="C39" s="12"/>
      <c r="D39" s="7"/>
    </row>
    <row r="40" spans="2:5" ht="15" thickBot="1" x14ac:dyDescent="0.25">
      <c r="B40" s="19"/>
      <c r="C40" s="15" t="s">
        <v>39</v>
      </c>
      <c r="D40" s="6">
        <f>'מסלול כללי'!D41+'מסלול שקלי טווח קצר'!D41+'מסלול אג"ח ממשלתי ישראלי'!D41+'מסלול צמוד מדד'!D41+'מסלול חו"ל'!D41+'מסלול מניות'!D41+'מסלול ביג כללי לפחות 30% מניות'!D41+'מסלול אג"ח עד 10% מניות'!D41+'מסלול לבני 50 ומטה'!D41+'מסלול לבני 50 עד 60'!D41+'מסלול לבני 60 ומעלה'!D41</f>
        <v>1892007.8635123614</v>
      </c>
    </row>
    <row r="42" spans="2:5" x14ac:dyDescent="0.2">
      <c r="C42" s="24"/>
    </row>
    <row r="43" spans="2:5" ht="15" x14ac:dyDescent="0.25">
      <c r="D43" s="22"/>
      <c r="E43" s="22"/>
    </row>
    <row r="44" spans="2:5" ht="15" x14ac:dyDescent="0.25">
      <c r="D44" s="22"/>
      <c r="E44" s="22"/>
    </row>
    <row r="45" spans="2:5" x14ac:dyDescent="0.2">
      <c r="D45" s="2"/>
      <c r="E45" s="21"/>
    </row>
    <row r="46" spans="2:5" ht="15" x14ac:dyDescent="0.25">
      <c r="D46" s="22"/>
    </row>
  </sheetData>
  <sheetProtection sheet="1" objects="1" scenarios="1"/>
  <mergeCells count="4">
    <mergeCell ref="B5:B6"/>
    <mergeCell ref="C5:C6"/>
    <mergeCell ref="D5:D6"/>
    <mergeCell ref="B4:C4"/>
  </mergeCells>
  <pageMargins left="0.70866141732283461" right="0.70866141732283461" top="0.3543307086614173" bottom="0.3543307086614173" header="0" footer="0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rightToLeft="1" topLeftCell="A16" workbookViewId="0">
      <selection activeCell="H33" sqref="H33"/>
    </sheetView>
  </sheetViews>
  <sheetFormatPr defaultRowHeight="14.25" x14ac:dyDescent="0.2"/>
  <cols>
    <col min="1" max="1" width="2.5" customWidth="1"/>
    <col min="2" max="2" width="4.5" customWidth="1"/>
    <col min="3" max="3" width="8.75" customWidth="1"/>
    <col min="4" max="4" width="34.375" bestFit="1" customWidth="1"/>
    <col min="5" max="5" width="11" customWidth="1"/>
  </cols>
  <sheetData>
    <row r="1" spans="2:8" ht="15" x14ac:dyDescent="0.25">
      <c r="B1" s="27" t="s">
        <v>86</v>
      </c>
      <c r="C1" s="27"/>
    </row>
    <row r="2" spans="2:8" x14ac:dyDescent="0.2">
      <c r="B2" s="32" t="s">
        <v>88</v>
      </c>
      <c r="C2" s="31"/>
      <c r="D2" s="4"/>
      <c r="E2" t="s">
        <v>79</v>
      </c>
    </row>
    <row r="3" spans="2:8" x14ac:dyDescent="0.2">
      <c r="B3" s="32"/>
      <c r="C3" s="32"/>
      <c r="D3" s="33"/>
    </row>
    <row r="4" spans="2:8" ht="30.75" customHeight="1" thickBot="1" x14ac:dyDescent="0.3">
      <c r="B4" s="88" t="s">
        <v>102</v>
      </c>
      <c r="C4" s="88"/>
      <c r="D4" s="88"/>
    </row>
    <row r="5" spans="2:8" ht="15" customHeight="1" x14ac:dyDescent="0.2">
      <c r="B5" s="34" t="s">
        <v>40</v>
      </c>
      <c r="C5" s="68"/>
      <c r="D5" s="35"/>
      <c r="E5" s="36" t="s">
        <v>0</v>
      </c>
    </row>
    <row r="6" spans="2:8" x14ac:dyDescent="0.2">
      <c r="B6" s="46" t="s">
        <v>41</v>
      </c>
      <c r="C6" s="47"/>
      <c r="D6" s="40"/>
      <c r="E6" s="73"/>
    </row>
    <row r="7" spans="2:8" x14ac:dyDescent="0.2">
      <c r="B7" s="39"/>
      <c r="C7" s="69">
        <v>1</v>
      </c>
      <c r="D7" s="45" t="s">
        <v>80</v>
      </c>
      <c r="E7" s="41">
        <v>6.370000000000001</v>
      </c>
    </row>
    <row r="8" spans="2:8" x14ac:dyDescent="0.2">
      <c r="B8" s="39"/>
      <c r="C8" s="69">
        <v>2</v>
      </c>
      <c r="D8" s="45" t="s">
        <v>71</v>
      </c>
      <c r="E8" s="41">
        <v>0</v>
      </c>
    </row>
    <row r="9" spans="2:8" x14ac:dyDescent="0.2">
      <c r="B9" s="39"/>
      <c r="C9" s="69">
        <v>3</v>
      </c>
      <c r="D9" s="45" t="s">
        <v>71</v>
      </c>
      <c r="E9" s="41">
        <v>0</v>
      </c>
    </row>
    <row r="10" spans="2:8" x14ac:dyDescent="0.2">
      <c r="B10" s="42" t="s">
        <v>42</v>
      </c>
      <c r="C10" s="70"/>
      <c r="D10" s="40"/>
      <c r="E10" s="38"/>
    </row>
    <row r="11" spans="2:8" x14ac:dyDescent="0.2">
      <c r="B11" s="44"/>
      <c r="C11" s="71">
        <v>1</v>
      </c>
      <c r="D11" s="45" t="s">
        <v>8</v>
      </c>
      <c r="E11" s="41">
        <f>106914.65/1000</f>
        <v>106.91464999999999</v>
      </c>
    </row>
    <row r="12" spans="2:8" x14ac:dyDescent="0.2">
      <c r="B12" s="44"/>
      <c r="C12" s="69">
        <v>2</v>
      </c>
      <c r="D12" s="45" t="s">
        <v>13</v>
      </c>
      <c r="E12" s="41">
        <f>92509.91/1000</f>
        <v>92.509910000000005</v>
      </c>
    </row>
    <row r="13" spans="2:8" x14ac:dyDescent="0.2">
      <c r="B13" s="44"/>
      <c r="C13" s="71">
        <v>3</v>
      </c>
      <c r="D13" s="45" t="s">
        <v>103</v>
      </c>
      <c r="E13" s="41">
        <f>44040.27/1000</f>
        <v>44.04027</v>
      </c>
    </row>
    <row r="14" spans="2:8" x14ac:dyDescent="0.2">
      <c r="B14" s="44"/>
      <c r="C14" s="69">
        <v>4</v>
      </c>
      <c r="D14" s="45" t="s">
        <v>104</v>
      </c>
      <c r="E14" s="41">
        <f>43283.04/1000</f>
        <v>43.28304</v>
      </c>
      <c r="H14" s="21"/>
    </row>
    <row r="15" spans="2:8" x14ac:dyDescent="0.2">
      <c r="B15" s="44"/>
      <c r="C15" s="71">
        <v>5</v>
      </c>
      <c r="D15" s="45" t="s">
        <v>105</v>
      </c>
      <c r="E15" s="41">
        <f>40681.73/1000</f>
        <v>40.681730000000002</v>
      </c>
    </row>
    <row r="16" spans="2:8" x14ac:dyDescent="0.2">
      <c r="B16" s="44"/>
      <c r="C16" s="69">
        <v>6</v>
      </c>
      <c r="D16" s="45" t="s">
        <v>106</v>
      </c>
      <c r="E16" s="41">
        <f>39653.05/1000</f>
        <v>39.65305</v>
      </c>
    </row>
    <row r="17" spans="2:6" x14ac:dyDescent="0.2">
      <c r="B17" s="44"/>
      <c r="C17" s="71">
        <v>7</v>
      </c>
      <c r="D17" s="45" t="s">
        <v>107</v>
      </c>
      <c r="E17" s="41">
        <f>39564.9/1000</f>
        <v>39.564900000000002</v>
      </c>
    </row>
    <row r="18" spans="2:6" x14ac:dyDescent="0.2">
      <c r="B18" s="44"/>
      <c r="C18" s="71">
        <v>8</v>
      </c>
      <c r="D18" s="45" t="s">
        <v>108</v>
      </c>
      <c r="E18" s="41">
        <f>39222.9100000001/1000</f>
        <v>39.222910000000098</v>
      </c>
    </row>
    <row r="19" spans="2:6" x14ac:dyDescent="0.2">
      <c r="B19" s="44"/>
      <c r="C19" s="69">
        <v>9</v>
      </c>
      <c r="D19" s="45" t="s">
        <v>109</v>
      </c>
      <c r="E19" s="41">
        <f>37057.51/1000</f>
        <v>37.057510000000001</v>
      </c>
    </row>
    <row r="20" spans="2:6" x14ac:dyDescent="0.2">
      <c r="B20" s="44"/>
      <c r="C20" s="71">
        <v>10</v>
      </c>
      <c r="D20" s="45" t="s">
        <v>110</v>
      </c>
      <c r="E20" s="41">
        <f>34237.83/1000</f>
        <v>34.237830000000002</v>
      </c>
    </row>
    <row r="21" spans="2:6" x14ac:dyDescent="0.2">
      <c r="B21" s="44"/>
      <c r="C21" s="69">
        <v>11</v>
      </c>
      <c r="D21" s="45" t="s">
        <v>43</v>
      </c>
      <c r="E21" s="41">
        <f>667.61-E11-E12-E13-E14-E15-E16-E17-E18-E19-E20</f>
        <v>150.44419999999982</v>
      </c>
    </row>
    <row r="22" spans="2:6" x14ac:dyDescent="0.2">
      <c r="B22" s="46" t="s">
        <v>44</v>
      </c>
      <c r="C22" s="70"/>
      <c r="D22" s="43"/>
      <c r="E22" s="72">
        <f>SUM(E7:E21)</f>
        <v>673.9799999999999</v>
      </c>
    </row>
    <row r="23" spans="2:6" x14ac:dyDescent="0.2">
      <c r="B23" s="46"/>
      <c r="C23" s="47"/>
      <c r="D23" s="47"/>
      <c r="E23" s="38"/>
    </row>
    <row r="24" spans="2:6" x14ac:dyDescent="0.2">
      <c r="B24" s="46" t="s">
        <v>45</v>
      </c>
      <c r="C24" s="47"/>
      <c r="D24" s="40"/>
      <c r="E24" s="73"/>
    </row>
    <row r="25" spans="2:6" x14ac:dyDescent="0.2">
      <c r="B25" s="46" t="s">
        <v>41</v>
      </c>
      <c r="C25" s="47"/>
      <c r="D25" s="40"/>
      <c r="E25" s="73"/>
    </row>
    <row r="26" spans="2:6" x14ac:dyDescent="0.2">
      <c r="B26" s="59"/>
      <c r="C26" s="45">
        <v>1</v>
      </c>
      <c r="D26" s="45" t="s">
        <v>71</v>
      </c>
      <c r="E26" s="41">
        <v>0</v>
      </c>
    </row>
    <row r="27" spans="2:6" x14ac:dyDescent="0.2">
      <c r="B27" s="59"/>
      <c r="C27" s="45">
        <v>2</v>
      </c>
      <c r="D27" s="45" t="s">
        <v>71</v>
      </c>
      <c r="E27" s="41">
        <v>0</v>
      </c>
    </row>
    <row r="28" spans="2:6" x14ac:dyDescent="0.2">
      <c r="B28" s="59"/>
      <c r="C28" s="45">
        <v>3</v>
      </c>
      <c r="D28" s="45" t="s">
        <v>71</v>
      </c>
      <c r="E28" s="41">
        <v>0</v>
      </c>
    </row>
    <row r="29" spans="2:6" x14ac:dyDescent="0.2">
      <c r="B29" s="46" t="s">
        <v>42</v>
      </c>
      <c r="C29" s="47"/>
      <c r="D29" s="40"/>
      <c r="E29" s="38"/>
    </row>
    <row r="30" spans="2:6" x14ac:dyDescent="0.2">
      <c r="B30" s="59"/>
      <c r="C30" s="45">
        <v>1</v>
      </c>
      <c r="D30" s="45" t="s">
        <v>10</v>
      </c>
      <c r="E30" s="41">
        <f>142.78174+27.00024-1</f>
        <v>168.78198</v>
      </c>
      <c r="F30" s="23"/>
    </row>
    <row r="31" spans="2:6" x14ac:dyDescent="0.2">
      <c r="B31" s="59"/>
      <c r="C31" s="45">
        <v>2</v>
      </c>
      <c r="D31" s="45" t="s">
        <v>72</v>
      </c>
      <c r="E31" s="41">
        <v>110.64677</v>
      </c>
    </row>
    <row r="32" spans="2:6" x14ac:dyDescent="0.2">
      <c r="B32" s="59"/>
      <c r="C32" s="45">
        <v>3</v>
      </c>
      <c r="D32" s="45" t="s">
        <v>8</v>
      </c>
      <c r="E32" s="41">
        <v>62.845717741752118</v>
      </c>
    </row>
    <row r="33" spans="2:5" x14ac:dyDescent="0.2">
      <c r="B33" s="59"/>
      <c r="C33" s="45">
        <v>4</v>
      </c>
      <c r="D33" s="45" t="s">
        <v>76</v>
      </c>
      <c r="E33" s="41">
        <f>1.57908-0.2</f>
        <v>1.3790800000000001</v>
      </c>
    </row>
    <row r="34" spans="2:5" x14ac:dyDescent="0.2">
      <c r="B34" s="59"/>
      <c r="C34" s="45">
        <v>5</v>
      </c>
      <c r="D34" s="45" t="s">
        <v>43</v>
      </c>
      <c r="E34" s="41"/>
    </row>
    <row r="35" spans="2:5" x14ac:dyDescent="0.2">
      <c r="B35" s="59"/>
      <c r="C35" s="45">
        <v>6</v>
      </c>
      <c r="D35" s="45" t="s">
        <v>71</v>
      </c>
      <c r="E35" s="41">
        <v>0</v>
      </c>
    </row>
    <row r="36" spans="2:5" x14ac:dyDescent="0.2">
      <c r="B36" s="59"/>
      <c r="C36" s="45">
        <v>7</v>
      </c>
      <c r="D36" s="45" t="s">
        <v>71</v>
      </c>
      <c r="E36" s="41">
        <v>0</v>
      </c>
    </row>
    <row r="37" spans="2:5" x14ac:dyDescent="0.2">
      <c r="B37" s="59"/>
      <c r="C37" s="45">
        <v>8</v>
      </c>
      <c r="D37" s="45" t="s">
        <v>71</v>
      </c>
      <c r="E37" s="41">
        <v>0</v>
      </c>
    </row>
    <row r="38" spans="2:5" x14ac:dyDescent="0.2">
      <c r="B38" s="46" t="s">
        <v>46</v>
      </c>
      <c r="C38" s="70"/>
      <c r="D38" s="43"/>
      <c r="E38" s="72">
        <f>SUM(E26:E37)</f>
        <v>343.65354774175216</v>
      </c>
    </row>
    <row r="39" spans="2:5" x14ac:dyDescent="0.2">
      <c r="B39" s="46"/>
      <c r="C39" s="47"/>
      <c r="D39" s="47"/>
      <c r="E39" s="38"/>
    </row>
    <row r="40" spans="2:5" x14ac:dyDescent="0.2">
      <c r="B40" s="46" t="s">
        <v>47</v>
      </c>
      <c r="C40" s="70"/>
      <c r="D40" s="43"/>
      <c r="E40" s="38"/>
    </row>
    <row r="41" spans="2:5" x14ac:dyDescent="0.2">
      <c r="B41" s="44"/>
      <c r="C41" s="71">
        <v>1</v>
      </c>
      <c r="D41" s="48" t="s">
        <v>73</v>
      </c>
      <c r="E41" s="41">
        <v>15.435140000000001</v>
      </c>
    </row>
    <row r="42" spans="2:5" x14ac:dyDescent="0.2">
      <c r="B42" s="44"/>
      <c r="C42" s="71">
        <v>2</v>
      </c>
      <c r="D42" s="48" t="s">
        <v>74</v>
      </c>
      <c r="E42" s="41">
        <v>4.5959500000000002</v>
      </c>
    </row>
    <row r="43" spans="2:5" x14ac:dyDescent="0.2">
      <c r="B43" s="44"/>
      <c r="C43" s="71">
        <v>3</v>
      </c>
      <c r="D43" s="48" t="s">
        <v>77</v>
      </c>
      <c r="E43" s="41">
        <v>4.1636499999999996</v>
      </c>
    </row>
    <row r="44" spans="2:5" x14ac:dyDescent="0.2">
      <c r="B44" s="44"/>
      <c r="C44" s="71">
        <v>4</v>
      </c>
      <c r="D44" s="48" t="s">
        <v>81</v>
      </c>
      <c r="E44" s="41">
        <v>2.4125899999999998</v>
      </c>
    </row>
    <row r="45" spans="2:5" x14ac:dyDescent="0.2">
      <c r="B45" s="44"/>
      <c r="C45" s="71">
        <v>5</v>
      </c>
      <c r="D45" s="48" t="s">
        <v>82</v>
      </c>
      <c r="E45" s="41">
        <f>1.36709-0.3</f>
        <v>1.0670899999999999</v>
      </c>
    </row>
    <row r="46" spans="2:5" x14ac:dyDescent="0.2">
      <c r="B46" s="44"/>
      <c r="C46" s="71">
        <v>6</v>
      </c>
      <c r="D46" s="48" t="s">
        <v>78</v>
      </c>
      <c r="E46" s="41">
        <f>2.68442</f>
        <v>2.6844199999999998</v>
      </c>
    </row>
    <row r="47" spans="2:5" x14ac:dyDescent="0.2">
      <c r="B47" s="44"/>
      <c r="C47" s="71">
        <v>7</v>
      </c>
      <c r="D47" s="48" t="s">
        <v>71</v>
      </c>
      <c r="E47" s="41">
        <v>0</v>
      </c>
    </row>
    <row r="48" spans="2:5" x14ac:dyDescent="0.2">
      <c r="B48" s="44"/>
      <c r="C48" s="69">
        <v>8</v>
      </c>
      <c r="D48" s="48" t="s">
        <v>71</v>
      </c>
      <c r="E48" s="41">
        <v>0</v>
      </c>
    </row>
    <row r="49" spans="2:5" x14ac:dyDescent="0.2">
      <c r="B49" s="46" t="s">
        <v>48</v>
      </c>
      <c r="C49" s="70"/>
      <c r="D49" s="43"/>
      <c r="E49" s="72">
        <f>SUM(E41:E48)</f>
        <v>30.358839999999997</v>
      </c>
    </row>
    <row r="50" spans="2:5" x14ac:dyDescent="0.2">
      <c r="B50" s="46"/>
      <c r="C50" s="47"/>
      <c r="D50" s="47"/>
      <c r="E50" s="38"/>
    </row>
    <row r="51" spans="2:5" x14ac:dyDescent="0.2">
      <c r="B51" s="46" t="s">
        <v>49</v>
      </c>
      <c r="C51" s="70"/>
      <c r="D51" s="43"/>
      <c r="E51" s="38"/>
    </row>
    <row r="52" spans="2:5" x14ac:dyDescent="0.2">
      <c r="B52" s="44"/>
      <c r="C52" s="71">
        <v>1</v>
      </c>
      <c r="D52" s="48" t="s">
        <v>85</v>
      </c>
      <c r="E52" s="41">
        <v>2.8584766436983111</v>
      </c>
    </row>
    <row r="53" spans="2:5" x14ac:dyDescent="0.2">
      <c r="B53" s="44"/>
      <c r="C53" s="71">
        <v>2</v>
      </c>
      <c r="D53" s="48" t="s">
        <v>71</v>
      </c>
      <c r="E53" s="41">
        <v>0</v>
      </c>
    </row>
    <row r="54" spans="2:5" x14ac:dyDescent="0.2">
      <c r="B54" s="44"/>
      <c r="C54" s="71">
        <v>3</v>
      </c>
      <c r="D54" s="48" t="s">
        <v>71</v>
      </c>
      <c r="E54" s="41">
        <v>0</v>
      </c>
    </row>
    <row r="55" spans="2:5" x14ac:dyDescent="0.2">
      <c r="B55" s="44"/>
      <c r="C55" s="71">
        <v>4</v>
      </c>
      <c r="D55" s="48" t="s">
        <v>71</v>
      </c>
      <c r="E55" s="41">
        <v>0</v>
      </c>
    </row>
    <row r="56" spans="2:5" x14ac:dyDescent="0.2">
      <c r="B56" s="44"/>
      <c r="C56" s="71">
        <v>5</v>
      </c>
      <c r="D56" s="48" t="s">
        <v>71</v>
      </c>
      <c r="E56" s="41">
        <v>0</v>
      </c>
    </row>
    <row r="57" spans="2:5" x14ac:dyDescent="0.2">
      <c r="B57" s="44"/>
      <c r="C57" s="71">
        <v>6</v>
      </c>
      <c r="D57" s="48" t="s">
        <v>71</v>
      </c>
      <c r="E57" s="41">
        <v>0</v>
      </c>
    </row>
    <row r="58" spans="2:5" x14ac:dyDescent="0.2">
      <c r="B58" s="46" t="s">
        <v>3</v>
      </c>
      <c r="C58" s="47"/>
      <c r="D58" s="47"/>
      <c r="E58" s="72">
        <f>SUM(E52:E57)</f>
        <v>2.8584766436983111</v>
      </c>
    </row>
    <row r="59" spans="2:5" x14ac:dyDescent="0.2">
      <c r="B59" s="46"/>
      <c r="C59" s="47"/>
      <c r="D59" s="47"/>
      <c r="E59" s="38"/>
    </row>
    <row r="60" spans="2:5" x14ac:dyDescent="0.2">
      <c r="B60" s="46" t="s">
        <v>50</v>
      </c>
      <c r="C60" s="47"/>
      <c r="D60" s="47"/>
      <c r="E60" s="38"/>
    </row>
    <row r="61" spans="2:5" x14ac:dyDescent="0.2">
      <c r="B61" s="44"/>
      <c r="C61" s="71">
        <v>1</v>
      </c>
      <c r="D61" s="48" t="s">
        <v>43</v>
      </c>
      <c r="E61" s="41"/>
    </row>
    <row r="62" spans="2:5" x14ac:dyDescent="0.2">
      <c r="B62" s="44"/>
      <c r="C62" s="71"/>
      <c r="D62" s="47" t="s">
        <v>51</v>
      </c>
      <c r="E62" s="72"/>
    </row>
    <row r="63" spans="2:5" x14ac:dyDescent="0.2">
      <c r="B63" s="46"/>
      <c r="C63" s="47"/>
      <c r="D63" s="48"/>
      <c r="E63" s="38"/>
    </row>
    <row r="64" spans="2:5" x14ac:dyDescent="0.2">
      <c r="B64" s="46" t="s">
        <v>52</v>
      </c>
      <c r="C64" s="47"/>
      <c r="D64" s="47"/>
      <c r="E64" s="38"/>
    </row>
    <row r="65" spans="2:5" x14ac:dyDescent="0.2">
      <c r="B65" s="44"/>
      <c r="C65" s="71">
        <v>1</v>
      </c>
      <c r="D65" s="48" t="s">
        <v>53</v>
      </c>
      <c r="E65" s="41"/>
    </row>
    <row r="66" spans="2:5" x14ac:dyDescent="0.2">
      <c r="B66" s="44"/>
      <c r="C66" s="71"/>
      <c r="D66" s="47" t="s">
        <v>35</v>
      </c>
      <c r="E66" s="72"/>
    </row>
    <row r="67" spans="2:5" x14ac:dyDescent="0.2">
      <c r="B67" s="44"/>
      <c r="C67" s="71"/>
      <c r="D67" s="47"/>
      <c r="E67" s="38"/>
    </row>
    <row r="68" spans="2:5" x14ac:dyDescent="0.2">
      <c r="B68" s="46"/>
      <c r="C68" s="47"/>
      <c r="D68" s="47" t="s">
        <v>54</v>
      </c>
      <c r="E68" s="72">
        <f>E58+E49+E38+E22</f>
        <v>1050.8508643854504</v>
      </c>
    </row>
    <row r="69" spans="2:5" x14ac:dyDescent="0.2">
      <c r="B69" s="46"/>
      <c r="C69" s="47"/>
      <c r="D69" s="47"/>
      <c r="E69" s="38"/>
    </row>
    <row r="70" spans="2:5" ht="15.75" thickBot="1" x14ac:dyDescent="0.3">
      <c r="B70" s="49"/>
      <c r="C70" s="50"/>
      <c r="D70" s="50" t="s">
        <v>70</v>
      </c>
      <c r="E70" s="74">
        <v>1899301.7125723611</v>
      </c>
    </row>
  </sheetData>
  <sheetProtection sheet="1" objects="1" scenarios="1"/>
  <mergeCells count="1">
    <mergeCell ref="B4:D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5"/>
  <sheetViews>
    <sheetView rightToLeft="1" workbookViewId="0">
      <selection activeCell="G27" sqref="G27"/>
    </sheetView>
  </sheetViews>
  <sheetFormatPr defaultRowHeight="14.25" x14ac:dyDescent="0.2"/>
  <cols>
    <col min="1" max="1" width="2.625" customWidth="1"/>
    <col min="2" max="2" width="4.5" customWidth="1"/>
    <col min="3" max="3" width="50" customWidth="1"/>
    <col min="4" max="4" width="9.875" bestFit="1" customWidth="1"/>
  </cols>
  <sheetData>
    <row r="1" spans="2:4" ht="15" x14ac:dyDescent="0.25">
      <c r="B1" s="27" t="s">
        <v>86</v>
      </c>
      <c r="C1" s="27"/>
    </row>
    <row r="2" spans="2:4" x14ac:dyDescent="0.2">
      <c r="B2" s="32" t="s">
        <v>89</v>
      </c>
      <c r="C2" s="31"/>
      <c r="D2" s="4" t="s">
        <v>79</v>
      </c>
    </row>
    <row r="3" spans="2:4" x14ac:dyDescent="0.2">
      <c r="B3" s="31"/>
      <c r="C3" s="31"/>
      <c r="D3" s="31"/>
    </row>
    <row r="4" spans="2:4" ht="30.75" customHeight="1" thickBot="1" x14ac:dyDescent="0.3">
      <c r="B4" s="88" t="s">
        <v>102</v>
      </c>
      <c r="C4" s="88"/>
      <c r="D4" s="81"/>
    </row>
    <row r="5" spans="2:4" x14ac:dyDescent="0.2">
      <c r="B5" s="51"/>
      <c r="C5" s="75"/>
      <c r="D5" s="52" t="s">
        <v>0</v>
      </c>
    </row>
    <row r="6" spans="2:4" x14ac:dyDescent="0.2">
      <c r="B6" s="46" t="s">
        <v>55</v>
      </c>
      <c r="C6" s="40"/>
      <c r="D6" s="53"/>
    </row>
    <row r="7" spans="2:4" x14ac:dyDescent="0.2">
      <c r="B7" s="44">
        <v>1</v>
      </c>
      <c r="C7" s="54" t="s">
        <v>84</v>
      </c>
      <c r="D7" s="55">
        <v>92.306415149999992</v>
      </c>
    </row>
    <row r="8" spans="2:4" x14ac:dyDescent="0.2">
      <c r="B8" s="44">
        <v>2</v>
      </c>
      <c r="C8" s="54" t="s">
        <v>78</v>
      </c>
      <c r="D8" s="55">
        <f>492.622044484444+0.3</f>
        <v>492.92204448444403</v>
      </c>
    </row>
    <row r="9" spans="2:4" x14ac:dyDescent="0.2">
      <c r="B9" s="44">
        <v>3</v>
      </c>
      <c r="C9" s="54" t="s">
        <v>71</v>
      </c>
      <c r="D9" s="55">
        <v>0</v>
      </c>
    </row>
    <row r="10" spans="2:4" x14ac:dyDescent="0.2">
      <c r="B10" s="44">
        <v>4</v>
      </c>
      <c r="C10" s="54" t="s">
        <v>71</v>
      </c>
      <c r="D10" s="55">
        <v>0</v>
      </c>
    </row>
    <row r="11" spans="2:4" x14ac:dyDescent="0.2">
      <c r="B11" s="44">
        <v>5</v>
      </c>
      <c r="C11" s="54" t="s">
        <v>71</v>
      </c>
      <c r="D11" s="55">
        <v>0</v>
      </c>
    </row>
    <row r="12" spans="2:4" x14ac:dyDescent="0.2">
      <c r="B12" s="44">
        <v>6</v>
      </c>
      <c r="C12" s="54" t="s">
        <v>71</v>
      </c>
      <c r="D12" s="55">
        <v>0</v>
      </c>
    </row>
    <row r="13" spans="2:4" x14ac:dyDescent="0.2">
      <c r="B13" s="44">
        <v>7</v>
      </c>
      <c r="C13" s="54" t="s">
        <v>71</v>
      </c>
      <c r="D13" s="55">
        <v>0</v>
      </c>
    </row>
    <row r="14" spans="2:4" x14ac:dyDescent="0.2">
      <c r="B14" s="44">
        <v>8</v>
      </c>
      <c r="C14" s="54" t="s">
        <v>71</v>
      </c>
      <c r="D14" s="55">
        <v>0</v>
      </c>
    </row>
    <row r="15" spans="2:4" x14ac:dyDescent="0.2">
      <c r="B15" s="37" t="s">
        <v>56</v>
      </c>
      <c r="C15" s="54"/>
      <c r="D15" s="76">
        <f>SUM(D7:D14)</f>
        <v>585.22845963444399</v>
      </c>
    </row>
    <row r="16" spans="2:4" x14ac:dyDescent="0.2">
      <c r="B16" s="56"/>
      <c r="C16" s="57"/>
      <c r="D16" s="58"/>
    </row>
    <row r="17" spans="2:4" x14ac:dyDescent="0.2">
      <c r="B17" s="37" t="s">
        <v>57</v>
      </c>
      <c r="C17" s="54"/>
      <c r="D17" s="58"/>
    </row>
    <row r="18" spans="2:4" x14ac:dyDescent="0.2">
      <c r="B18" s="44">
        <v>1</v>
      </c>
      <c r="C18" s="54" t="s">
        <v>43</v>
      </c>
      <c r="D18" s="55"/>
    </row>
    <row r="19" spans="2:4" x14ac:dyDescent="0.2">
      <c r="B19" s="46" t="s">
        <v>58</v>
      </c>
      <c r="C19" s="40"/>
      <c r="D19" s="76"/>
    </row>
    <row r="20" spans="2:4" x14ac:dyDescent="0.2">
      <c r="B20" s="59"/>
      <c r="C20" s="60"/>
      <c r="D20" s="58"/>
    </row>
    <row r="21" spans="2:4" x14ac:dyDescent="0.2">
      <c r="B21" s="42" t="s">
        <v>59</v>
      </c>
      <c r="C21" s="61"/>
      <c r="D21" s="58"/>
    </row>
    <row r="22" spans="2:4" x14ac:dyDescent="0.2">
      <c r="B22" s="44">
        <v>1</v>
      </c>
      <c r="C22" s="54" t="s">
        <v>43</v>
      </c>
      <c r="D22" s="55"/>
    </row>
    <row r="23" spans="2:4" x14ac:dyDescent="0.2">
      <c r="B23" s="37" t="s">
        <v>14</v>
      </c>
      <c r="C23" s="54"/>
      <c r="D23" s="76"/>
    </row>
    <row r="24" spans="2:4" x14ac:dyDescent="0.2">
      <c r="B24" s="56"/>
      <c r="C24" s="54"/>
      <c r="D24" s="58"/>
    </row>
    <row r="25" spans="2:4" x14ac:dyDescent="0.2">
      <c r="B25" s="37" t="s">
        <v>60</v>
      </c>
      <c r="C25" s="54"/>
      <c r="D25" s="58"/>
    </row>
    <row r="26" spans="2:4" x14ac:dyDescent="0.2">
      <c r="B26" s="37" t="s">
        <v>61</v>
      </c>
      <c r="C26" s="57" t="s">
        <v>62</v>
      </c>
      <c r="D26" s="58"/>
    </row>
    <row r="27" spans="2:4" x14ac:dyDescent="0.2">
      <c r="B27" s="44">
        <v>1</v>
      </c>
      <c r="C27" s="54"/>
      <c r="D27" s="55"/>
    </row>
    <row r="28" spans="2:4" x14ac:dyDescent="0.2">
      <c r="B28" s="44">
        <v>2</v>
      </c>
      <c r="C28" s="54"/>
      <c r="D28" s="55"/>
    </row>
    <row r="29" spans="2:4" x14ac:dyDescent="0.2">
      <c r="B29" s="46" t="s">
        <v>63</v>
      </c>
      <c r="C29" s="63" t="s">
        <v>64</v>
      </c>
      <c r="D29" s="58"/>
    </row>
    <row r="30" spans="2:4" x14ac:dyDescent="0.2">
      <c r="B30" s="62">
        <v>1</v>
      </c>
      <c r="C30" s="61" t="s">
        <v>83</v>
      </c>
      <c r="D30" s="55">
        <v>101.28614999999999</v>
      </c>
    </row>
    <row r="31" spans="2:4" x14ac:dyDescent="0.2">
      <c r="B31" s="62">
        <v>2</v>
      </c>
      <c r="C31" s="61" t="s">
        <v>11</v>
      </c>
      <c r="D31" s="55">
        <v>100.98963999999999</v>
      </c>
    </row>
    <row r="32" spans="2:4" x14ac:dyDescent="0.2">
      <c r="B32" s="62">
        <v>3</v>
      </c>
      <c r="C32" s="61" t="s">
        <v>12</v>
      </c>
      <c r="D32" s="55">
        <v>99.883370883749407</v>
      </c>
    </row>
    <row r="33" spans="2:4" x14ac:dyDescent="0.2">
      <c r="B33" s="62">
        <v>4</v>
      </c>
      <c r="C33" s="61" t="s">
        <v>78</v>
      </c>
      <c r="D33" s="55">
        <f>592.489859877779+0.1</f>
        <v>592.58985987777908</v>
      </c>
    </row>
    <row r="34" spans="2:4" x14ac:dyDescent="0.2">
      <c r="B34" s="62">
        <v>5</v>
      </c>
      <c r="C34" s="61" t="s">
        <v>71</v>
      </c>
      <c r="D34" s="55">
        <v>0</v>
      </c>
    </row>
    <row r="35" spans="2:4" x14ac:dyDescent="0.2">
      <c r="B35" s="62">
        <v>6</v>
      </c>
      <c r="C35" s="61" t="s">
        <v>71</v>
      </c>
      <c r="D35" s="55">
        <v>0</v>
      </c>
    </row>
    <row r="36" spans="2:4" x14ac:dyDescent="0.2">
      <c r="B36" s="42" t="s">
        <v>75</v>
      </c>
      <c r="C36" s="60"/>
      <c r="D36" s="76">
        <f>SUM(D27:D35)</f>
        <v>894.74902076152853</v>
      </c>
    </row>
    <row r="37" spans="2:4" x14ac:dyDescent="0.2">
      <c r="B37" s="42"/>
      <c r="C37" s="61"/>
      <c r="D37" s="58"/>
    </row>
    <row r="38" spans="2:4" x14ac:dyDescent="0.2">
      <c r="B38" s="37" t="s">
        <v>65</v>
      </c>
      <c r="C38" s="54"/>
      <c r="D38" s="58"/>
    </row>
    <row r="39" spans="2:4" x14ac:dyDescent="0.2">
      <c r="B39" s="37" t="s">
        <v>61</v>
      </c>
      <c r="C39" s="57" t="s">
        <v>66</v>
      </c>
      <c r="D39" s="58"/>
    </row>
    <row r="40" spans="2:4" x14ac:dyDescent="0.2">
      <c r="B40" s="44">
        <v>1</v>
      </c>
      <c r="C40" s="40" t="s">
        <v>43</v>
      </c>
      <c r="D40" s="55">
        <v>1.26675</v>
      </c>
    </row>
    <row r="41" spans="2:4" x14ac:dyDescent="0.2">
      <c r="B41" s="44">
        <v>2</v>
      </c>
      <c r="C41" s="40" t="s">
        <v>71</v>
      </c>
      <c r="D41" s="55">
        <v>0</v>
      </c>
    </row>
    <row r="42" spans="2:4" x14ac:dyDescent="0.2">
      <c r="B42" s="44">
        <v>3</v>
      </c>
      <c r="C42" s="40" t="s">
        <v>71</v>
      </c>
      <c r="D42" s="55">
        <v>0</v>
      </c>
    </row>
    <row r="43" spans="2:4" x14ac:dyDescent="0.2">
      <c r="B43" s="44">
        <v>4</v>
      </c>
      <c r="C43" s="40" t="s">
        <v>71</v>
      </c>
      <c r="D43" s="55">
        <v>0</v>
      </c>
    </row>
    <row r="44" spans="2:4" x14ac:dyDescent="0.2">
      <c r="B44" s="44">
        <v>5</v>
      </c>
      <c r="C44" s="40" t="s">
        <v>71</v>
      </c>
      <c r="D44" s="55">
        <v>0</v>
      </c>
    </row>
    <row r="45" spans="2:4" x14ac:dyDescent="0.2">
      <c r="B45" s="44">
        <v>6</v>
      </c>
      <c r="C45" s="40" t="s">
        <v>71</v>
      </c>
      <c r="D45" s="55">
        <v>0</v>
      </c>
    </row>
    <row r="46" spans="2:4" x14ac:dyDescent="0.2">
      <c r="B46" s="44">
        <v>7</v>
      </c>
      <c r="C46" s="40" t="s">
        <v>71</v>
      </c>
      <c r="D46" s="55">
        <v>0</v>
      </c>
    </row>
    <row r="47" spans="2:4" x14ac:dyDescent="0.2">
      <c r="B47" s="44">
        <v>8</v>
      </c>
      <c r="C47" s="40" t="s">
        <v>71</v>
      </c>
      <c r="D47" s="55">
        <v>0</v>
      </c>
    </row>
    <row r="48" spans="2:4" x14ac:dyDescent="0.2">
      <c r="B48" s="46" t="s">
        <v>63</v>
      </c>
      <c r="C48" s="57" t="s">
        <v>67</v>
      </c>
      <c r="D48" s="58"/>
    </row>
    <row r="49" spans="2:4" x14ac:dyDescent="0.2">
      <c r="B49" s="62">
        <v>1</v>
      </c>
      <c r="C49" s="40" t="s">
        <v>15</v>
      </c>
      <c r="D49" s="55">
        <v>128.07741000000004</v>
      </c>
    </row>
    <row r="50" spans="2:4" x14ac:dyDescent="0.2">
      <c r="B50" s="62">
        <v>2</v>
      </c>
      <c r="C50" s="40" t="s">
        <v>9</v>
      </c>
      <c r="D50" s="55">
        <v>40.87747000000001</v>
      </c>
    </row>
    <row r="51" spans="2:4" x14ac:dyDescent="0.2">
      <c r="B51" s="62">
        <v>3</v>
      </c>
      <c r="C51" s="40" t="s">
        <v>16</v>
      </c>
      <c r="D51" s="55">
        <v>36.666040000000002</v>
      </c>
    </row>
    <row r="52" spans="2:4" x14ac:dyDescent="0.2">
      <c r="B52" s="62">
        <v>4</v>
      </c>
      <c r="C52" s="40" t="s">
        <v>43</v>
      </c>
      <c r="D52" s="55">
        <f>150.37254+0.3</f>
        <v>150.67254</v>
      </c>
    </row>
    <row r="53" spans="2:4" x14ac:dyDescent="0.2">
      <c r="B53" s="62">
        <v>5</v>
      </c>
      <c r="C53" s="40" t="s">
        <v>71</v>
      </c>
      <c r="D53" s="55">
        <v>0</v>
      </c>
    </row>
    <row r="54" spans="2:4" x14ac:dyDescent="0.2">
      <c r="B54" s="62">
        <v>6</v>
      </c>
      <c r="C54" s="40" t="s">
        <v>71</v>
      </c>
      <c r="D54" s="55">
        <v>0</v>
      </c>
    </row>
    <row r="55" spans="2:4" x14ac:dyDescent="0.2">
      <c r="B55" s="62">
        <v>7</v>
      </c>
      <c r="C55" s="40" t="s">
        <v>71</v>
      </c>
      <c r="D55" s="55">
        <v>0</v>
      </c>
    </row>
    <row r="56" spans="2:4" x14ac:dyDescent="0.2">
      <c r="B56" s="62">
        <v>8</v>
      </c>
      <c r="C56" s="40" t="s">
        <v>71</v>
      </c>
      <c r="D56" s="55">
        <v>0</v>
      </c>
    </row>
    <row r="57" spans="2:4" x14ac:dyDescent="0.2">
      <c r="B57" s="46" t="s">
        <v>68</v>
      </c>
      <c r="C57" s="60"/>
      <c r="D57" s="76">
        <f>SUM(D40:D56)</f>
        <v>357.5602100000001</v>
      </c>
    </row>
    <row r="58" spans="2:4" x14ac:dyDescent="0.2">
      <c r="B58" s="59"/>
      <c r="C58" s="60"/>
      <c r="D58" s="76"/>
    </row>
    <row r="59" spans="2:4" x14ac:dyDescent="0.2">
      <c r="B59" s="42" t="s">
        <v>69</v>
      </c>
      <c r="C59" s="61"/>
      <c r="D59" s="76">
        <f>D57+D36+D15</f>
        <v>1837.5376903959727</v>
      </c>
    </row>
    <row r="60" spans="2:4" x14ac:dyDescent="0.2">
      <c r="B60" s="59"/>
      <c r="C60" s="60"/>
      <c r="D60" s="58"/>
    </row>
    <row r="61" spans="2:4" ht="15.75" thickBot="1" x14ac:dyDescent="0.3">
      <c r="B61" s="64" t="s">
        <v>70</v>
      </c>
      <c r="C61" s="65"/>
      <c r="D61" s="77">
        <v>1899301.7125723611</v>
      </c>
    </row>
    <row r="63" spans="2:4" x14ac:dyDescent="0.2">
      <c r="D63" s="21"/>
    </row>
    <row r="65" spans="4:4" x14ac:dyDescent="0.2">
      <c r="D65" s="21"/>
    </row>
  </sheetData>
  <sheetProtection sheet="1" objects="1" scenarios="1"/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6">
    <pageSetUpPr fitToPage="1"/>
  </sheetPr>
  <dimension ref="B1:E47"/>
  <sheetViews>
    <sheetView rightToLeft="1" topLeftCell="A19" zoomScaleNormal="100" workbookViewId="0">
      <selection activeCell="E39" sqref="E39"/>
    </sheetView>
  </sheetViews>
  <sheetFormatPr defaultRowHeight="14.25" x14ac:dyDescent="0.2"/>
  <cols>
    <col min="1" max="1" width="2.375" customWidth="1"/>
    <col min="2" max="2" width="1.875" bestFit="1" customWidth="1"/>
    <col min="3" max="3" width="55.875" bestFit="1" customWidth="1"/>
    <col min="4" max="4" width="10.875" bestFit="1" customWidth="1"/>
    <col min="6" max="6" width="11.125" customWidth="1"/>
    <col min="7" max="7" width="10.75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92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56.1</v>
      </c>
    </row>
    <row r="9" spans="2:4" x14ac:dyDescent="0.2">
      <c r="B9" s="8"/>
      <c r="C9" s="12" t="s">
        <v>18</v>
      </c>
      <c r="D9" s="6">
        <v>0.3</v>
      </c>
    </row>
    <row r="10" spans="2:4" x14ac:dyDescent="0.2">
      <c r="B10" s="8"/>
      <c r="C10" s="12" t="s">
        <v>19</v>
      </c>
      <c r="D10" s="6">
        <v>55.800000000000004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36.507055120800395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29.4896551208004+16743.3/1000-10125.9/1000+0.4</f>
        <v>36.507055120800395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2.3750100000000001</v>
      </c>
    </row>
    <row r="17" spans="2:4" ht="25.5" x14ac:dyDescent="0.2">
      <c r="B17" s="8" t="s">
        <v>21</v>
      </c>
      <c r="C17" s="28" t="s">
        <v>22</v>
      </c>
      <c r="D17" s="6">
        <v>1.08128</v>
      </c>
    </row>
    <row r="18" spans="2:4" x14ac:dyDescent="0.2">
      <c r="B18" s="8" t="s">
        <v>23</v>
      </c>
      <c r="C18" s="28" t="s">
        <v>24</v>
      </c>
      <c r="D18" s="6">
        <v>1.29373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133.43888430903775</v>
      </c>
    </row>
    <row r="22" spans="2:4" x14ac:dyDescent="0.2">
      <c r="B22" s="8"/>
      <c r="C22" s="12" t="s">
        <v>27</v>
      </c>
      <c r="D22" s="6">
        <v>2.1356455884166667</v>
      </c>
    </row>
    <row r="23" spans="2:4" x14ac:dyDescent="0.2">
      <c r="B23" s="8"/>
      <c r="C23" s="12" t="s">
        <v>28</v>
      </c>
      <c r="D23" s="6">
        <v>7.0460787206210735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1.0752699999999999</v>
      </c>
    </row>
    <row r="27" spans="2:4" x14ac:dyDescent="0.2">
      <c r="B27" s="8"/>
      <c r="C27" s="12" t="s">
        <v>30</v>
      </c>
      <c r="D27" s="6">
        <v>84.144739999999999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39.037149999999997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228.42094942983815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v>8.9999999999999998E-4</v>
      </c>
    </row>
    <row r="39" spans="2:5" x14ac:dyDescent="0.2">
      <c r="B39" s="8" t="s">
        <v>23</v>
      </c>
      <c r="C39" s="12" t="s">
        <v>38</v>
      </c>
      <c r="D39" s="29">
        <f>D35/D41</f>
        <v>1.4081283562030757E-3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162216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9">
    <pageSetUpPr fitToPage="1"/>
  </sheetPr>
  <dimension ref="B1:E47"/>
  <sheetViews>
    <sheetView rightToLeft="1" topLeftCell="A25" workbookViewId="0">
      <selection activeCell="B1" sqref="B1:B5"/>
    </sheetView>
  </sheetViews>
  <sheetFormatPr defaultRowHeight="14.25" x14ac:dyDescent="0.2"/>
  <cols>
    <col min="1" max="1" width="1.375" customWidth="1"/>
    <col min="2" max="2" width="1.875" bestFit="1" customWidth="1"/>
    <col min="3" max="3" width="55.875" bestFit="1" customWidth="1"/>
    <col min="4" max="4" width="9.87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93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10.360000000000001</v>
      </c>
    </row>
    <row r="9" spans="2:4" x14ac:dyDescent="0.2">
      <c r="B9" s="8"/>
      <c r="C9" s="12" t="s">
        <v>18</v>
      </c>
      <c r="D9" s="6">
        <v>0</v>
      </c>
    </row>
    <row r="10" spans="2:4" x14ac:dyDescent="0.2">
      <c r="B10" s="8"/>
      <c r="C10" s="12" t="s">
        <v>19</v>
      </c>
      <c r="D10" s="6">
        <v>10.360000000000001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17.785502915905003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15.238452915905+7261.4/1000-4714.35/1000</f>
        <v>17.785502915905003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0</v>
      </c>
    </row>
    <row r="17" spans="2:4" ht="25.5" x14ac:dyDescent="0.2">
      <c r="B17" s="8" t="s">
        <v>21</v>
      </c>
      <c r="C17" s="28" t="s">
        <v>22</v>
      </c>
      <c r="D17" s="6">
        <v>0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29.587040000000002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0</v>
      </c>
    </row>
    <row r="27" spans="2:4" x14ac:dyDescent="0.2">
      <c r="B27" s="8"/>
      <c r="C27" s="12" t="s">
        <v>30</v>
      </c>
      <c r="D27" s="6">
        <f>29.48704+0.1</f>
        <v>29.587040000000002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0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57.732542915905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1.2919540631413477E-3</v>
      </c>
    </row>
    <row r="39" spans="2:5" x14ac:dyDescent="0.2">
      <c r="B39" s="8" t="s">
        <v>23</v>
      </c>
      <c r="C39" s="12" t="s">
        <v>38</v>
      </c>
      <c r="D39" s="29">
        <f>D35/D41</f>
        <v>2.5209616573907251E-3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22901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0">
    <pageSetUpPr fitToPage="1"/>
  </sheetPr>
  <dimension ref="B1:E47"/>
  <sheetViews>
    <sheetView rightToLeft="1" topLeftCell="A22" workbookViewId="0">
      <selection activeCell="B1" sqref="B1:B5"/>
    </sheetView>
  </sheetViews>
  <sheetFormatPr defaultRowHeight="14.25" x14ac:dyDescent="0.2"/>
  <cols>
    <col min="1" max="1" width="1.25" customWidth="1"/>
    <col min="2" max="2" width="1.875" bestFit="1" customWidth="1"/>
    <col min="3" max="3" width="55.875" bestFit="1" customWidth="1"/>
    <col min="4" max="4" width="9.87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94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1.9200000000000002</v>
      </c>
    </row>
    <row r="9" spans="2:4" x14ac:dyDescent="0.2">
      <c r="B9" s="8"/>
      <c r="C9" s="12" t="s">
        <v>18</v>
      </c>
      <c r="D9" s="6">
        <v>0</v>
      </c>
    </row>
    <row r="10" spans="2:4" x14ac:dyDescent="0.2">
      <c r="B10" s="8"/>
      <c r="C10" s="12" t="s">
        <v>19</v>
      </c>
      <c r="D10" s="6">
        <v>1.9200000000000002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1.7953699999999999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1.42+375.37/1000</f>
        <v>1.7953699999999999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0</v>
      </c>
    </row>
    <row r="17" spans="2:4" ht="25.5" x14ac:dyDescent="0.2">
      <c r="B17" s="8" t="s">
        <v>21</v>
      </c>
      <c r="C17" s="28" t="s">
        <v>22</v>
      </c>
      <c r="D17" s="6">
        <v>0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3.8351899999999999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0.16321000000000002</v>
      </c>
    </row>
    <row r="27" spans="2:4" x14ac:dyDescent="0.2">
      <c r="B27" s="8"/>
      <c r="C27" s="12" t="s">
        <v>30</v>
      </c>
      <c r="D27" s="6">
        <v>2.6895099999999998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0.98247000000000007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7.5505599999999999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1.1717659639474487E-3</v>
      </c>
    </row>
    <row r="39" spans="2:5" x14ac:dyDescent="0.2">
      <c r="B39" s="8" t="s">
        <v>23</v>
      </c>
      <c r="C39" s="12" t="s">
        <v>38</v>
      </c>
      <c r="D39" s="29">
        <f>D35/D41</f>
        <v>2.3069233119462269E-3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3273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8">
    <pageSetUpPr fitToPage="1"/>
  </sheetPr>
  <dimension ref="B1:E47"/>
  <sheetViews>
    <sheetView rightToLeft="1" topLeftCell="A22" workbookViewId="0">
      <selection activeCell="F38" sqref="F38"/>
    </sheetView>
  </sheetViews>
  <sheetFormatPr defaultRowHeight="14.25" x14ac:dyDescent="0.2"/>
  <cols>
    <col min="1" max="1" width="1.375" customWidth="1"/>
    <col min="2" max="2" width="1.875" bestFit="1" customWidth="1"/>
    <col min="3" max="3" width="55.875" bestFit="1" customWidth="1"/>
    <col min="4" max="4" width="9.875" bestFit="1" customWidth="1"/>
    <col min="6" max="6" width="9.75" customWidth="1"/>
    <col min="7" max="7" width="10.375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95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24.830000000000002</v>
      </c>
    </row>
    <row r="9" spans="2:4" x14ac:dyDescent="0.2">
      <c r="B9" s="8"/>
      <c r="C9" s="12" t="s">
        <v>18</v>
      </c>
      <c r="D9" s="6">
        <v>0.26</v>
      </c>
    </row>
    <row r="10" spans="2:4" x14ac:dyDescent="0.2">
      <c r="B10" s="8"/>
      <c r="C10" s="12" t="s">
        <v>19</v>
      </c>
      <c r="D10" s="6">
        <f>24.07+0.5</f>
        <v>24.57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8.4918600000000009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8.3+191.86/1000</f>
        <v>8.4918600000000009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0</v>
      </c>
    </row>
    <row r="17" spans="2:4" ht="25.5" x14ac:dyDescent="0.2">
      <c r="B17" s="8" t="s">
        <v>21</v>
      </c>
      <c r="C17" s="28" t="s">
        <v>22</v>
      </c>
      <c r="D17" s="6">
        <v>0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0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0</v>
      </c>
    </row>
    <row r="27" spans="2:4" x14ac:dyDescent="0.2">
      <c r="B27" s="8"/>
      <c r="C27" s="12" t="s">
        <v>30</v>
      </c>
      <c r="D27" s="6">
        <v>0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0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33.321860000000001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0</v>
      </c>
    </row>
    <row r="39" spans="2:5" x14ac:dyDescent="0.2">
      <c r="B39" s="8" t="s">
        <v>23</v>
      </c>
      <c r="C39" s="12" t="s">
        <v>38</v>
      </c>
      <c r="D39" s="29">
        <v>2.9999999999999997E-4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139417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7">
    <pageSetUpPr fitToPage="1"/>
  </sheetPr>
  <dimension ref="B1:E47"/>
  <sheetViews>
    <sheetView rightToLeft="1" topLeftCell="A22" workbookViewId="0">
      <selection activeCell="C6" sqref="C6:C7"/>
    </sheetView>
  </sheetViews>
  <sheetFormatPr defaultRowHeight="14.25" x14ac:dyDescent="0.2"/>
  <cols>
    <col min="1" max="1" width="1.625" customWidth="1"/>
    <col min="2" max="2" width="1.875" bestFit="1" customWidth="1"/>
    <col min="3" max="3" width="55.87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91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1.89</v>
      </c>
    </row>
    <row r="9" spans="2:4" x14ac:dyDescent="0.2">
      <c r="B9" s="8"/>
      <c r="C9" s="12" t="s">
        <v>18</v>
      </c>
      <c r="D9" s="6">
        <v>0.15</v>
      </c>
    </row>
    <row r="10" spans="2:4" x14ac:dyDescent="0.2">
      <c r="B10" s="8"/>
      <c r="C10" s="12" t="s">
        <v>19</v>
      </c>
      <c r="D10" s="6">
        <f>1.44+0.3</f>
        <v>1.74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1.4790000000000001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1.59+189/1000-0.3</f>
        <v>1.4790000000000001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0</v>
      </c>
    </row>
    <row r="17" spans="2:4" ht="25.5" x14ac:dyDescent="0.2">
      <c r="B17" s="8" t="s">
        <v>21</v>
      </c>
      <c r="C17" s="28" t="s">
        <v>22</v>
      </c>
      <c r="D17" s="6">
        <v>0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0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0</v>
      </c>
    </row>
    <row r="27" spans="2:4" x14ac:dyDescent="0.2">
      <c r="B27" s="8"/>
      <c r="C27" s="12" t="s">
        <v>30</v>
      </c>
      <c r="D27" s="6">
        <v>0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0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3.3689999999999998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0</v>
      </c>
    </row>
    <row r="39" spans="2:5" x14ac:dyDescent="0.2">
      <c r="B39" s="8" t="s">
        <v>23</v>
      </c>
      <c r="C39" s="12" t="s">
        <v>38</v>
      </c>
      <c r="D39" s="29">
        <f>D35/D41</f>
        <v>7.0473799811735167E-5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47805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2">
    <pageSetUpPr fitToPage="1"/>
  </sheetPr>
  <dimension ref="B1:E47"/>
  <sheetViews>
    <sheetView rightToLeft="1" topLeftCell="A22" workbookViewId="0">
      <selection activeCell="C6" sqref="C6:C7"/>
    </sheetView>
  </sheetViews>
  <sheetFormatPr defaultRowHeight="14.25" x14ac:dyDescent="0.2"/>
  <cols>
    <col min="1" max="1" width="1.75" customWidth="1"/>
    <col min="2" max="2" width="1.875" bestFit="1" customWidth="1"/>
    <col min="3" max="3" width="55.875" bestFit="1" customWidth="1"/>
    <col min="4" max="4" width="9.87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96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2.95</v>
      </c>
    </row>
    <row r="9" spans="2:4" x14ac:dyDescent="0.2">
      <c r="B9" s="8"/>
      <c r="C9" s="12" t="s">
        <v>18</v>
      </c>
      <c r="D9" s="6">
        <v>0.18</v>
      </c>
    </row>
    <row r="10" spans="2:4" x14ac:dyDescent="0.2">
      <c r="B10" s="8"/>
      <c r="C10" s="12" t="s">
        <v>19</v>
      </c>
      <c r="D10" s="6">
        <v>2.77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5.5470000000000006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5.259+288/1000</f>
        <v>5.5470000000000006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2.9000000000000001E-2</v>
      </c>
    </row>
    <row r="17" spans="2:4" ht="25.5" x14ac:dyDescent="0.2">
      <c r="B17" s="8" t="s">
        <v>21</v>
      </c>
      <c r="C17" s="28" t="s">
        <v>22</v>
      </c>
      <c r="D17" s="6">
        <v>2.9000000000000001E-2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0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/>
    </row>
    <row r="27" spans="2:4" x14ac:dyDescent="0.2">
      <c r="B27" s="8"/>
      <c r="C27" s="12" t="s">
        <v>30</v>
      </c>
      <c r="D27" s="6">
        <v>0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0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8.5259999999999998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8.2248503928075109E-7</v>
      </c>
    </row>
    <row r="39" spans="2:5" x14ac:dyDescent="0.2">
      <c r="B39" s="8" t="s">
        <v>23</v>
      </c>
      <c r="C39" s="12" t="s">
        <v>38</v>
      </c>
      <c r="D39" s="29">
        <f>D35/D41</f>
        <v>2.4181060154854079E-4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35259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1">
    <pageSetUpPr fitToPage="1"/>
  </sheetPr>
  <dimension ref="B1:E47"/>
  <sheetViews>
    <sheetView rightToLeft="1" topLeftCell="A19" workbookViewId="0">
      <selection activeCell="F37" sqref="F37"/>
    </sheetView>
  </sheetViews>
  <sheetFormatPr defaultRowHeight="14.25" x14ac:dyDescent="0.2"/>
  <cols>
    <col min="1" max="1" width="1.375" customWidth="1"/>
    <col min="2" max="2" width="1.875" bestFit="1" customWidth="1"/>
    <col min="3" max="3" width="55.875" bestFit="1" customWidth="1"/>
    <col min="4" max="4" width="9.875" bestFit="1" customWidth="1"/>
    <col min="8" max="8" width="9.62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97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17.07</v>
      </c>
    </row>
    <row r="9" spans="2:4" x14ac:dyDescent="0.2">
      <c r="B9" s="8"/>
      <c r="C9" s="12" t="s">
        <v>18</v>
      </c>
      <c r="D9" s="6">
        <v>0.44</v>
      </c>
    </row>
    <row r="10" spans="2:4" x14ac:dyDescent="0.2">
      <c r="B10" s="8"/>
      <c r="C10" s="12" t="s">
        <v>19</v>
      </c>
      <c r="D10" s="6">
        <f>17.13-0.5</f>
        <v>16.63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13.863849999999999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12.7925+1071.35/1000</f>
        <v>13.863849999999999</v>
      </c>
    </row>
    <row r="15" spans="2:4" x14ac:dyDescent="0.2">
      <c r="B15" s="25"/>
      <c r="C15" s="26"/>
      <c r="D15" s="7"/>
    </row>
    <row r="16" spans="2:4" ht="15" x14ac:dyDescent="0.25">
      <c r="B16" s="16">
        <v>3</v>
      </c>
      <c r="C16" s="11" t="s">
        <v>7</v>
      </c>
      <c r="D16" s="20">
        <f>SUM(D17:D19)</f>
        <v>1.0804791959496953</v>
      </c>
    </row>
    <row r="17" spans="2:4" ht="25.5" x14ac:dyDescent="0.2">
      <c r="B17" s="8" t="s">
        <v>21</v>
      </c>
      <c r="C17" s="28" t="s">
        <v>22</v>
      </c>
      <c r="D17" s="6">
        <v>5.8090000000000003E-2</v>
      </c>
    </row>
    <row r="18" spans="2:4" x14ac:dyDescent="0.2">
      <c r="B18" s="8" t="s">
        <v>23</v>
      </c>
      <c r="C18" s="28" t="s">
        <v>24</v>
      </c>
      <c r="D18" s="6">
        <v>0.16831000000000002</v>
      </c>
    </row>
    <row r="19" spans="2:4" x14ac:dyDescent="0.2">
      <c r="B19" s="8" t="s">
        <v>25</v>
      </c>
      <c r="C19" s="12" t="s">
        <v>3</v>
      </c>
      <c r="D19" s="6">
        <v>0.85407919594969528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20.871580000000002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>
        <v>2.8500000000000001E-2</v>
      </c>
    </row>
    <row r="27" spans="2:4" x14ac:dyDescent="0.2">
      <c r="B27" s="8"/>
      <c r="C27" s="12" t="s">
        <v>30</v>
      </c>
      <c r="D27" s="6">
        <v>13.647629999999999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v>7.195450000000001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52.885909195949701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8.0784583912305084E-4</v>
      </c>
    </row>
    <row r="39" spans="2:5" x14ac:dyDescent="0.2">
      <c r="B39" s="8" t="s">
        <v>23</v>
      </c>
      <c r="C39" s="12" t="s">
        <v>38</v>
      </c>
      <c r="D39" s="29">
        <v>2.0999999999999999E-3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25908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rightToLeft="1" topLeftCell="A22" workbookViewId="0">
      <selection activeCell="B1" sqref="B1:B5"/>
    </sheetView>
  </sheetViews>
  <sheetFormatPr defaultRowHeight="14.25" x14ac:dyDescent="0.2"/>
  <cols>
    <col min="1" max="1" width="1.25" customWidth="1"/>
    <col min="2" max="2" width="1.875" bestFit="1" customWidth="1"/>
    <col min="3" max="3" width="55.875" bestFit="1" customWidth="1"/>
    <col min="4" max="4" width="9.875" bestFit="1" customWidth="1"/>
    <col min="8" max="8" width="9.625" bestFit="1" customWidth="1"/>
  </cols>
  <sheetData>
    <row r="1" spans="2:4" ht="15" x14ac:dyDescent="0.25">
      <c r="B1" s="27" t="s">
        <v>86</v>
      </c>
    </row>
    <row r="2" spans="2:4" x14ac:dyDescent="0.2">
      <c r="B2" s="1" t="s">
        <v>87</v>
      </c>
      <c r="D2" s="2"/>
    </row>
    <row r="3" spans="2:4" x14ac:dyDescent="0.2">
      <c r="B3" s="3"/>
      <c r="D3" s="4"/>
    </row>
    <row r="4" spans="2:4" ht="15" x14ac:dyDescent="0.25">
      <c r="B4" s="10" t="s">
        <v>5</v>
      </c>
      <c r="D4" s="2"/>
    </row>
    <row r="5" spans="2:4" ht="16.5" thickBot="1" x14ac:dyDescent="0.3">
      <c r="B5" s="80" t="s">
        <v>99</v>
      </c>
      <c r="D5" s="2"/>
    </row>
    <row r="6" spans="2:4" ht="14.25" customHeight="1" x14ac:dyDescent="0.2">
      <c r="B6" s="82"/>
      <c r="C6" s="84"/>
      <c r="D6" s="86" t="s">
        <v>0</v>
      </c>
    </row>
    <row r="7" spans="2:4" x14ac:dyDescent="0.2">
      <c r="B7" s="83"/>
      <c r="C7" s="85"/>
      <c r="D7" s="87"/>
    </row>
    <row r="8" spans="2:4" ht="15" x14ac:dyDescent="0.25">
      <c r="B8" s="16">
        <v>1</v>
      </c>
      <c r="C8" s="11" t="s">
        <v>17</v>
      </c>
      <c r="D8" s="20">
        <f>SUM(D9:D10)</f>
        <v>35.330000000000005</v>
      </c>
    </row>
    <row r="9" spans="2:4" x14ac:dyDescent="0.2">
      <c r="B9" s="8"/>
      <c r="C9" s="12" t="s">
        <v>18</v>
      </c>
      <c r="D9" s="6">
        <v>0.31000000000000005</v>
      </c>
    </row>
    <row r="10" spans="2:4" x14ac:dyDescent="0.2">
      <c r="B10" s="8"/>
      <c r="C10" s="12" t="s">
        <v>19</v>
      </c>
      <c r="D10" s="6">
        <v>35.020000000000003</v>
      </c>
    </row>
    <row r="11" spans="2:4" x14ac:dyDescent="0.2">
      <c r="B11" s="8"/>
      <c r="C11" s="12"/>
      <c r="D11" s="7"/>
    </row>
    <row r="12" spans="2:4" ht="15" x14ac:dyDescent="0.25">
      <c r="B12" s="16">
        <v>2</v>
      </c>
      <c r="C12" s="11" t="s">
        <v>20</v>
      </c>
      <c r="D12" s="20">
        <f>SUM(D13:D14)</f>
        <v>16.586130000000004</v>
      </c>
    </row>
    <row r="13" spans="2:4" x14ac:dyDescent="0.2">
      <c r="B13" s="8"/>
      <c r="C13" s="13" t="s">
        <v>1</v>
      </c>
      <c r="D13" s="9">
        <v>0</v>
      </c>
    </row>
    <row r="14" spans="2:4" x14ac:dyDescent="0.2">
      <c r="B14" s="8"/>
      <c r="C14" s="13" t="s">
        <v>2</v>
      </c>
      <c r="D14" s="9">
        <f>16.219+267.13/1000+0.1</f>
        <v>16.586130000000004</v>
      </c>
    </row>
    <row r="15" spans="2:4" x14ac:dyDescent="0.2">
      <c r="B15" s="66"/>
      <c r="C15" s="67"/>
      <c r="D15" s="7"/>
    </row>
    <row r="16" spans="2:4" ht="15" x14ac:dyDescent="0.25">
      <c r="B16" s="16">
        <v>3</v>
      </c>
      <c r="C16" s="11" t="s">
        <v>7</v>
      </c>
      <c r="D16" s="20">
        <f>SUM(D17:D19)</f>
        <v>0</v>
      </c>
    </row>
    <row r="17" spans="2:4" ht="25.5" x14ac:dyDescent="0.2">
      <c r="B17" s="8" t="s">
        <v>21</v>
      </c>
      <c r="C17" s="28" t="s">
        <v>22</v>
      </c>
      <c r="D17" s="6">
        <v>0</v>
      </c>
    </row>
    <row r="18" spans="2:4" x14ac:dyDescent="0.2">
      <c r="B18" s="8" t="s">
        <v>23</v>
      </c>
      <c r="C18" s="28" t="s">
        <v>24</v>
      </c>
      <c r="D18" s="6">
        <v>0</v>
      </c>
    </row>
    <row r="19" spans="2:4" x14ac:dyDescent="0.2">
      <c r="B19" s="8" t="s">
        <v>25</v>
      </c>
      <c r="C19" s="12" t="s">
        <v>3</v>
      </c>
      <c r="D19" s="6">
        <v>0</v>
      </c>
    </row>
    <row r="20" spans="2:4" x14ac:dyDescent="0.2">
      <c r="B20" s="17"/>
      <c r="C20" s="14"/>
      <c r="D20" s="7"/>
    </row>
    <row r="21" spans="2:4" ht="15" x14ac:dyDescent="0.25">
      <c r="B21" s="18">
        <v>4</v>
      </c>
      <c r="C21" s="11" t="s">
        <v>26</v>
      </c>
      <c r="D21" s="20">
        <f>SUM(D22:D29)</f>
        <v>17.817450000000001</v>
      </c>
    </row>
    <row r="22" spans="2:4" x14ac:dyDescent="0.2">
      <c r="B22" s="8"/>
      <c r="C22" s="12" t="s">
        <v>27</v>
      </c>
      <c r="D22" s="6">
        <v>0</v>
      </c>
    </row>
    <row r="23" spans="2:4" x14ac:dyDescent="0.2">
      <c r="B23" s="8"/>
      <c r="C23" s="12" t="s">
        <v>28</v>
      </c>
      <c r="D23" s="6">
        <v>0</v>
      </c>
    </row>
    <row r="24" spans="2:4" x14ac:dyDescent="0.2">
      <c r="B24" s="8"/>
      <c r="C24" s="12" t="s">
        <v>29</v>
      </c>
      <c r="D24" s="6"/>
    </row>
    <row r="25" spans="2:4" x14ac:dyDescent="0.2">
      <c r="B25" s="8"/>
      <c r="C25" s="12" t="s">
        <v>14</v>
      </c>
      <c r="D25" s="6"/>
    </row>
    <row r="26" spans="2:4" x14ac:dyDescent="0.2">
      <c r="B26" s="8"/>
      <c r="C26" s="12" t="s">
        <v>6</v>
      </c>
      <c r="D26" s="6"/>
    </row>
    <row r="27" spans="2:4" x14ac:dyDescent="0.2">
      <c r="B27" s="8"/>
      <c r="C27" s="12" t="s">
        <v>30</v>
      </c>
      <c r="D27" s="6">
        <v>15.23396</v>
      </c>
    </row>
    <row r="28" spans="2:4" x14ac:dyDescent="0.2">
      <c r="B28" s="8"/>
      <c r="C28" s="12" t="s">
        <v>31</v>
      </c>
      <c r="D28" s="6">
        <v>0</v>
      </c>
    </row>
    <row r="29" spans="2:4" x14ac:dyDescent="0.2">
      <c r="B29" s="8"/>
      <c r="C29" s="12" t="s">
        <v>32</v>
      </c>
      <c r="D29" s="6">
        <f>2.48349+0.1</f>
        <v>2.5834900000000003</v>
      </c>
    </row>
    <row r="30" spans="2:4" x14ac:dyDescent="0.2">
      <c r="B30" s="8"/>
      <c r="C30" s="12"/>
      <c r="D30" s="7"/>
    </row>
    <row r="31" spans="2:4" ht="15" x14ac:dyDescent="0.25">
      <c r="B31" s="8">
        <v>5</v>
      </c>
      <c r="C31" s="11" t="s">
        <v>33</v>
      </c>
      <c r="D31" s="20">
        <v>0</v>
      </c>
    </row>
    <row r="32" spans="2:4" x14ac:dyDescent="0.2">
      <c r="B32" s="8" t="s">
        <v>21</v>
      </c>
      <c r="C32" s="12" t="s">
        <v>34</v>
      </c>
      <c r="D32" s="6"/>
    </row>
    <row r="33" spans="2:5" x14ac:dyDescent="0.2">
      <c r="B33" s="8" t="s">
        <v>23</v>
      </c>
      <c r="C33" s="12" t="s">
        <v>35</v>
      </c>
      <c r="D33" s="6"/>
    </row>
    <row r="34" spans="2:5" x14ac:dyDescent="0.2">
      <c r="B34" s="8"/>
      <c r="C34" s="12"/>
      <c r="D34" s="7"/>
    </row>
    <row r="35" spans="2:5" x14ac:dyDescent="0.2">
      <c r="B35" s="8"/>
      <c r="C35" s="12" t="s">
        <v>4</v>
      </c>
      <c r="D35" s="20">
        <f>D31+D21+D16+D12+D8</f>
        <v>69.733580000000018</v>
      </c>
    </row>
    <row r="36" spans="2:5" x14ac:dyDescent="0.2">
      <c r="B36" s="8"/>
      <c r="C36" s="12"/>
      <c r="D36" s="7"/>
    </row>
    <row r="37" spans="2:5" ht="15" x14ac:dyDescent="0.25">
      <c r="B37" s="8">
        <v>7</v>
      </c>
      <c r="C37" s="11" t="s">
        <v>36</v>
      </c>
      <c r="D37" s="7"/>
    </row>
    <row r="38" spans="2:5" ht="25.5" x14ac:dyDescent="0.2">
      <c r="B38" s="8" t="s">
        <v>21</v>
      </c>
      <c r="C38" s="28" t="s">
        <v>37</v>
      </c>
      <c r="D38" s="29">
        <f>(D17+D21+D33)/D41</f>
        <v>2.3808239207219911E-3</v>
      </c>
    </row>
    <row r="39" spans="2:5" x14ac:dyDescent="0.2">
      <c r="B39" s="8" t="s">
        <v>23</v>
      </c>
      <c r="C39" s="12" t="s">
        <v>38</v>
      </c>
      <c r="D39" s="29">
        <f>D35/D41</f>
        <v>9.318021116466197E-3</v>
      </c>
    </row>
    <row r="40" spans="2:5" x14ac:dyDescent="0.2">
      <c r="B40" s="8"/>
      <c r="C40" s="12"/>
      <c r="D40" s="7"/>
    </row>
    <row r="41" spans="2:5" ht="15" thickBot="1" x14ac:dyDescent="0.25">
      <c r="B41" s="19"/>
      <c r="C41" s="15" t="s">
        <v>39</v>
      </c>
      <c r="D41" s="30">
        <v>7483.7327720551521</v>
      </c>
    </row>
    <row r="43" spans="2:5" x14ac:dyDescent="0.2">
      <c r="C43" s="24"/>
    </row>
    <row r="44" spans="2:5" ht="15" x14ac:dyDescent="0.25">
      <c r="D44" s="22"/>
      <c r="E44" s="22"/>
    </row>
    <row r="45" spans="2:5" ht="15" x14ac:dyDescent="0.25">
      <c r="D45" s="22"/>
      <c r="E45" s="22"/>
    </row>
    <row r="46" spans="2:5" x14ac:dyDescent="0.2">
      <c r="D46" s="2"/>
      <c r="E46" s="21"/>
    </row>
    <row r="47" spans="2:5" ht="15" x14ac:dyDescent="0.25">
      <c r="D47" s="22"/>
    </row>
  </sheetData>
  <sheetProtection sheet="1" objects="1" scenarios="1"/>
  <mergeCells count="3">
    <mergeCell ref="B6:B7"/>
    <mergeCell ref="C6:C7"/>
    <mergeCell ref="D6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2017-04-06T05:59:29+00:00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9D5FC5-1096-458C-B0D1-40111F19726C}"/>
</file>

<file path=customXml/itemProps2.xml><?xml version="1.0" encoding="utf-8"?>
<ds:datastoreItem xmlns:ds="http://schemas.openxmlformats.org/officeDocument/2006/customXml" ds:itemID="{0E8D10DE-E95C-4D1C-8CD7-B9277ACFD660}"/>
</file>

<file path=customXml/itemProps3.xml><?xml version="1.0" encoding="utf-8"?>
<ds:datastoreItem xmlns:ds="http://schemas.openxmlformats.org/officeDocument/2006/customXml" ds:itemID="{48F49D18-2517-4675-B80B-D6DFA3415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14</vt:i4>
      </vt:variant>
    </vt:vector>
  </HeadingPairs>
  <TitlesOfParts>
    <vt:vector size="14" baseType="lpstr">
      <vt:lpstr>מסלול כללי</vt:lpstr>
      <vt:lpstr>מסלול ביג כללי לפחות 30% מניות</vt:lpstr>
      <vt:lpstr>מסלול מניות</vt:lpstr>
      <vt:lpstr>מסלול חו"ל</vt:lpstr>
      <vt:lpstr>מסלול אג"ח ממשלתי ישראלי</vt:lpstr>
      <vt:lpstr>מסלול שקלי טווח קצר</vt:lpstr>
      <vt:lpstr>מסלול צמוד מדד</vt:lpstr>
      <vt:lpstr>מסלול אג"ח עד 10% מניות</vt:lpstr>
      <vt:lpstr>מסלול לבני 50 ומטה</vt:lpstr>
      <vt:lpstr>מסלול לבני 50 עד 60</vt:lpstr>
      <vt:lpstr>מסלול לבני 60 ומעלה</vt:lpstr>
      <vt:lpstr>מגדל תגמולים- נספח 1</vt:lpstr>
      <vt:lpstr>מגדל תגמולים-נספח 2</vt:lpstr>
      <vt:lpstr>מגדל תגמולים-נספח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2017-04-05T14:09:45Z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