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מובנים'!$B$6:$Q$40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0" i="88" l="1"/>
  <c r="C37" i="88" l="1"/>
  <c r="C11" i="84" l="1"/>
  <c r="C10" i="84" s="1"/>
  <c r="C43" i="88" s="1"/>
  <c r="O24" i="78"/>
  <c r="O23" i="78"/>
  <c r="O27" i="78"/>
  <c r="O16" i="78"/>
  <c r="O20" i="78"/>
  <c r="O19" i="78"/>
  <c r="O17" i="78"/>
  <c r="I73" i="78"/>
  <c r="I72" i="78" s="1"/>
  <c r="O197" i="61"/>
  <c r="Q60" i="61"/>
  <c r="Q13" i="61" s="1"/>
  <c r="O60" i="61"/>
  <c r="Q143" i="61"/>
  <c r="O180" i="61"/>
  <c r="O161" i="61"/>
  <c r="S180" i="61"/>
  <c r="S161" i="61"/>
  <c r="Q12" i="61" l="1"/>
  <c r="Q11" i="61" s="1"/>
  <c r="S109" i="61"/>
  <c r="S108" i="61"/>
  <c r="S107" i="61"/>
  <c r="O109" i="61"/>
  <c r="O108" i="61"/>
  <c r="O107" i="61"/>
  <c r="O102" i="61"/>
  <c r="O101" i="61"/>
  <c r="S102" i="61"/>
  <c r="S101" i="61"/>
  <c r="S94" i="61"/>
  <c r="O94" i="61"/>
  <c r="S56" i="61"/>
  <c r="S55" i="61"/>
  <c r="O56" i="61"/>
  <c r="O55" i="61"/>
  <c r="R213" i="61"/>
  <c r="R143" i="61"/>
  <c r="R13" i="61"/>
  <c r="R12" i="61" l="1"/>
  <c r="R11" i="61" s="1"/>
  <c r="T216" i="61" s="1"/>
  <c r="N12" i="68"/>
  <c r="N11" i="68" s="1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T211" i="61"/>
  <c r="T210" i="61"/>
  <c r="T208" i="61"/>
  <c r="T207" i="61"/>
  <c r="T206" i="61"/>
  <c r="T204" i="61"/>
  <c r="T203" i="61"/>
  <c r="T202" i="61"/>
  <c r="T200" i="61"/>
  <c r="T199" i="61"/>
  <c r="T198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N14" i="62"/>
  <c r="N13" i="62"/>
  <c r="N12" i="62"/>
  <c r="N11" i="62"/>
  <c r="M27" i="63"/>
  <c r="M26" i="63"/>
  <c r="M25" i="63"/>
  <c r="M24" i="63"/>
  <c r="M23" i="63"/>
  <c r="M22" i="63"/>
  <c r="M21" i="63"/>
  <c r="M20" i="63"/>
  <c r="M19" i="63"/>
  <c r="M18" i="63"/>
  <c r="M17" i="63"/>
  <c r="M15" i="63"/>
  <c r="M14" i="63"/>
  <c r="M13" i="63"/>
  <c r="M12" i="63"/>
  <c r="M11" i="63"/>
  <c r="N16" i="64"/>
  <c r="N15" i="64"/>
  <c r="N14" i="64"/>
  <c r="N13" i="64"/>
  <c r="N12" i="64"/>
  <c r="N11" i="64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R30" i="71"/>
  <c r="R29" i="71"/>
  <c r="R28" i="71"/>
  <c r="R26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J24" i="76"/>
  <c r="J23" i="76"/>
  <c r="J21" i="76"/>
  <c r="J20" i="76"/>
  <c r="J19" i="76"/>
  <c r="J18" i="76"/>
  <c r="J16" i="76"/>
  <c r="J15" i="76"/>
  <c r="J14" i="76"/>
  <c r="J13" i="76"/>
  <c r="J12" i="76"/>
  <c r="J11" i="76"/>
  <c r="O73" i="78"/>
  <c r="O72" i="78" s="1"/>
  <c r="O12" i="78"/>
  <c r="C31" i="88"/>
  <c r="C26" i="88"/>
  <c r="C24" i="88"/>
  <c r="C18" i="88"/>
  <c r="C17" i="88"/>
  <c r="C16" i="88"/>
  <c r="C15" i="88"/>
  <c r="C13" i="88"/>
  <c r="C22" i="88" l="1"/>
  <c r="P12" i="68"/>
  <c r="P11" i="68"/>
  <c r="P13" i="68"/>
  <c r="C12" i="88"/>
  <c r="C23" i="88"/>
  <c r="O11" i="78"/>
  <c r="O10" i="78" s="1"/>
  <c r="T213" i="61"/>
  <c r="T197" i="61"/>
  <c r="T201" i="61"/>
  <c r="T205" i="61"/>
  <c r="T209" i="61"/>
  <c r="T214" i="61"/>
  <c r="T215" i="6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1" i="88" l="1"/>
  <c r="P72" i="78"/>
  <c r="P45" i="78"/>
  <c r="P12" i="78"/>
  <c r="P35" i="78"/>
  <c r="P57" i="78"/>
  <c r="P24" i="78"/>
  <c r="P63" i="78"/>
  <c r="P31" i="78"/>
  <c r="P43" i="78"/>
  <c r="C33" i="88"/>
  <c r="P42" i="78"/>
  <c r="P15" i="78"/>
  <c r="P64" i="78"/>
  <c r="P18" i="78"/>
  <c r="P55" i="78"/>
  <c r="P13" i="78"/>
  <c r="P46" i="78"/>
  <c r="P19" i="78"/>
  <c r="P52" i="78"/>
  <c r="P29" i="78"/>
  <c r="P10" i="78"/>
  <c r="P50" i="78"/>
  <c r="P74" i="78"/>
  <c r="P40" i="78"/>
  <c r="P53" i="78"/>
  <c r="P20" i="78"/>
  <c r="P51" i="78"/>
  <c r="P65" i="78"/>
  <c r="P33" i="78"/>
  <c r="P39" i="78"/>
  <c r="P59" i="78"/>
  <c r="P73" i="78"/>
  <c r="P21" i="78"/>
  <c r="P38" i="78"/>
  <c r="P54" i="78"/>
  <c r="P70" i="78"/>
  <c r="P11" i="78"/>
  <c r="P28" i="78"/>
  <c r="P44" i="78"/>
  <c r="P60" i="78"/>
  <c r="P25" i="78"/>
  <c r="P58" i="78"/>
  <c r="P32" i="78"/>
  <c r="P48" i="78"/>
  <c r="P69" i="78"/>
  <c r="P37" i="78"/>
  <c r="P49" i="78"/>
  <c r="P16" i="78"/>
  <c r="P22" i="78"/>
  <c r="P27" i="78"/>
  <c r="P30" i="78"/>
  <c r="P62" i="78"/>
  <c r="P36" i="78"/>
  <c r="P68" i="78"/>
  <c r="P61" i="78"/>
  <c r="P67" i="78"/>
  <c r="P41" i="78"/>
  <c r="P47" i="78"/>
  <c r="P14" i="78"/>
  <c r="P17" i="78"/>
  <c r="P34" i="78"/>
  <c r="P66" i="78"/>
  <c r="P23" i="78"/>
  <c r="P56" i="78"/>
  <c r="C42" i="88" l="1"/>
  <c r="Q30" i="78"/>
  <c r="Q24" i="78" l="1"/>
  <c r="D37" i="88"/>
  <c r="K12" i="76"/>
  <c r="P54" i="69"/>
  <c r="U125" i="61"/>
  <c r="U48" i="61"/>
  <c r="Q25" i="78"/>
  <c r="Q69" i="78"/>
  <c r="U131" i="61"/>
  <c r="U74" i="61"/>
  <c r="U21" i="61"/>
  <c r="Q11" i="68"/>
  <c r="U34" i="61"/>
  <c r="Q74" i="78"/>
  <c r="P57" i="69"/>
  <c r="U69" i="61"/>
  <c r="U38" i="61"/>
  <c r="R13" i="59"/>
  <c r="U164" i="61"/>
  <c r="Q73" i="78"/>
  <c r="Q61" i="78"/>
  <c r="U213" i="61"/>
  <c r="P65" i="69"/>
  <c r="U35" i="61"/>
  <c r="U149" i="61"/>
  <c r="P74" i="69"/>
  <c r="S23" i="71"/>
  <c r="Q28" i="78"/>
  <c r="Q13" i="78"/>
  <c r="D16" i="88"/>
  <c r="Q38" i="78"/>
  <c r="S12" i="71"/>
  <c r="P17" i="69"/>
  <c r="U82" i="61"/>
  <c r="Q17" i="78"/>
  <c r="U158" i="61"/>
  <c r="U203" i="61"/>
  <c r="U166" i="61"/>
  <c r="N20" i="63"/>
  <c r="U96" i="61"/>
  <c r="U150" i="61"/>
  <c r="U167" i="61"/>
  <c r="D18" i="88"/>
  <c r="U205" i="61"/>
  <c r="U210" i="61"/>
  <c r="P44" i="69"/>
  <c r="U20" i="61"/>
  <c r="K20" i="76"/>
  <c r="K19" i="76"/>
  <c r="D15" i="88"/>
  <c r="Q48" i="78"/>
  <c r="Q19" i="78"/>
  <c r="Q14" i="78"/>
  <c r="P32" i="69"/>
  <c r="U184" i="61"/>
  <c r="N26" i="63"/>
  <c r="N12" i="63"/>
  <c r="O16" i="64"/>
  <c r="U124" i="61"/>
  <c r="U208" i="61"/>
  <c r="U175" i="61"/>
  <c r="U88" i="61"/>
  <c r="P16" i="69"/>
  <c r="P47" i="69"/>
  <c r="U135" i="61"/>
  <c r="Q67" i="78"/>
  <c r="U98" i="61"/>
  <c r="N27" i="63"/>
  <c r="Q62" i="78"/>
  <c r="Q58" i="78"/>
  <c r="Q34" i="78"/>
  <c r="Q16" i="78"/>
  <c r="Q31" i="78"/>
  <c r="P12" i="69"/>
  <c r="U100" i="61"/>
  <c r="P24" i="69"/>
  <c r="U49" i="61"/>
  <c r="U91" i="61"/>
  <c r="P15" i="69"/>
  <c r="U191" i="61"/>
  <c r="U139" i="61"/>
  <c r="P82" i="69"/>
  <c r="U136" i="61"/>
  <c r="K21" i="76"/>
  <c r="Q53" i="78"/>
  <c r="Q13" i="68"/>
  <c r="U140" i="61"/>
  <c r="U155" i="61"/>
  <c r="P58" i="69"/>
  <c r="O12" i="64"/>
  <c r="S21" i="71"/>
  <c r="D10" i="88"/>
  <c r="P55" i="69"/>
  <c r="P73" i="69"/>
  <c r="U23" i="61"/>
  <c r="U51" i="61"/>
  <c r="P26" i="69"/>
  <c r="D33" i="88"/>
  <c r="S18" i="71"/>
  <c r="Q37" i="78"/>
  <c r="Q12" i="78"/>
  <c r="Q10" i="78"/>
  <c r="Q36" i="78"/>
  <c r="Q49" i="78"/>
  <c r="Q54" i="78"/>
  <c r="Q47" i="78"/>
  <c r="P80" i="69"/>
  <c r="P28" i="69"/>
  <c r="P70" i="69"/>
  <c r="U65" i="61"/>
  <c r="U179" i="61"/>
  <c r="U132" i="61"/>
  <c r="U15" i="61"/>
  <c r="U59" i="61"/>
  <c r="R16" i="59"/>
  <c r="P49" i="69"/>
  <c r="P63" i="69"/>
  <c r="R14" i="59"/>
  <c r="U198" i="61"/>
  <c r="U25" i="61"/>
  <c r="U46" i="61"/>
  <c r="U177" i="61"/>
  <c r="U172" i="61"/>
  <c r="R41" i="59"/>
  <c r="R29" i="59"/>
  <c r="U216" i="61"/>
  <c r="R11" i="59"/>
  <c r="U162" i="61"/>
  <c r="Q55" i="78"/>
  <c r="R28" i="59"/>
  <c r="U76" i="61"/>
  <c r="U26" i="61"/>
  <c r="K11" i="76"/>
  <c r="K23" i="76"/>
  <c r="O12" i="62"/>
  <c r="U214" i="61"/>
  <c r="R21" i="59"/>
  <c r="U97" i="61"/>
  <c r="U141" i="61"/>
  <c r="P52" i="69"/>
  <c r="D42" i="88"/>
  <c r="Q60" i="78"/>
  <c r="Q35" i="78"/>
  <c r="Q23" i="78"/>
  <c r="Q45" i="78"/>
  <c r="Q43" i="78"/>
  <c r="Q68" i="78"/>
  <c r="Q65" i="78"/>
  <c r="Q70" i="78"/>
  <c r="D31" i="88"/>
  <c r="K14" i="76"/>
  <c r="U27" i="61"/>
  <c r="R33" i="59"/>
  <c r="U211" i="61"/>
  <c r="Q32" i="78"/>
  <c r="P22" i="69"/>
  <c r="U115" i="61"/>
  <c r="R35" i="59"/>
  <c r="U42" i="61"/>
  <c r="N18" i="63"/>
  <c r="P13" i="69"/>
  <c r="U176" i="61"/>
  <c r="U154" i="61"/>
  <c r="U62" i="61"/>
  <c r="P83" i="69"/>
  <c r="R19" i="59"/>
  <c r="S22" i="71"/>
  <c r="U160" i="61"/>
  <c r="P61" i="69"/>
  <c r="P59" i="69"/>
  <c r="P11" i="69"/>
  <c r="R22" i="59"/>
  <c r="P41" i="69"/>
  <c r="R15" i="59"/>
  <c r="P30" i="69"/>
  <c r="U79" i="61"/>
  <c r="N14" i="63"/>
  <c r="P37" i="69"/>
  <c r="U126" i="61"/>
  <c r="P67" i="69"/>
  <c r="U112" i="61"/>
  <c r="U43" i="61"/>
  <c r="P78" i="69"/>
  <c r="U31" i="61"/>
  <c r="U73" i="61"/>
  <c r="U86" i="61"/>
  <c r="O13" i="62"/>
  <c r="U44" i="61"/>
  <c r="U181" i="61"/>
  <c r="D38" i="88"/>
  <c r="S14" i="71"/>
  <c r="U99" i="61"/>
  <c r="U116" i="61"/>
  <c r="U17" i="61"/>
  <c r="U187" i="61"/>
  <c r="N24" i="63"/>
  <c r="Q51" i="78"/>
  <c r="U146" i="61"/>
  <c r="U201" i="61"/>
  <c r="U72" i="61"/>
  <c r="P43" i="69"/>
  <c r="U151" i="61"/>
  <c r="U22" i="61"/>
  <c r="U202" i="61"/>
  <c r="P50" i="69"/>
  <c r="U127" i="61"/>
  <c r="U117" i="61"/>
  <c r="K18" i="76"/>
  <c r="U12" i="61"/>
  <c r="U161" i="61"/>
  <c r="U32" i="61"/>
  <c r="R34" i="59"/>
  <c r="U110" i="61"/>
  <c r="O11" i="64"/>
  <c r="U121" i="61"/>
  <c r="S19" i="71"/>
  <c r="U47" i="61"/>
  <c r="U37" i="61"/>
  <c r="U188" i="61"/>
  <c r="U92" i="61"/>
  <c r="U171" i="61"/>
  <c r="R37" i="59"/>
  <c r="U168" i="61"/>
  <c r="S26" i="71"/>
  <c r="S30" i="71"/>
  <c r="Q59" i="78"/>
  <c r="R23" i="59"/>
  <c r="P71" i="69"/>
  <c r="U50" i="61"/>
  <c r="N23" i="63"/>
  <c r="U174" i="61"/>
  <c r="U67" i="61"/>
  <c r="S16" i="71"/>
  <c r="P72" i="69"/>
  <c r="Q63" i="78"/>
  <c r="D13" i="88"/>
  <c r="Q21" i="78"/>
  <c r="Q33" i="78"/>
  <c r="Q52" i="78"/>
  <c r="D23" i="88"/>
  <c r="Q50" i="78"/>
  <c r="Q72" i="78"/>
  <c r="D17" i="88"/>
  <c r="D24" i="88"/>
  <c r="D26" i="88"/>
  <c r="Q41" i="78"/>
  <c r="Q39" i="78"/>
  <c r="S25" i="71"/>
  <c r="S17" i="71"/>
  <c r="U152" i="61"/>
  <c r="R20" i="59"/>
  <c r="U163" i="61"/>
  <c r="U84" i="61"/>
  <c r="Q56" i="78"/>
  <c r="K24" i="76"/>
  <c r="U148" i="61"/>
  <c r="U81" i="61"/>
  <c r="U90" i="61"/>
  <c r="U13" i="61"/>
  <c r="R36" i="59"/>
  <c r="Q12" i="68"/>
  <c r="U33" i="61"/>
  <c r="Q22" i="78"/>
  <c r="D11" i="88"/>
  <c r="U108" i="61"/>
  <c r="U52" i="61"/>
  <c r="N17" i="63"/>
  <c r="U153" i="61"/>
  <c r="U24" i="61"/>
  <c r="R25" i="59"/>
  <c r="U102" i="61"/>
  <c r="P77" i="69"/>
  <c r="U105" i="61"/>
  <c r="S11" i="71"/>
  <c r="U77" i="61"/>
  <c r="P25" i="69"/>
  <c r="U58" i="61"/>
  <c r="P20" i="69"/>
  <c r="Q46" i="78"/>
  <c r="U173" i="61"/>
  <c r="Q11" i="78"/>
  <c r="P56" i="69"/>
  <c r="U66" i="61"/>
  <c r="O13" i="64"/>
  <c r="P18" i="69"/>
  <c r="Q40" i="78"/>
  <c r="R18" i="59"/>
  <c r="U83" i="61"/>
  <c r="P79" i="69"/>
  <c r="Q18" i="78"/>
  <c r="U200" i="61"/>
  <c r="O14" i="64"/>
  <c r="U87" i="61"/>
  <c r="U130" i="61"/>
  <c r="Q15" i="78"/>
  <c r="S28" i="71"/>
  <c r="U61" i="61"/>
  <c r="N15" i="63"/>
  <c r="U185" i="61"/>
  <c r="U120" i="61"/>
  <c r="U56" i="61"/>
  <c r="N13" i="63"/>
  <c r="U199" i="61"/>
  <c r="U134" i="61"/>
  <c r="U70" i="61"/>
  <c r="O11" i="62"/>
  <c r="P45" i="69"/>
  <c r="U170" i="61"/>
  <c r="U41" i="61"/>
  <c r="P23" i="69"/>
  <c r="R27" i="59"/>
  <c r="U95" i="61"/>
  <c r="U215" i="61"/>
  <c r="U85" i="61"/>
  <c r="P46" i="69"/>
  <c r="R31" i="59"/>
  <c r="U107" i="61"/>
  <c r="P68" i="69"/>
  <c r="U209" i="61"/>
  <c r="U145" i="61"/>
  <c r="U80" i="61"/>
  <c r="U16" i="61"/>
  <c r="P51" i="69"/>
  <c r="R17" i="59"/>
  <c r="U159" i="61"/>
  <c r="U94" i="61"/>
  <c r="U30" i="61"/>
  <c r="P69" i="69"/>
  <c r="R12" i="59"/>
  <c r="U89" i="61"/>
  <c r="P66" i="69"/>
  <c r="K15" i="76"/>
  <c r="U144" i="61"/>
  <c r="U133" i="61"/>
  <c r="N19" i="63"/>
  <c r="S13" i="71"/>
  <c r="U156" i="61"/>
  <c r="U189" i="61"/>
  <c r="U60" i="61"/>
  <c r="P31" i="69"/>
  <c r="U138" i="61"/>
  <c r="U11" i="61"/>
  <c r="U178" i="61"/>
  <c r="P27" i="69"/>
  <c r="U103" i="61"/>
  <c r="U93" i="61"/>
  <c r="R39" i="59"/>
  <c r="U19" i="61"/>
  <c r="N21" i="63"/>
  <c r="P40" i="69"/>
  <c r="Q27" i="78"/>
  <c r="Q29" i="78"/>
  <c r="U197" i="61"/>
  <c r="U68" i="61"/>
  <c r="P39" i="69"/>
  <c r="U147" i="61"/>
  <c r="U18" i="61"/>
  <c r="U194" i="61"/>
  <c r="P42" i="69"/>
  <c r="U119" i="61"/>
  <c r="U109" i="61"/>
  <c r="K13" i="76"/>
  <c r="Q44" i="78"/>
  <c r="Q42" i="78"/>
  <c r="D12" i="88"/>
  <c r="P38" i="69"/>
  <c r="Q57" i="78"/>
  <c r="U195" i="61"/>
  <c r="U190" i="61"/>
  <c r="R40" i="59"/>
  <c r="P48" i="69"/>
  <c r="P33" i="69"/>
  <c r="N25" i="63"/>
  <c r="P19" i="69"/>
  <c r="Q20" i="78"/>
  <c r="P64" i="69"/>
  <c r="U71" i="61"/>
  <c r="U122" i="61"/>
  <c r="R32" i="59"/>
  <c r="U169" i="61"/>
  <c r="U104" i="61"/>
  <c r="U40" i="61"/>
  <c r="P75" i="69"/>
  <c r="R42" i="59"/>
  <c r="U183" i="61"/>
  <c r="U118" i="61"/>
  <c r="U54" i="61"/>
  <c r="N11" i="63"/>
  <c r="P29" i="69"/>
  <c r="U137" i="61"/>
  <c r="O14" i="62"/>
  <c r="S29" i="71"/>
  <c r="U192" i="61"/>
  <c r="U63" i="61"/>
  <c r="U182" i="61"/>
  <c r="U53" i="61"/>
  <c r="P21" i="69"/>
  <c r="U204" i="61"/>
  <c r="U75" i="61"/>
  <c r="P36" i="69"/>
  <c r="U193" i="61"/>
  <c r="U128" i="61"/>
  <c r="U64" i="61"/>
  <c r="N22" i="63"/>
  <c r="P35" i="69"/>
  <c r="U207" i="61"/>
  <c r="U143" i="61"/>
  <c r="U78" i="61"/>
  <c r="U14" i="61"/>
  <c r="P53" i="69"/>
  <c r="U186" i="61"/>
  <c r="U57" i="61"/>
  <c r="P34" i="69"/>
  <c r="R43" i="59"/>
  <c r="U111" i="61"/>
  <c r="R24" i="59"/>
  <c r="U101" i="61"/>
  <c r="P62" i="69"/>
  <c r="U123" i="61"/>
  <c r="U157" i="61"/>
  <c r="U28" i="61"/>
  <c r="R30" i="59"/>
  <c r="U106" i="61"/>
  <c r="P81" i="69"/>
  <c r="U113" i="61"/>
  <c r="S15" i="71"/>
  <c r="U39" i="61"/>
  <c r="U29" i="61"/>
  <c r="U180" i="61"/>
  <c r="P60" i="69"/>
  <c r="P14" i="69"/>
  <c r="K16" i="76"/>
  <c r="Q66" i="78"/>
  <c r="Q64" i="78"/>
  <c r="U165" i="61"/>
  <c r="U36" i="61"/>
  <c r="R38" i="59"/>
  <c r="U114" i="61"/>
  <c r="O15" i="64"/>
  <c r="U129" i="61"/>
  <c r="S24" i="71"/>
  <c r="U55" i="61"/>
  <c r="U45" i="61"/>
  <c r="U196" i="61"/>
  <c r="P76" i="69"/>
  <c r="U206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Migdal Hashkaot Neches Boded"/>
    <s v="{[Time].[Hie Time].[Yom].&amp;[20180930]}"/>
    <s v="{[Medida].[Medida].&amp;[2]}"/>
    <s v="{[Keren].[Keren].[All]}"/>
    <s v="{[Cheshbon KM].[Hie Peilut].[Peilut 7].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3" si="27">
        <n x="1" s="1"/>
        <n x="25"/>
        <n x="26"/>
      </t>
    </mdx>
    <mdx n="0" f="v">
      <t c="3" si="27">
        <n x="1" s="1"/>
        <n x="28"/>
        <n x="26"/>
      </t>
    </mdx>
    <mdx n="0" f="v">
      <t c="3" si="27">
        <n x="1" s="1"/>
        <n x="29"/>
        <n x="26"/>
      </t>
    </mdx>
    <mdx n="0" f="v">
      <t c="3" si="27">
        <n x="1" s="1"/>
        <n x="30"/>
        <n x="26"/>
      </t>
    </mdx>
    <mdx n="0" f="v">
      <t c="3" si="27">
        <n x="1" s="1"/>
        <n x="31"/>
        <n x="26"/>
      </t>
    </mdx>
    <mdx n="0" f="v">
      <t c="3" si="27">
        <n x="1" s="1"/>
        <n x="32"/>
        <n x="26"/>
      </t>
    </mdx>
    <mdx n="0" f="v">
      <t c="3" si="27">
        <n x="1" s="1"/>
        <n x="33"/>
        <n x="26"/>
      </t>
    </mdx>
    <mdx n="0" f="v">
      <t c="3" si="27">
        <n x="1" s="1"/>
        <n x="34"/>
        <n x="26"/>
      </t>
    </mdx>
    <mdx n="0" f="v">
      <t c="3" si="27">
        <n x="1" s="1"/>
        <n x="35"/>
        <n x="26"/>
      </t>
    </mdx>
    <mdx n="0" f="v">
      <t c="3" si="27">
        <n x="1" s="1"/>
        <n x="36"/>
        <n x="26"/>
      </t>
    </mdx>
    <mdx n="0" f="v">
      <t c="3" si="27">
        <n x="1" s="1"/>
        <n x="37"/>
        <n x="26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<sst xmlns="http://schemas.openxmlformats.org/spreadsheetml/2006/main" count="4572" uniqueCount="1112">
  <si>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</si>
  <si>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</si>
  <si>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</si>
  <si>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</si>
  <si>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</si>
  <si>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</si>
  <si>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</si>
  <si>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</si>
  <si>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</si>
  <si>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</si>
  <si>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</si>
  <si>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</si>
  <si>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</si>
  <si>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</si>
  <si>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</si>
  <si>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</si>
  <si>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</si>
  <si>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</si>
  <si>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</si>
  <si>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</si>
  <si>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</si>
  <si>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</si>
  <si>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</si>
  <si>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</si>
  <si>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</si>
  <si>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</si>
  <si>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</si>
  <si>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</si>
  <si>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</si>
  <si>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</si>
  <si>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</si>
  <si>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</si>
  <si>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</si>
  <si>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</si>
  <si>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</si>
  <si>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</si>
  <si>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</si>
  <si>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</si>
  <si>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</si>
  <si>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</si>
  <si>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</si>
  <si>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</si>
  <si>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</si>
  <si>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</si>
  <si>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</si>
  <si>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</si>
  <si>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</si>
  <si>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</si>
  <si>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</si>
  <si>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</si>
  <si>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</si>
  <si>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</si>
  <si>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</si>
  <si>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</si>
  <si>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</si>
  <si>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</si>
  <si>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</si>
  <si>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</si>
  <si>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</si>
  <si>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</si>
  <si>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ענף מסחר</t>
  </si>
  <si>
    <t>שם מדרג</t>
  </si>
  <si>
    <t>סה"כ שמחקות מדדים אחרים בישראל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</si>
  <si>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</si>
  <si>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</si>
  <si>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</si>
  <si>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</si>
  <si>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</si>
  <si>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</si>
  <si>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</si>
  <si>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</si>
  <si>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</si>
  <si>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</si>
  <si>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</si>
  <si>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</si>
  <si>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</si>
  <si>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</si>
  <si>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</si>
  <si>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</si>
  <si>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</si>
  <si>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</si>
  <si>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</si>
  <si>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</si>
  <si>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</si>
  <si>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</si>
  <si>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</si>
  <si>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</si>
  <si>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</si>
  <si>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</si>
  <si>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</si>
  <si>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</si>
  <si>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</si>
  <si>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</si>
  <si>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</si>
  <si>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</si>
  <si>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</si>
  <si>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</si>
  <si>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</si>
  <si>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</si>
  <si>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</si>
  <si>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</si>
  <si>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</si>
  <si>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</si>
  <si>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</si>
  <si>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</si>
  <si>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</si>
  <si>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</si>
  <si>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</si>
  <si>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</si>
  <si>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</si>
  <si>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</si>
  <si>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</si>
  <si>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</si>
  <si>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</si>
  <si>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</si>
  <si>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</si>
  <si>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</si>
  <si>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</si>
  <si>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</si>
  <si>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</si>
  <si>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</si>
  <si>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</si>
  <si>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</si>
  <si>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</si>
  <si>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</si>
  <si>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</si>
  <si>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</si>
  <si>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</si>
  <si>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</si>
  <si>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</si>
  <si>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</si>
  <si>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</si>
  <si>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</si>
  <si>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</si>
  <si>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</si>
  <si>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</si>
  <si>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</si>
  <si>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</si>
  <si>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</si>
  <si>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</si>
  <si>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</si>
  <si>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</si>
  <si>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</si>
  <si>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</si>
  <si>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</si>
  <si>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</si>
  <si>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</si>
  <si>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</si>
  <si>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</si>
  <si>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</si>
  <si>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</si>
  <si>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</si>
  <si>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</si>
  <si>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</si>
  <si>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</si>
  <si>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</si>
  <si>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</si>
  <si>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</si>
  <si>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</si>
  <si>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</si>
  <si>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</si>
  <si>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</si>
  <si>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</si>
  <si>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</si>
  <si>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</si>
  <si>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</si>
  <si>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</si>
  <si>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</si>
  <si>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</si>
  <si>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</si>
  <si>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</si>
  <si>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</si>
  <si>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</si>
  <si>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</si>
  <si>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</si>
  <si>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</si>
  <si>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</si>
  <si>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</si>
  <si>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</si>
  <si>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</si>
  <si>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</si>
  <si>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</si>
  <si>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</si>
  <si>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</si>
  <si>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</si>
  <si>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</si>
  <si>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</si>
  <si>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</si>
  <si>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</si>
  <si>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</si>
  <si>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</si>
  <si>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</si>
  <si>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</si>
  <si>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</si>
  <si>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</si>
  <si>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</si>
  <si>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</si>
  <si>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</si>
  <si>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</si>
  <si>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</si>
  <si>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</si>
  <si>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</si>
  <si>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</si>
  <si>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</si>
  <si>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</si>
  <si>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</si>
  <si>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</si>
  <si>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</si>
  <si>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</si>
  <si>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</si>
  <si>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</si>
  <si>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</si>
  <si>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</si>
  <si>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</si>
  <si>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</si>
  <si>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</si>
  <si>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</si>
  <si>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</si>
  <si>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</si>
  <si>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</si>
  <si>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</si>
  <si>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</si>
  <si>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</si>
  <si>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</si>
  <si>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</si>
  <si>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</si>
  <si>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</si>
  <si>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</si>
  <si>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</si>
  <si>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</si>
  <si>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</si>
  <si>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</si>
  <si>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</si>
  <si>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</si>
  <si>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</si>
  <si>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</si>
  <si>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</si>
  <si>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</si>
  <si>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</si>
  <si>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</si>
  <si>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</si>
  <si>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</si>
  <si>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</si>
  <si>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</si>
  <si>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</si>
  <si>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</si>
  <si>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</si>
  <si>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</si>
  <si>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</si>
  <si>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</si>
  <si>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</si>
  <si>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</si>
  <si>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</si>
  <si>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</si>
  <si>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</si>
  <si>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</si>
  <si>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</si>
  <si>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</si>
  <si>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</si>
  <si>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</si>
  <si>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</si>
  <si>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</si>
  <si>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</si>
  <si>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</si>
  <si>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</si>
  <si>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</si>
  <si>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</si>
  <si>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</si>
  <si>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</si>
  <si>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</si>
  <si>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</si>
  <si>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</si>
  <si>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</si>
  <si>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</si>
  <si>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</si>
  <si>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</si>
  <si>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</si>
  <si>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</si>
  <si>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</si>
  <si>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</si>
  <si>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</si>
  <si>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</si>
  <si>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</si>
  <si>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</si>
  <si>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</si>
  <si>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</si>
  <si>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</si>
  <si>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</si>
  <si>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</si>
  <si>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</si>
  <si>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</si>
  <si>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</si>
  <si>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</si>
  <si>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</si>
  <si>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</si>
  <si>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</si>
  <si>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</si>
  <si>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</si>
  <si>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</si>
  <si>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</si>
  <si>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</si>
  <si>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</si>
  <si>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</si>
  <si>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</si>
  <si>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</si>
  <si>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</si>
  <si>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</si>
  <si>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</si>
  <si>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</si>
  <si>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</si>
  <si>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</si>
  <si>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</si>
  <si>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</si>
  <si>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</si>
  <si>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44</t>
  </si>
  <si>
    <t>2310209</t>
  </si>
  <si>
    <t>520000522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</si>
  <si>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</si>
  <si>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</si>
  <si>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</si>
  <si>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</si>
  <si>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</si>
  <si>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</si>
  <si>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</si>
  <si>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</si>
  <si>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</si>
  <si>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</si>
  <si>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</si>
  <si>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</si>
  <si>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</si>
  <si>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</si>
  <si>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</si>
  <si>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</si>
  <si>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</si>
  <si>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</si>
  <si>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</si>
  <si>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</si>
  <si>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</si>
  <si>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</si>
  <si>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</si>
  <si>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</si>
  <si>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</si>
  <si>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</si>
  <si>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</si>
  <si>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</si>
  <si>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</si>
  <si>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</si>
  <si>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</si>
  <si>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</si>
  <si>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</si>
  <si>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</si>
  <si>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</si>
  <si>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</si>
  <si>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</si>
  <si>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</si>
  <si>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</si>
  <si>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</si>
  <si>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</si>
  <si>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</si>
  <si>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</si>
  <si>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</si>
  <si>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</si>
  <si>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</si>
  <si>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</si>
  <si>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</si>
  <si>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</si>
  <si>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</si>
  <si>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</si>
  <si>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</si>
  <si>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</si>
  <si>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ב</t>
  </si>
  <si>
    <t>1126630</t>
  </si>
  <si>
    <t>520026683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</si>
  <si>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</si>
  <si>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</si>
  <si>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</si>
  <si>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</si>
  <si>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</si>
  <si>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</si>
  <si>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</si>
  <si>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</si>
  <si>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</si>
  <si>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</si>
  <si>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</si>
  <si>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</si>
  <si>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</si>
  <si>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</si>
  <si>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</si>
  <si>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</si>
  <si>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</si>
  <si>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בנק לאומי שה סדרה 200</t>
  </si>
  <si>
    <t>6040141</t>
  </si>
  <si>
    <t>גב ים     ו*</t>
  </si>
  <si>
    <t>7590128</t>
  </si>
  <si>
    <t>520001736</t>
  </si>
  <si>
    <t>דסקמנ.ק4</t>
  </si>
  <si>
    <t>7480049</t>
  </si>
  <si>
    <t>520007030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</si>
  <si>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</si>
  <si>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</si>
  <si>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</si>
  <si>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</si>
  <si>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</si>
  <si>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</si>
  <si>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</si>
  <si>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</si>
  <si>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</si>
  <si>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</si>
  <si>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</si>
  <si>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</si>
  <si>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</si>
  <si>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</si>
  <si>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</si>
  <si>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</si>
  <si>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</si>
  <si>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</si>
  <si>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</si>
  <si>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</si>
  <si>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</si>
  <si>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</si>
  <si>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</si>
  <si>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</si>
  <si>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</si>
  <si>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</si>
  <si>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</si>
  <si>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</si>
  <si>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</si>
  <si>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</si>
  <si>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</si>
  <si>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</si>
  <si>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</si>
  <si>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</si>
  <si>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</si>
  <si>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</si>
  <si>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</si>
  <si>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</si>
  <si>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</si>
  <si>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</si>
  <si>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</si>
  <si>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</si>
  <si>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</si>
  <si>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</si>
  <si>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</si>
  <si>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</si>
  <si>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</si>
  <si>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</si>
  <si>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</si>
  <si>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</si>
  <si>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</si>
  <si>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</si>
  <si>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</si>
  <si>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</si>
  <si>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</si>
  <si>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</si>
  <si>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</si>
  <si>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</si>
  <si>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</si>
  <si>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</si>
  <si>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</si>
  <si>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</si>
  <si>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</si>
  <si>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</si>
  <si>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</si>
  <si>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</si>
  <si>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</si>
  <si>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</si>
  <si>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</si>
  <si>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</si>
  <si>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</si>
  <si>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</si>
  <si>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</si>
  <si>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</si>
  <si>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</si>
  <si>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</si>
  <si>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</si>
  <si>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</si>
  <si>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</si>
  <si>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</si>
  <si>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520033986</t>
  </si>
  <si>
    <t>ביטוח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</si>
  <si>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</si>
  <si>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</si>
  <si>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</si>
  <si>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</si>
  <si>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</si>
  <si>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</si>
  <si>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</si>
  <si>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</si>
  <si>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</si>
  <si>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</si>
  <si>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</si>
  <si>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</si>
  <si>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</si>
  <si>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</si>
  <si>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</si>
  <si>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</si>
  <si>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</si>
  <si>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</si>
  <si>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</si>
  <si>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</si>
  <si>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</si>
  <si>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</si>
  <si>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</si>
  <si>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</si>
  <si>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</si>
  <si>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</si>
  <si>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</si>
  <si>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</si>
  <si>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</si>
  <si>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</si>
  <si>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</si>
  <si>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</si>
  <si>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</si>
  <si>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</si>
  <si>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</si>
  <si>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</si>
  <si>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</si>
  <si>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</si>
  <si>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</si>
  <si>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</si>
  <si>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</si>
  <si>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</si>
  <si>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</si>
  <si>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</si>
  <si>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</si>
  <si>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</si>
  <si>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</si>
  <si>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</si>
  <si>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</si>
  <si>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</si>
  <si>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</si>
  <si>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</si>
  <si>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בינל הנפק התח כב (COCO)</t>
  </si>
  <si>
    <t>1138585</t>
  </si>
  <si>
    <t>A+.IL</t>
  </si>
  <si>
    <t>בינלאומי הנפ התח כג (coco)</t>
  </si>
  <si>
    <t>1142058</t>
  </si>
  <si>
    <t>בינלאומי הנפ התח כד (coco)</t>
  </si>
  <si>
    <t>1151000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</si>
  <si>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</si>
  <si>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</si>
  <si>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</si>
  <si>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</si>
  <si>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</si>
  <si>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</si>
  <si>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</si>
  <si>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</si>
  <si>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</si>
  <si>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</si>
  <si>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</si>
  <si>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</si>
  <si>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</si>
  <si>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</si>
  <si>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</si>
  <si>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</si>
  <si>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</si>
  <si>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</si>
  <si>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</si>
  <si>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</si>
  <si>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פרטנר     ג</t>
  </si>
  <si>
    <t>1118827</t>
  </si>
  <si>
    <t>520044314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</si>
  <si>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</si>
  <si>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</si>
  <si>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</si>
  <si>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</si>
  <si>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</si>
  <si>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</si>
  <si>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</si>
  <si>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אזורים סדרה 9*</t>
  </si>
  <si>
    <t>7150337</t>
  </si>
  <si>
    <t>520025990</t>
  </si>
  <si>
    <t>A.IL</t>
  </si>
  <si>
    <t>אשטרום נכ אג8</t>
  </si>
  <si>
    <t>2510162</t>
  </si>
  <si>
    <t>520036617</t>
  </si>
  <si>
    <t>גירון אגח ז</t>
  </si>
  <si>
    <t>1142629</t>
  </si>
  <si>
    <t>520044520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</si>
  <si>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</si>
  <si>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</si>
  <si>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</si>
  <si>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</si>
  <si>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</si>
  <si>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</si>
  <si>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</si>
  <si>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</si>
  <si>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</si>
  <si>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</si>
  <si>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</si>
  <si>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</si>
  <si>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</si>
  <si>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</si>
  <si>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</si>
  <si>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אדגר.ק7</t>
  </si>
  <si>
    <t>1820158</t>
  </si>
  <si>
    <t>520035171</t>
  </si>
  <si>
    <t>A-.IL</t>
  </si>
  <si>
    <t>אלבר 13</t>
  </si>
  <si>
    <t>1127588</t>
  </si>
  <si>
    <t>512025891</t>
  </si>
  <si>
    <t>שרותים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</si>
  <si>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</si>
  <si>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</si>
  <si>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</si>
  <si>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</si>
  <si>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</si>
  <si>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</si>
  <si>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</si>
  <si>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</si>
  <si>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</si>
  <si>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</si>
  <si>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</si>
  <si>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</si>
  <si>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</si>
  <si>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</si>
  <si>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</si>
  <si>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</si>
  <si>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</si>
  <si>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</si>
  <si>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אלדן סדרה ד</t>
  </si>
  <si>
    <t>1140821</t>
  </si>
  <si>
    <t>510454333</t>
  </si>
  <si>
    <t>BBB+.IL</t>
  </si>
  <si>
    <t>הכשרה ביטוח אגח 2</t>
  </si>
  <si>
    <t>1131218</t>
  </si>
  <si>
    <t>520042177</t>
  </si>
  <si>
    <t>BBB.IL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</si>
  <si>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</si>
  <si>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</si>
  <si>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</si>
  <si>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</si>
  <si>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</si>
  <si>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</si>
  <si>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</si>
  <si>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</si>
  <si>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</si>
  <si>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פועלים הנפקות אגח 30</t>
  </si>
  <si>
    <t>1940493</t>
  </si>
  <si>
    <t>בינלאומי סדרה ח</t>
  </si>
  <si>
    <t>1134212</t>
  </si>
  <si>
    <t>מרכנתיל אגח ב</t>
  </si>
  <si>
    <t>1138205</t>
  </si>
  <si>
    <t>513686154</t>
  </si>
  <si>
    <t>נמלי ישראל אגח ג</t>
  </si>
  <si>
    <t>1145580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</si>
  <si>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</si>
  <si>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</si>
  <si>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</si>
  <si>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</si>
  <si>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</si>
  <si>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</si>
  <si>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</si>
  <si>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</si>
  <si>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</si>
  <si>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</si>
  <si>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</si>
  <si>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</si>
  <si>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</si>
  <si>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</si>
  <si>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</si>
  <si>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</si>
  <si>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</si>
  <si>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</si>
  <si>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</si>
  <si>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</si>
  <si>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</si>
  <si>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</si>
  <si>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</si>
  <si>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</si>
  <si>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</si>
  <si>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</si>
  <si>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</si>
  <si>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</si>
  <si>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</si>
  <si>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</si>
  <si>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</si>
  <si>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</si>
  <si>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</si>
  <si>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</si>
  <si>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</si>
  <si>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</si>
  <si>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</si>
  <si>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ביטחוניות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</si>
  <si>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</si>
  <si>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</si>
  <si>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</si>
  <si>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</si>
  <si>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</si>
  <si>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</si>
  <si>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</si>
  <si>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</si>
  <si>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</si>
  <si>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</si>
  <si>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</si>
  <si>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</si>
  <si>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</si>
  <si>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</si>
  <si>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</si>
  <si>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</si>
  <si>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</si>
  <si>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</si>
  <si>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</si>
  <si>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</si>
  <si>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</si>
  <si>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</si>
  <si>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</si>
  <si>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</si>
  <si>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</si>
  <si>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</si>
  <si>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</si>
  <si>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</si>
  <si>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</si>
  <si>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</si>
  <si>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</si>
  <si>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</si>
  <si>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</si>
  <si>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</si>
  <si>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</si>
  <si>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</si>
  <si>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</si>
  <si>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</si>
  <si>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</si>
  <si>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</si>
  <si>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</si>
  <si>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</si>
  <si>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</si>
  <si>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</si>
  <si>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</si>
  <si>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</si>
  <si>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</si>
  <si>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</si>
  <si>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520007469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</si>
  <si>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</si>
  <si>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</si>
  <si>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</si>
  <si>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</si>
  <si>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</si>
  <si>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</si>
  <si>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</si>
  <si>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</si>
  <si>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</si>
  <si>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</si>
  <si>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</si>
  <si>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</si>
  <si>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</si>
  <si>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</si>
  <si>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</si>
  <si>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</si>
  <si>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</si>
  <si>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</si>
  <si>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</si>
  <si>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</si>
  <si>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הנדסה אגח א</t>
  </si>
  <si>
    <t>1136134</t>
  </si>
  <si>
    <t>514892801</t>
  </si>
  <si>
    <t>אול יר אגח 3</t>
  </si>
  <si>
    <t>1140136</t>
  </si>
  <si>
    <t>1841580</t>
  </si>
  <si>
    <t>אול יר אגח ה</t>
  </si>
  <si>
    <t>1143304</t>
  </si>
  <si>
    <t>אזורים סדרה 10*</t>
  </si>
  <si>
    <t>7150345</t>
  </si>
  <si>
    <t>אזורים סדרה 11*</t>
  </si>
  <si>
    <t>7150352</t>
  </si>
  <si>
    <t>או.פי.סי אגח א*</t>
  </si>
  <si>
    <t>1141589</t>
  </si>
  <si>
    <t>514401702</t>
  </si>
  <si>
    <t>חיפוש נפט וגז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</si>
  <si>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</si>
  <si>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</si>
  <si>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</si>
  <si>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</si>
  <si>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</si>
  <si>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</si>
  <si>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</si>
  <si>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</si>
  <si>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</si>
  <si>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</si>
  <si>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</si>
  <si>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</si>
  <si>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</si>
  <si>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</si>
  <si>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</si>
  <si>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</si>
  <si>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</si>
  <si>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</si>
  <si>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</si>
  <si>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</si>
  <si>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</si>
  <si>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</si>
  <si>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</si>
  <si>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ב</t>
  </si>
  <si>
    <t>1143593</t>
  </si>
  <si>
    <t>515334662</t>
  </si>
  <si>
    <t>בזן אגח ו</t>
  </si>
  <si>
    <t>2590396</t>
  </si>
  <si>
    <t>פלאזה סנטרס</t>
  </si>
  <si>
    <t>1109917</t>
  </si>
  <si>
    <t>33248324</t>
  </si>
  <si>
    <t>תכלית תל בונד 60</t>
  </si>
  <si>
    <t>1109362</t>
  </si>
  <si>
    <t>513540310</t>
  </si>
  <si>
    <t>אג"ח</t>
  </si>
  <si>
    <t>תכלית תל בונד שקלי</t>
  </si>
  <si>
    <t>1116250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</si>
  <si>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</si>
  <si>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</si>
  <si>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</si>
  <si>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</si>
  <si>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</si>
  <si>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</si>
  <si>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</si>
  <si>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</si>
  <si>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</si>
  <si>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</si>
  <si>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</si>
  <si>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</si>
  <si>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NYSE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</si>
  <si>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</si>
  <si>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</si>
  <si>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</si>
  <si>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</si>
  <si>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</si>
  <si>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</si>
  <si>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</si>
  <si>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</si>
  <si>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</si>
  <si>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</si>
  <si>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Pioneer Funds US HY</t>
  </si>
  <si>
    <t>LU0132199406</t>
  </si>
  <si>
    <t>BB-</t>
  </si>
  <si>
    <t>NOMURA US HIGH YLD BD I USD</t>
  </si>
  <si>
    <t>IE00B3RW8498</t>
  </si>
  <si>
    <t>B+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</si>
  <si>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</si>
  <si>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</si>
  <si>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</si>
  <si>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</si>
  <si>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</si>
  <si>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</si>
  <si>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</si>
  <si>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</si>
  <si>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</si>
  <si>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</si>
  <si>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</si>
  <si>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</si>
  <si>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</si>
  <si>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</si>
  <si>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</si>
  <si>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</si>
  <si>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</si>
  <si>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</si>
  <si>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</si>
  <si>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</si>
  <si>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</si>
  <si>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</si>
  <si>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</si>
  <si>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</si>
  <si>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</si>
  <si>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</si>
  <si>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</si>
  <si>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</si>
  <si>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</si>
  <si>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</si>
  <si>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</si>
  <si>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</si>
  <si>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</si>
  <si>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</si>
  <si>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</si>
  <si>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</si>
  <si>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</si>
  <si>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</si>
  <si>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</si>
  <si>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</si>
  <si>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</si>
  <si>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</si>
  <si>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</si>
  <si>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</si>
  <si>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</si>
  <si>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</si>
  <si>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</si>
  <si>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</si>
  <si>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</si>
  <si>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</si>
  <si>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</si>
  <si>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</si>
  <si>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</si>
  <si>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</si>
  <si>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</si>
  <si>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</si>
  <si>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</si>
  <si>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</si>
  <si>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</si>
  <si>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</si>
  <si>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</si>
  <si>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</si>
  <si>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</si>
  <si>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</si>
  <si>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</si>
  <si>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</si>
  <si>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</si>
  <si>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</si>
  <si>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</si>
  <si>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</si>
  <si>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</si>
  <si>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</si>
  <si>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</si>
  <si>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</si>
  <si>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</si>
  <si>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</si>
  <si>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</si>
  <si>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</si>
  <si>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</si>
  <si>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</si>
  <si>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</si>
  <si>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</si>
  <si>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</si>
  <si>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</si>
  <si>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</si>
  <si>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</si>
  <si>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</si>
  <si>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</si>
  <si>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</si>
  <si>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</si>
  <si>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</si>
  <si>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</si>
  <si>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</si>
  <si>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</si>
  <si>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</si>
  <si>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</si>
  <si>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</si>
  <si>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</si>
  <si>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</si>
  <si>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</si>
  <si>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</si>
  <si>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</si>
  <si>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</si>
  <si>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</si>
  <si>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</si>
  <si>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</si>
  <si>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</si>
  <si>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</si>
  <si>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</si>
  <si>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</si>
  <si>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</si>
  <si>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</si>
  <si>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8860</t>
  </si>
  <si>
    <t>88600000</t>
  </si>
  <si>
    <t>ערד 8863</t>
  </si>
  <si>
    <t>88630000</t>
  </si>
  <si>
    <t>ערד 8865</t>
  </si>
  <si>
    <t>88650000</t>
  </si>
  <si>
    <t>ערד 8866</t>
  </si>
  <si>
    <t>88660000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</si>
  <si>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</si>
  <si>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</si>
  <si>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</si>
  <si>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</si>
  <si>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</si>
  <si>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</si>
  <si>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</si>
  <si>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</si>
  <si>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</si>
  <si>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</si>
  <si>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</si>
  <si>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</si>
  <si>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</si>
  <si>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</si>
  <si>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</si>
  <si>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</si>
  <si>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</si>
  <si>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</si>
  <si>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</si>
  <si>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</si>
  <si>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</si>
  <si>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</si>
  <si>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</si>
  <si>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</si>
  <si>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</si>
  <si>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</si>
  <si>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</si>
  <si>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</si>
  <si>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</si>
  <si>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</si>
  <si>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</si>
  <si>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</si>
  <si>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</si>
  <si>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</si>
  <si>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</si>
  <si>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</si>
  <si>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</si>
  <si>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</si>
  <si>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</si>
  <si>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</si>
  <si>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</si>
  <si>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</si>
  <si>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</si>
  <si>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</si>
  <si>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</si>
  <si>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</si>
  <si>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520036716</t>
  </si>
  <si>
    <t>אורמת אגח 3*</t>
  </si>
  <si>
    <t>1139179</t>
  </si>
  <si>
    <t>ל.ר.</t>
  </si>
  <si>
    <t>₪ / מט"ח</t>
  </si>
  <si>
    <t>+ILS/-USD 3.4684 22-05-19 (10) --916</t>
  </si>
  <si>
    <t>10000146</t>
  </si>
  <si>
    <t>+ILS/-USD 3.532 18-06-19 (10) --960</t>
  </si>
  <si>
    <t>10000150</t>
  </si>
  <si>
    <t>+ILS/-USD 3.5825 16-10-18 (10) --365</t>
  </si>
  <si>
    <t>10000141</t>
  </si>
  <si>
    <t>+GBP/-USD 1.3519 27-11-18 (10) +109</t>
  </si>
  <si>
    <t>10000148</t>
  </si>
  <si>
    <t>+USD/-EUR 1.17778 18-03-19 (10) +179.8</t>
  </si>
  <si>
    <t>10000152</t>
  </si>
  <si>
    <t>+USD/-EUR 1.2017 31-10-18 (10) +157</t>
  </si>
  <si>
    <t>10000144</t>
  </si>
  <si>
    <t>496761</t>
  </si>
  <si>
    <t/>
  </si>
  <si>
    <t>פרנק שווצרי</t>
  </si>
  <si>
    <t>דולר ניו-זילנד</t>
  </si>
  <si>
    <t>כתר נורבגי</t>
  </si>
  <si>
    <t>רובל רוסי</t>
  </si>
  <si>
    <t>11898600</t>
  </si>
  <si>
    <t>11898601</t>
  </si>
  <si>
    <t>בנק הפועלים בע"מ</t>
  </si>
  <si>
    <t>30012000</t>
  </si>
  <si>
    <t>בנק לאומי לישראל בע"מ</t>
  </si>
  <si>
    <t>30110000</t>
  </si>
  <si>
    <t>יו בנק</t>
  </si>
  <si>
    <t>30026000</t>
  </si>
  <si>
    <t>30210000</t>
  </si>
  <si>
    <t>34010000</t>
  </si>
  <si>
    <t>32010000</t>
  </si>
  <si>
    <t>דירוג פנימי</t>
  </si>
  <si>
    <t>NR</t>
  </si>
  <si>
    <t>לא</t>
  </si>
  <si>
    <t>507852</t>
  </si>
  <si>
    <t>AA</t>
  </si>
  <si>
    <t>455531</t>
  </si>
  <si>
    <t>כן</t>
  </si>
  <si>
    <t>455954</t>
  </si>
  <si>
    <t>A+</t>
  </si>
  <si>
    <t>90840002</t>
  </si>
  <si>
    <t>90840004</t>
  </si>
  <si>
    <t>90840006</t>
  </si>
  <si>
    <t>90840008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</si>
  <si>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</si>
  <si>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</si>
  <si>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</si>
  <si>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</si>
  <si>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</si>
  <si>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</si>
  <si>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</si>
  <si>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</si>
  <si>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</si>
  <si>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</si>
  <si>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</si>
  <si>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</si>
  <si>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</si>
  <si>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</si>
  <si>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</si>
  <si>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</si>
  <si>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</si>
  <si>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</si>
  <si>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525458</t>
  </si>
  <si>
    <t>91040003</t>
  </si>
  <si>
    <t>91040004</t>
  </si>
  <si>
    <t>91050020</t>
  </si>
  <si>
    <t>91050021</t>
  </si>
  <si>
    <t>91050022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</si>
  <si>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</si>
  <si>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</si>
  <si>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</si>
  <si>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</si>
  <si>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</si>
  <si>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</si>
  <si>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</si>
  <si>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</si>
  <si>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</si>
  <si>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</si>
  <si>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90145362</t>
  </si>
  <si>
    <t>508506</t>
  </si>
  <si>
    <t>AA-</t>
  </si>
  <si>
    <t>סה"כ מוצרים מובנים</t>
  </si>
  <si>
    <t>אשראי</t>
  </si>
  <si>
    <t>סה"כ יתרות התחייבות להשקעה</t>
  </si>
  <si>
    <t>סה"כ בישראל</t>
  </si>
  <si>
    <t>פורוורד ריבית</t>
  </si>
  <si>
    <t>גורם 98</t>
  </si>
  <si>
    <t>גורם 105</t>
  </si>
  <si>
    <t>גורם 113</t>
  </si>
  <si>
    <t>גורם 104</t>
  </si>
  <si>
    <t>גורם 111</t>
  </si>
  <si>
    <t>מובטחות משכנתא - גורם 01</t>
  </si>
  <si>
    <t>בבטחונות אחרים - גורם 114</t>
  </si>
  <si>
    <t>בבטחונות אחרים - גורם 94</t>
  </si>
  <si>
    <t>בבטחונות אחרים - גורם 89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</si>
  <si>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</si>
  <si>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</si>
  <si>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</si>
  <si>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</si>
  <si>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</si>
  <si>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</si>
  <si>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</si>
  <si>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</si>
  <si>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90</t>
  </si>
  <si>
    <t>בבטחונות אחרים - גורם 111</t>
  </si>
  <si>
    <t>בבטחונות אחרים - גורם 115*</t>
  </si>
  <si>
    <t>סה"כ השקעות אחרות</t>
  </si>
  <si>
    <t>חייבים שונים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</si>
</sst>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5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0" borderId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8" borderId="32" applyNumberFormat="0" applyFont="0" applyAlignment="0" applyProtection="0"/>
    <xf numFmtId="0" fontId="3" fillId="8" borderId="32" applyNumberFormat="0" applyFont="0" applyAlignment="0" applyProtection="0"/>
    <xf numFmtId="0" fontId="3" fillId="8" borderId="32" applyNumberFormat="0" applyFont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11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0" fontId="11" fillId="0" borderId="6" xfId="7" applyFont="1" applyBorder="1" applyAlignment="1">
      <alignment horizontal="center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2" fontId="31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4" fontId="7" fillId="0" borderId="31" xfId="13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center"/>
    </xf>
    <xf numFmtId="167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/>
    <xf numFmtId="0" fontId="30" fillId="0" borderId="0" xfId="61" applyFont="1" applyFill="1" applyBorder="1" applyAlignment="1">
      <alignment horizontal="right" indent="3"/>
    </xf>
    <xf numFmtId="0" fontId="30" fillId="0" borderId="0" xfId="31" applyFont="1" applyFill="1" applyBorder="1" applyAlignment="1">
      <alignment horizontal="right" indent="3"/>
    </xf>
    <xf numFmtId="10" fontId="34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25" fillId="0" borderId="0" xfId="7" applyFont="1" applyAlignment="1">
      <alignment horizontal="right"/>
    </xf>
    <xf numFmtId="0" fontId="25" fillId="0" borderId="0" xfId="7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0" fontId="3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164" fontId="30" fillId="0" borderId="0" xfId="80" applyFont="1" applyFill="1" applyBorder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85">
    <cellStyle name="20% - הדגשה1 2" xfId="16"/>
    <cellStyle name="20% - הדגשה1 2 2" xfId="68"/>
    <cellStyle name="20% - הדגשה2 2" xfId="17"/>
    <cellStyle name="20% - הדגשה2 2 2" xfId="69"/>
    <cellStyle name="20% - הדגשה3 2" xfId="18"/>
    <cellStyle name="20% - הדגשה3 2 2" xfId="70"/>
    <cellStyle name="20% - הדגשה4 2" xfId="19"/>
    <cellStyle name="20% - הדגשה4 2 2" xfId="71"/>
    <cellStyle name="20% - הדגשה5 2" xfId="20"/>
    <cellStyle name="20% - הדגשה5 2 2" xfId="72"/>
    <cellStyle name="20% - הדגשה6 2" xfId="21"/>
    <cellStyle name="20% - הדגשה6 2 2" xfId="73"/>
    <cellStyle name="40% - הדגשה1 2" xfId="22"/>
    <cellStyle name="40% - הדגשה1 2 2" xfId="74"/>
    <cellStyle name="40% - הדגשה2 2" xfId="23"/>
    <cellStyle name="40% - הדגשה2 2 2" xfId="75"/>
    <cellStyle name="40% - הדגשה3 2" xfId="24"/>
    <cellStyle name="40% - הדגשה3 2 2" xfId="76"/>
    <cellStyle name="40% - הדגשה4 2" xfId="25"/>
    <cellStyle name="40% - הדגשה4 2 2" xfId="77"/>
    <cellStyle name="40% - הדגשה5 2" xfId="26"/>
    <cellStyle name="40% - הדגשה5 2 2" xfId="78"/>
    <cellStyle name="40% - הדגשה6 2" xfId="27"/>
    <cellStyle name="40% - הדגשה6 2 2" xfId="79"/>
    <cellStyle name="Comma" xfId="13" builtinId="3"/>
    <cellStyle name="Comma 2" xfId="1"/>
    <cellStyle name="Comma 2 2" xfId="28"/>
    <cellStyle name="Comma 2 2 2" xfId="80"/>
    <cellStyle name="Comma 2 3" xfId="62"/>
    <cellStyle name="Comma 3" xfId="29"/>
    <cellStyle name="Comma 3 2" xfId="30"/>
    <cellStyle name="Comma 3 2 2" xfId="82"/>
    <cellStyle name="Comma 3 3" xfId="81"/>
    <cellStyle name="Comma 4" xfId="66"/>
    <cellStyle name="Currency [0] _1" xfId="2"/>
    <cellStyle name="Hyperlink 2" xfId="3"/>
    <cellStyle name="Normal" xfId="0" builtinId="0"/>
    <cellStyle name="Normal 10" xfId="31"/>
    <cellStyle name="Normal 10 2" xfId="32"/>
    <cellStyle name="Normal 11" xfId="4"/>
    <cellStyle name="Normal 11 2" xfId="34"/>
    <cellStyle name="Normal 11 3" xfId="63"/>
    <cellStyle name="Normal 11_מזומנים" xfId="33"/>
    <cellStyle name="Normal 12" xfId="35"/>
    <cellStyle name="Normal 12 2" xfId="83"/>
    <cellStyle name="Normal 13" xfId="36"/>
    <cellStyle name="Normal 15" xfId="61"/>
    <cellStyle name="Normal 2" xfId="5"/>
    <cellStyle name="Normal 2 2" xfId="37"/>
    <cellStyle name="Normal 2 3" xfId="38"/>
    <cellStyle name="Normal 2_אג&quot;ח קונצרני" xfId="15"/>
    <cellStyle name="Normal 3" xfId="6"/>
    <cellStyle name="Normal 3 2" xfId="39"/>
    <cellStyle name="Normal 3 3" xfId="40"/>
    <cellStyle name="Normal 3 4" xfId="41"/>
    <cellStyle name="Normal 3 4 2" xfId="84"/>
    <cellStyle name="Normal 3 5" xfId="64"/>
    <cellStyle name="Normal 3_Position" xfId="42"/>
    <cellStyle name="Normal 4" xfId="12"/>
    <cellStyle name="Normal 4 2" xfId="43"/>
    <cellStyle name="Normal 4_Position" xfId="44"/>
    <cellStyle name="Normal 5" xfId="45"/>
    <cellStyle name="Normal 5 2" xfId="46"/>
    <cellStyle name="Normal 5 3" xfId="47"/>
    <cellStyle name="Normal 5 4" xfId="48"/>
    <cellStyle name="Normal 5_Position" xfId="49"/>
    <cellStyle name="Normal 6" xfId="50"/>
    <cellStyle name="Normal 6 2" xfId="51"/>
    <cellStyle name="Normal 7" xfId="52"/>
    <cellStyle name="Normal 7 2" xfId="53"/>
    <cellStyle name="Normal 8" xfId="54"/>
    <cellStyle name="Normal 8 2" xfId="55"/>
    <cellStyle name="Normal 9" xfId="56"/>
    <cellStyle name="Normal 9 2" xfId="57"/>
    <cellStyle name="Normal_2007-16618" xfId="7"/>
    <cellStyle name="Percent" xfId="14" builtinId="5"/>
    <cellStyle name="Percent 2" xfId="8"/>
    <cellStyle name="Percent 2 2" xfId="65"/>
    <cellStyle name="Percent 3" xfId="67"/>
    <cellStyle name="Text" xfId="9"/>
    <cellStyle name="Total" xfId="10"/>
    <cellStyle name="היפר-קישור" xfId="11" builtinId="8"/>
    <cellStyle name="הערה 2" xfId="58"/>
    <cellStyle name="הערה 3" xfId="59"/>
    <cellStyle name="הערה 4" xfId="60"/>
  </cellStyles>
  <dxfs count="7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198120</xdr:colOff>
      <xdr:row>50</xdr:row>
      <xdr:rowOff>0</xdr:rowOff>
    </xdr:from>
    <xdr:to>
      <xdr:col>24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topLeftCell="A13" workbookViewId="0">
      <selection activeCell="T24" sqref="T24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18" width="6.7109375" style="9" customWidth="1"/>
    <col min="19" max="21" width="7.7109375" style="9" customWidth="1"/>
    <col min="22" max="22" width="7.140625" style="9" customWidth="1"/>
    <col min="23" max="23" width="6" style="9" customWidth="1"/>
    <col min="24" max="24" width="7.85546875" style="9" customWidth="1"/>
    <col min="25" max="25" width="8.140625" style="9" customWidth="1"/>
    <col min="26" max="26" width="6.28515625" style="9" customWidth="1"/>
    <col min="27" max="27" width="8" style="9" customWidth="1"/>
    <col min="28" max="28" width="8.7109375" style="9" customWidth="1"/>
    <col min="29" max="29" width="10" style="9" customWidth="1"/>
    <col min="30" max="30" width="9.5703125" style="9" customWidth="1"/>
    <col min="31" max="31" width="6.140625" style="9" customWidth="1"/>
    <col min="32" max="33" width="5.7109375" style="9" customWidth="1"/>
    <col min="34" max="34" width="6.85546875" style="9" customWidth="1"/>
    <col min="35" max="35" width="6.42578125" style="9" customWidth="1"/>
    <col min="36" max="36" width="6.7109375" style="9" customWidth="1"/>
    <col min="37" max="37" width="7.28515625" style="9" customWidth="1"/>
    <col min="38" max="49" width="5.7109375" style="9" customWidth="1"/>
    <col min="50" max="16384" width="9.140625" style="9"/>
  </cols>
  <sheetData>
    <row r="1" spans="1:24">
      <c r="B1" s="57" t="s">
        <v>177</v>
      </c>
      <c r="C1" s="79" t="s" vm="1">
        <v>247</v>
      </c>
    </row>
    <row r="2" spans="1:24">
      <c r="B2" s="57" t="s">
        <v>176</v>
      </c>
      <c r="C2" s="79" t="s">
        <v>248</v>
      </c>
    </row>
    <row r="3" spans="1:24">
      <c r="B3" s="57" t="s">
        <v>178</v>
      </c>
      <c r="C3" s="79" t="s">
        <v>249</v>
      </c>
    </row>
    <row r="4" spans="1:24">
      <c r="B4" s="57" t="s">
        <v>179</v>
      </c>
      <c r="C4" s="79">
        <v>2144</v>
      </c>
    </row>
    <row r="6" spans="1:24" ht="26.25" customHeight="1">
      <c r="B6" s="193" t="s">
        <v>193</v>
      </c>
      <c r="C6" s="194"/>
      <c r="D6" s="195"/>
    </row>
    <row r="7" spans="1:24" s="10" customFormat="1">
      <c r="B7" s="22"/>
      <c r="C7" s="23" t="s">
        <v>108</v>
      </c>
      <c r="D7" s="24" t="s">
        <v>106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X7" s="37"/>
    </row>
    <row r="8" spans="1:24" s="10" customFormat="1">
      <c r="B8" s="22"/>
      <c r="C8" s="25" t="s">
        <v>234</v>
      </c>
      <c r="D8" s="26" t="s">
        <v>20</v>
      </c>
      <c r="X8" s="37"/>
    </row>
    <row r="9" spans="1:24" s="11" customFormat="1" ht="18" customHeight="1">
      <c r="B9" s="36"/>
      <c r="C9" s="19" t="s">
        <v>1</v>
      </c>
      <c r="D9" s="27" t="s">
        <v>2</v>
      </c>
      <c r="X9" s="37"/>
    </row>
    <row r="10" spans="1:24" s="11" customFormat="1" ht="18" customHeight="1">
      <c r="B10" s="68" t="s">
        <v>192</v>
      </c>
      <c r="C10" s="118">
        <f>C11+C12+C23+C33+C37</f>
        <v>209053.11307195798</v>
      </c>
      <c r="D10" s="119">
        <f>C10/$C$42</f>
        <v>1</v>
      </c>
      <c r="X10" s="67"/>
    </row>
    <row r="11" spans="1:24">
      <c r="A11" s="45" t="s">
        <v>139</v>
      </c>
      <c r="B11" s="28" t="s">
        <v>194</v>
      </c>
      <c r="C11" s="118">
        <f>מזומנים!J10</f>
        <v>5397.2208283079999</v>
      </c>
      <c r="D11" s="119">
        <f t="shared" ref="D11:D13" si="0">C11/$C$42</f>
        <v>2.5817462122413971E-2</v>
      </c>
    </row>
    <row r="12" spans="1:24">
      <c r="B12" s="28" t="s">
        <v>195</v>
      </c>
      <c r="C12" s="118">
        <f>C13+C15+C16+C17+C18+C22</f>
        <v>136706.78270364998</v>
      </c>
      <c r="D12" s="119">
        <f t="shared" si="0"/>
        <v>0.65393325502210653</v>
      </c>
    </row>
    <row r="13" spans="1:24">
      <c r="A13" s="55" t="s">
        <v>139</v>
      </c>
      <c r="B13" s="29" t="s">
        <v>65</v>
      </c>
      <c r="C13" s="118">
        <f>'תעודות התחייבות ממשלתיות'!O11</f>
        <v>62579.888963649995</v>
      </c>
      <c r="D13" s="119">
        <f t="shared" si="0"/>
        <v>0.29934923256612511</v>
      </c>
    </row>
    <row r="14" spans="1:24">
      <c r="A14" s="55" t="s">
        <v>139</v>
      </c>
      <c r="B14" s="29" t="s">
        <v>66</v>
      </c>
      <c r="C14" s="118" t="s" vm="2">
        <v>1019</v>
      </c>
      <c r="D14" s="119" t="s" vm="3">
        <v>1019</v>
      </c>
    </row>
    <row r="15" spans="1:24">
      <c r="A15" s="55" t="s">
        <v>139</v>
      </c>
      <c r="B15" s="29" t="s">
        <v>67</v>
      </c>
      <c r="C15" s="118">
        <f>'אג"ח קונצרני'!R11</f>
        <v>50138.189739999994</v>
      </c>
      <c r="D15" s="119">
        <f t="shared" ref="D15:D18" si="1">C15/$C$42</f>
        <v>0.23983469561030632</v>
      </c>
    </row>
    <row r="16" spans="1:24">
      <c r="A16" s="55" t="s">
        <v>139</v>
      </c>
      <c r="B16" s="29" t="s">
        <v>68</v>
      </c>
      <c r="C16" s="118">
        <f>מניות!L11</f>
        <v>4.2869999999999991E-2</v>
      </c>
      <c r="D16" s="119">
        <f t="shared" si="1"/>
        <v>2.0506750351640901E-7</v>
      </c>
    </row>
    <row r="17" spans="1:4">
      <c r="A17" s="55" t="s">
        <v>139</v>
      </c>
      <c r="B17" s="29" t="s">
        <v>69</v>
      </c>
      <c r="C17" s="118">
        <f>'תעודות סל'!K11</f>
        <v>18000.488029999993</v>
      </c>
      <c r="D17" s="119">
        <f t="shared" si="1"/>
        <v>8.6104855199185967E-2</v>
      </c>
    </row>
    <row r="18" spans="1:4">
      <c r="A18" s="55" t="s">
        <v>139</v>
      </c>
      <c r="B18" s="29" t="s">
        <v>70</v>
      </c>
      <c r="C18" s="118">
        <f>'קרנות נאמנות'!L11</f>
        <v>4478.6728299999995</v>
      </c>
      <c r="D18" s="119">
        <f t="shared" si="1"/>
        <v>2.1423612230344544E-2</v>
      </c>
    </row>
    <row r="19" spans="1:4">
      <c r="A19" s="55" t="s">
        <v>139</v>
      </c>
      <c r="B19" s="29" t="s">
        <v>71</v>
      </c>
      <c r="C19" s="118" t="s" vm="4">
        <v>1019</v>
      </c>
      <c r="D19" s="119" t="s" vm="5">
        <v>1019</v>
      </c>
    </row>
    <row r="20" spans="1:4">
      <c r="A20" s="55" t="s">
        <v>139</v>
      </c>
      <c r="B20" s="29" t="s">
        <v>72</v>
      </c>
      <c r="C20" s="118" t="s" vm="6">
        <v>1019</v>
      </c>
      <c r="D20" s="119" t="s" vm="7">
        <v>1019</v>
      </c>
    </row>
    <row r="21" spans="1:4">
      <c r="A21" s="55" t="s">
        <v>139</v>
      </c>
      <c r="B21" s="29" t="s">
        <v>73</v>
      </c>
      <c r="C21" s="118" t="s" vm="8">
        <v>1019</v>
      </c>
      <c r="D21" s="119" t="s" vm="9">
        <v>1019</v>
      </c>
    </row>
    <row r="22" spans="1:4">
      <c r="A22" s="55" t="s">
        <v>139</v>
      </c>
      <c r="B22" s="29" t="s">
        <v>74</v>
      </c>
      <c r="C22" s="135">
        <f>'מוצרים מובנים'!N11</f>
        <v>1509.5002699999998</v>
      </c>
      <c r="D22" s="119" t="s" vm="10">
        <v>1019</v>
      </c>
    </row>
    <row r="23" spans="1:4">
      <c r="B23" s="28" t="s">
        <v>196</v>
      </c>
      <c r="C23" s="118">
        <f>C24+C26+C31</f>
        <v>61253.223539999999</v>
      </c>
      <c r="D23" s="119">
        <f t="shared" ref="D23:D24" si="2">C23/$C$42</f>
        <v>0.29300316383672353</v>
      </c>
    </row>
    <row r="24" spans="1:4">
      <c r="A24" s="55" t="s">
        <v>139</v>
      </c>
      <c r="B24" s="29" t="s">
        <v>75</v>
      </c>
      <c r="C24" s="118">
        <f>'לא סחיר- תעודות התחייבות ממשלתי'!M11</f>
        <v>59058.356540000001</v>
      </c>
      <c r="D24" s="119">
        <f t="shared" si="2"/>
        <v>0.28250407598413318</v>
      </c>
    </row>
    <row r="25" spans="1:4">
      <c r="A25" s="55" t="s">
        <v>139</v>
      </c>
      <c r="B25" s="29" t="s">
        <v>76</v>
      </c>
      <c r="C25" s="118" t="s" vm="11">
        <v>1019</v>
      </c>
      <c r="D25" s="119" t="s" vm="12">
        <v>1019</v>
      </c>
    </row>
    <row r="26" spans="1:4">
      <c r="A26" s="55" t="s">
        <v>139</v>
      </c>
      <c r="B26" s="29" t="s">
        <v>67</v>
      </c>
      <c r="C26" s="118">
        <f>'לא סחיר - אג"ח קונצרני'!P11</f>
        <v>2523.3319200000001</v>
      </c>
      <c r="D26" s="119">
        <f>C26/$C$42</f>
        <v>1.2070291051496785E-2</v>
      </c>
    </row>
    <row r="27" spans="1:4">
      <c r="A27" s="55" t="s">
        <v>139</v>
      </c>
      <c r="B27" s="29" t="s">
        <v>77</v>
      </c>
      <c r="C27" s="118" t="s" vm="13">
        <v>1019</v>
      </c>
      <c r="D27" s="119" t="s" vm="14">
        <v>1019</v>
      </c>
    </row>
    <row r="28" spans="1:4">
      <c r="A28" s="55" t="s">
        <v>139</v>
      </c>
      <c r="B28" s="29" t="s">
        <v>78</v>
      </c>
      <c r="C28" s="118" t="s" vm="15">
        <v>1019</v>
      </c>
      <c r="D28" s="119" t="s" vm="16">
        <v>1019</v>
      </c>
    </row>
    <row r="29" spans="1:4">
      <c r="A29" s="55" t="s">
        <v>139</v>
      </c>
      <c r="B29" s="29" t="s">
        <v>79</v>
      </c>
      <c r="C29" s="118" t="s" vm="17">
        <v>1019</v>
      </c>
      <c r="D29" s="119" t="s" vm="18">
        <v>1019</v>
      </c>
    </row>
    <row r="30" spans="1:4">
      <c r="A30" s="55" t="s">
        <v>139</v>
      </c>
      <c r="B30" s="29" t="s">
        <v>219</v>
      </c>
      <c r="C30" s="118" t="s" vm="19">
        <v>1019</v>
      </c>
      <c r="D30" s="119" t="s" vm="20">
        <v>1019</v>
      </c>
    </row>
    <row r="31" spans="1:4">
      <c r="A31" s="55" t="s">
        <v>139</v>
      </c>
      <c r="B31" s="29" t="s">
        <v>102</v>
      </c>
      <c r="C31" s="118">
        <f>'לא סחיר - חוזים עתידיים'!I11</f>
        <v>-328.46491999999995</v>
      </c>
      <c r="D31" s="119">
        <f>C31/$C$42</f>
        <v>-1.5712031989063915E-3</v>
      </c>
    </row>
    <row r="32" spans="1:4">
      <c r="A32" s="55" t="s">
        <v>139</v>
      </c>
      <c r="B32" s="29" t="s">
        <v>80</v>
      </c>
      <c r="C32" s="118" t="s" vm="21">
        <v>1019</v>
      </c>
      <c r="D32" s="119" t="s" vm="22">
        <v>1019</v>
      </c>
    </row>
    <row r="33" spans="1:4">
      <c r="A33" s="55" t="s">
        <v>139</v>
      </c>
      <c r="B33" s="28" t="s">
        <v>197</v>
      </c>
      <c r="C33" s="118">
        <f>הלוואות!O10</f>
        <v>5514.5359999999982</v>
      </c>
      <c r="D33" s="119">
        <f>C33/$C$42</f>
        <v>2.6378636122495077E-2</v>
      </c>
    </row>
    <row r="34" spans="1:4">
      <c r="A34" s="55" t="s">
        <v>139</v>
      </c>
      <c r="B34" s="28" t="s">
        <v>198</v>
      </c>
      <c r="C34" s="118" t="s" vm="23">
        <v>1019</v>
      </c>
      <c r="D34" s="119" t="s" vm="24">
        <v>1019</v>
      </c>
    </row>
    <row r="35" spans="1:4">
      <c r="A35" s="55" t="s">
        <v>139</v>
      </c>
      <c r="B35" s="28" t="s">
        <v>199</v>
      </c>
      <c r="C35" s="118" t="s" vm="25">
        <v>1019</v>
      </c>
      <c r="D35" s="119" t="s" vm="26">
        <v>1019</v>
      </c>
    </row>
    <row r="36" spans="1:4">
      <c r="A36" s="55" t="s">
        <v>139</v>
      </c>
      <c r="B36" s="56" t="s">
        <v>200</v>
      </c>
      <c r="C36" s="118" t="s" vm="27">
        <v>1019</v>
      </c>
      <c r="D36" s="119" t="s" vm="28">
        <v>1019</v>
      </c>
    </row>
    <row r="37" spans="1:4">
      <c r="A37" s="55" t="s">
        <v>139</v>
      </c>
      <c r="B37" s="28" t="s">
        <v>201</v>
      </c>
      <c r="C37" s="118">
        <f>'השקעות אחרות '!I10</f>
        <v>181.34999999999997</v>
      </c>
      <c r="D37" s="119">
        <f>C37/$C$42</f>
        <v>8.674828962608065E-4</v>
      </c>
    </row>
    <row r="38" spans="1:4">
      <c r="A38" s="55"/>
      <c r="B38" s="69" t="s">
        <v>203</v>
      </c>
      <c r="C38" s="118">
        <v>0</v>
      </c>
      <c r="D38" s="119">
        <f>C38/$C$42</f>
        <v>0</v>
      </c>
    </row>
    <row r="39" spans="1:4">
      <c r="A39" s="55" t="s">
        <v>139</v>
      </c>
      <c r="B39" s="70" t="s">
        <v>204</v>
      </c>
      <c r="C39" s="118" t="s" vm="29">
        <v>1019</v>
      </c>
      <c r="D39" s="119" t="s" vm="30">
        <v>1019</v>
      </c>
    </row>
    <row r="40" spans="1:4">
      <c r="A40" s="55" t="s">
        <v>139</v>
      </c>
      <c r="B40" s="70" t="s">
        <v>232</v>
      </c>
      <c r="C40" s="118" t="s" vm="31">
        <v>1019</v>
      </c>
      <c r="D40" s="119" t="s" vm="32">
        <v>1019</v>
      </c>
    </row>
    <row r="41" spans="1:4">
      <c r="A41" s="55" t="s">
        <v>139</v>
      </c>
      <c r="B41" s="70" t="s">
        <v>205</v>
      </c>
      <c r="C41" s="118" t="s" vm="33">
        <v>1019</v>
      </c>
      <c r="D41" s="119" t="s" vm="34">
        <v>1019</v>
      </c>
    </row>
    <row r="42" spans="1:4">
      <c r="B42" s="70" t="s">
        <v>81</v>
      </c>
      <c r="C42" s="118">
        <f>C38+C10</f>
        <v>209053.11307195798</v>
      </c>
      <c r="D42" s="119">
        <f>C42/$C$42</f>
        <v>1</v>
      </c>
    </row>
    <row r="43" spans="1:4">
      <c r="A43" s="55" t="s">
        <v>139</v>
      </c>
      <c r="B43" s="70" t="s">
        <v>202</v>
      </c>
      <c r="C43" s="135">
        <f>'יתרת התחייבות להשקעה'!C10</f>
        <v>1310.205725812712</v>
      </c>
      <c r="D43" s="119"/>
    </row>
    <row r="44" spans="1:4">
      <c r="B44" s="6" t="s">
        <v>107</v>
      </c>
    </row>
    <row r="45" spans="1:4">
      <c r="C45" s="76" t="s">
        <v>184</v>
      </c>
      <c r="D45" s="35" t="s">
        <v>101</v>
      </c>
    </row>
    <row r="46" spans="1:4">
      <c r="C46" s="77" t="s">
        <v>1</v>
      </c>
      <c r="D46" s="24" t="s">
        <v>2</v>
      </c>
    </row>
    <row r="47" spans="1:4">
      <c r="C47" s="120" t="s">
        <v>165</v>
      </c>
      <c r="D47" s="121" vm="35">
        <v>2.6166</v>
      </c>
    </row>
    <row r="48" spans="1:4">
      <c r="C48" s="120" t="s">
        <v>174</v>
      </c>
      <c r="D48" s="121">
        <v>0.89746127579551627</v>
      </c>
    </row>
    <row r="49" spans="2:4">
      <c r="C49" s="120" t="s">
        <v>170</v>
      </c>
      <c r="D49" s="121" vm="36">
        <v>2.7869000000000002</v>
      </c>
    </row>
    <row r="50" spans="2:4">
      <c r="B50" s="12"/>
      <c r="C50" s="120" t="s">
        <v>1020</v>
      </c>
      <c r="D50" s="121" vm="37">
        <v>3.7168999999999999</v>
      </c>
    </row>
    <row r="51" spans="2:4">
      <c r="C51" s="120" t="s">
        <v>163</v>
      </c>
      <c r="D51" s="121" vm="38">
        <v>4.2156000000000002</v>
      </c>
    </row>
    <row r="52" spans="2:4">
      <c r="C52" s="120" t="s">
        <v>164</v>
      </c>
      <c r="D52" s="121" vm="39">
        <v>4.7385000000000002</v>
      </c>
    </row>
    <row r="53" spans="2:4">
      <c r="C53" s="120" t="s">
        <v>166</v>
      </c>
      <c r="D53" s="121">
        <v>0.46333673990802243</v>
      </c>
    </row>
    <row r="54" spans="2:4">
      <c r="C54" s="120" t="s">
        <v>171</v>
      </c>
      <c r="D54" s="121" vm="40">
        <v>3.1962000000000002</v>
      </c>
    </row>
    <row r="55" spans="2:4">
      <c r="C55" s="120" t="s">
        <v>172</v>
      </c>
      <c r="D55" s="121">
        <v>0.19397900298964052</v>
      </c>
    </row>
    <row r="56" spans="2:4">
      <c r="C56" s="120" t="s">
        <v>169</v>
      </c>
      <c r="D56" s="121" vm="41">
        <v>0.56530000000000002</v>
      </c>
    </row>
    <row r="57" spans="2:4">
      <c r="C57" s="120" t="s">
        <v>1021</v>
      </c>
      <c r="D57" s="121">
        <v>2.4036128999999997</v>
      </c>
    </row>
    <row r="58" spans="2:4">
      <c r="C58" s="120" t="s">
        <v>168</v>
      </c>
      <c r="D58" s="121" vm="42">
        <v>0.40939999999999999</v>
      </c>
    </row>
    <row r="59" spans="2:4">
      <c r="C59" s="120" t="s">
        <v>161</v>
      </c>
      <c r="D59" s="121" vm="43">
        <v>3.6269999999999998</v>
      </c>
    </row>
    <row r="60" spans="2:4">
      <c r="C60" s="120" t="s">
        <v>175</v>
      </c>
      <c r="D60" s="121" vm="44">
        <v>0.25629999999999997</v>
      </c>
    </row>
    <row r="61" spans="2:4">
      <c r="C61" s="120" t="s">
        <v>1022</v>
      </c>
      <c r="D61" s="121" vm="45">
        <v>0.4446</v>
      </c>
    </row>
    <row r="62" spans="2:4">
      <c r="C62" s="120" t="s">
        <v>1023</v>
      </c>
      <c r="D62" s="121">
        <v>5.5312821685920159E-2</v>
      </c>
    </row>
    <row r="63" spans="2:4">
      <c r="C63" s="120" t="s">
        <v>162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177</v>
      </c>
      <c r="C1" s="79" t="s" vm="1">
        <v>247</v>
      </c>
    </row>
    <row r="2" spans="2:60">
      <c r="B2" s="57" t="s">
        <v>176</v>
      </c>
      <c r="C2" s="79" t="s">
        <v>248</v>
      </c>
    </row>
    <row r="3" spans="2:60">
      <c r="B3" s="57" t="s">
        <v>178</v>
      </c>
      <c r="C3" s="79" t="s">
        <v>249</v>
      </c>
    </row>
    <row r="4" spans="2:60">
      <c r="B4" s="57" t="s">
        <v>179</v>
      </c>
      <c r="C4" s="79">
        <v>2144</v>
      </c>
    </row>
    <row r="6" spans="2:60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60" ht="26.25" customHeight="1">
      <c r="B7" s="207" t="s">
        <v>90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  <c r="BH7" s="3"/>
    </row>
    <row r="8" spans="2:60" s="3" customFormat="1" ht="78.75">
      <c r="B8" s="22" t="s">
        <v>114</v>
      </c>
      <c r="C8" s="30" t="s">
        <v>44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56</v>
      </c>
      <c r="K8" s="30" t="s">
        <v>180</v>
      </c>
      <c r="L8" s="30" t="s">
        <v>182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238</v>
      </c>
      <c r="H9" s="16"/>
      <c r="I9" s="16" t="s">
        <v>234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C11" s="1"/>
      <c r="BD11" s="3"/>
      <c r="BE11" s="1"/>
      <c r="BG11" s="1"/>
    </row>
    <row r="12" spans="2:60" s="4" customFormat="1" ht="18" customHeight="1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C12" s="1"/>
      <c r="BD12" s="3"/>
      <c r="BE12" s="1"/>
      <c r="BG12" s="1"/>
    </row>
    <row r="13" spans="2:60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D13" s="3"/>
    </row>
    <row r="14" spans="2:60" ht="20.25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BD14" s="4"/>
    </row>
    <row r="15" spans="2:60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177</v>
      </c>
      <c r="C1" s="79" t="s" vm="1">
        <v>247</v>
      </c>
    </row>
    <row r="2" spans="2:61">
      <c r="B2" s="57" t="s">
        <v>176</v>
      </c>
      <c r="C2" s="79" t="s">
        <v>248</v>
      </c>
    </row>
    <row r="3" spans="2:61">
      <c r="B3" s="57" t="s">
        <v>178</v>
      </c>
      <c r="C3" s="79" t="s">
        <v>249</v>
      </c>
    </row>
    <row r="4" spans="2:61">
      <c r="B4" s="57" t="s">
        <v>179</v>
      </c>
      <c r="C4" s="79">
        <v>2144</v>
      </c>
    </row>
    <row r="6" spans="2:61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61" ht="26.25" customHeight="1">
      <c r="B7" s="207" t="s">
        <v>91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  <c r="BI7" s="3"/>
    </row>
    <row r="8" spans="2:61" s="3" customFormat="1" ht="78.75">
      <c r="B8" s="22" t="s">
        <v>114</v>
      </c>
      <c r="C8" s="30" t="s">
        <v>44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56</v>
      </c>
      <c r="K8" s="30" t="s">
        <v>180</v>
      </c>
      <c r="L8" s="31" t="s">
        <v>182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238</v>
      </c>
      <c r="H9" s="16"/>
      <c r="I9" s="16" t="s">
        <v>234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177</v>
      </c>
      <c r="C1" s="79" t="s" vm="1">
        <v>247</v>
      </c>
    </row>
    <row r="2" spans="1:60">
      <c r="B2" s="57" t="s">
        <v>176</v>
      </c>
      <c r="C2" s="79" t="s">
        <v>248</v>
      </c>
    </row>
    <row r="3" spans="1:60">
      <c r="B3" s="57" t="s">
        <v>178</v>
      </c>
      <c r="C3" s="79" t="s">
        <v>249</v>
      </c>
    </row>
    <row r="4" spans="1:60">
      <c r="B4" s="57" t="s">
        <v>179</v>
      </c>
      <c r="C4" s="79">
        <v>2144</v>
      </c>
    </row>
    <row r="6" spans="1:60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9"/>
      <c r="BD6" s="1" t="s">
        <v>118</v>
      </c>
      <c r="BF6" s="1" t="s">
        <v>185</v>
      </c>
      <c r="BH6" s="3" t="s">
        <v>162</v>
      </c>
    </row>
    <row r="7" spans="1:60" ht="26.25" customHeight="1">
      <c r="B7" s="207" t="s">
        <v>92</v>
      </c>
      <c r="C7" s="208"/>
      <c r="D7" s="208"/>
      <c r="E7" s="208"/>
      <c r="F7" s="208"/>
      <c r="G7" s="208"/>
      <c r="H7" s="208"/>
      <c r="I7" s="208"/>
      <c r="J7" s="208"/>
      <c r="K7" s="209"/>
      <c r="BD7" s="3" t="s">
        <v>120</v>
      </c>
      <c r="BF7" s="1" t="s">
        <v>140</v>
      </c>
      <c r="BH7" s="3" t="s">
        <v>161</v>
      </c>
    </row>
    <row r="8" spans="1:60" s="3" customFormat="1" ht="78.75">
      <c r="A8" s="2"/>
      <c r="B8" s="22" t="s">
        <v>114</v>
      </c>
      <c r="C8" s="30" t="s">
        <v>44</v>
      </c>
      <c r="D8" s="30" t="s">
        <v>117</v>
      </c>
      <c r="E8" s="30" t="s">
        <v>60</v>
      </c>
      <c r="F8" s="30" t="s">
        <v>99</v>
      </c>
      <c r="G8" s="30" t="s">
        <v>231</v>
      </c>
      <c r="H8" s="30" t="s">
        <v>230</v>
      </c>
      <c r="I8" s="30" t="s">
        <v>59</v>
      </c>
      <c r="J8" s="30" t="s">
        <v>180</v>
      </c>
      <c r="K8" s="30" t="s">
        <v>182</v>
      </c>
      <c r="BC8" s="1" t="s">
        <v>133</v>
      </c>
      <c r="BD8" s="1" t="s">
        <v>134</v>
      </c>
      <c r="BE8" s="1" t="s">
        <v>141</v>
      </c>
      <c r="BG8" s="4" t="s">
        <v>163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238</v>
      </c>
      <c r="H9" s="16"/>
      <c r="I9" s="16" t="s">
        <v>234</v>
      </c>
      <c r="J9" s="32" t="s">
        <v>20</v>
      </c>
      <c r="K9" s="58" t="s">
        <v>20</v>
      </c>
      <c r="BC9" s="1" t="s">
        <v>130</v>
      </c>
      <c r="BE9" s="1" t="s">
        <v>142</v>
      </c>
      <c r="BG9" s="4" t="s">
        <v>164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126</v>
      </c>
      <c r="BD10" s="3"/>
      <c r="BE10" s="1" t="s">
        <v>186</v>
      </c>
      <c r="BG10" s="1" t="s">
        <v>170</v>
      </c>
    </row>
    <row r="11" spans="1:60" s="4" customFormat="1" ht="18" customHeight="1">
      <c r="A11" s="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3"/>
      <c r="M11" s="3"/>
      <c r="N11" s="3"/>
      <c r="O11" s="3"/>
      <c r="BC11" s="1" t="s">
        <v>125</v>
      </c>
      <c r="BD11" s="3"/>
      <c r="BE11" s="1" t="s">
        <v>143</v>
      </c>
      <c r="BG11" s="1" t="s">
        <v>165</v>
      </c>
    </row>
    <row r="12" spans="1:60" ht="20.25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P12" s="1"/>
      <c r="BC12" s="1" t="s">
        <v>123</v>
      </c>
      <c r="BD12" s="4"/>
      <c r="BE12" s="1" t="s">
        <v>144</v>
      </c>
      <c r="BG12" s="1" t="s">
        <v>166</v>
      </c>
    </row>
    <row r="13" spans="1:60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P13" s="1"/>
      <c r="BC13" s="1" t="s">
        <v>127</v>
      </c>
      <c r="BE13" s="1" t="s">
        <v>145</v>
      </c>
      <c r="BG13" s="1" t="s">
        <v>167</v>
      </c>
    </row>
    <row r="14" spans="1:60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P14" s="1"/>
      <c r="BC14" s="1" t="s">
        <v>124</v>
      </c>
      <c r="BE14" s="1" t="s">
        <v>146</v>
      </c>
      <c r="BG14" s="1" t="s">
        <v>169</v>
      </c>
    </row>
    <row r="15" spans="1:60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P15" s="1"/>
      <c r="BC15" s="1" t="s">
        <v>135</v>
      </c>
      <c r="BE15" s="1" t="s">
        <v>187</v>
      </c>
      <c r="BG15" s="1" t="s">
        <v>171</v>
      </c>
    </row>
    <row r="16" spans="1:60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P16" s="1"/>
      <c r="BC16" s="4" t="s">
        <v>121</v>
      </c>
      <c r="BD16" s="1" t="s">
        <v>136</v>
      </c>
      <c r="BE16" s="1" t="s">
        <v>147</v>
      </c>
      <c r="BG16" s="1" t="s">
        <v>172</v>
      </c>
    </row>
    <row r="17" spans="2:6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P17" s="1"/>
      <c r="BC17" s="1" t="s">
        <v>131</v>
      </c>
      <c r="BE17" s="1" t="s">
        <v>148</v>
      </c>
      <c r="BG17" s="1" t="s">
        <v>173</v>
      </c>
    </row>
    <row r="18" spans="2:6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BD18" s="1" t="s">
        <v>119</v>
      </c>
      <c r="BF18" s="1" t="s">
        <v>149</v>
      </c>
      <c r="BH18" s="1" t="s">
        <v>27</v>
      </c>
    </row>
    <row r="19" spans="2:6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BD19" s="1" t="s">
        <v>132</v>
      </c>
      <c r="BF19" s="1" t="s">
        <v>150</v>
      </c>
    </row>
    <row r="20" spans="2:6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BD20" s="1" t="s">
        <v>137</v>
      </c>
      <c r="BF20" s="1" t="s">
        <v>151</v>
      </c>
    </row>
    <row r="21" spans="2:6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BD21" s="1" t="s">
        <v>122</v>
      </c>
      <c r="BE21" s="1" t="s">
        <v>138</v>
      </c>
      <c r="BF21" s="1" t="s">
        <v>152</v>
      </c>
    </row>
    <row r="22" spans="2:6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BD22" s="1" t="s">
        <v>128</v>
      </c>
      <c r="BF22" s="1" t="s">
        <v>153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BD23" s="1" t="s">
        <v>27</v>
      </c>
      <c r="BE23" s="1" t="s">
        <v>129</v>
      </c>
      <c r="BF23" s="1" t="s">
        <v>188</v>
      </c>
    </row>
    <row r="24" spans="2:6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191</v>
      </c>
    </row>
    <row r="25" spans="2:6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154</v>
      </c>
    </row>
    <row r="26" spans="2:6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155</v>
      </c>
    </row>
    <row r="27" spans="2:6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190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156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157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189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27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X113"/>
  <sheetViews>
    <sheetView rightToLeft="1" workbookViewId="0">
      <selection activeCell="A11" sqref="A11:XFD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10.140625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76">
      <c r="B1" s="57" t="s">
        <v>177</v>
      </c>
      <c r="C1" s="79" t="s" vm="1">
        <v>247</v>
      </c>
    </row>
    <row r="2" spans="2:76">
      <c r="B2" s="57" t="s">
        <v>176</v>
      </c>
      <c r="C2" s="79" t="s">
        <v>248</v>
      </c>
    </row>
    <row r="3" spans="2:76">
      <c r="B3" s="57" t="s">
        <v>178</v>
      </c>
      <c r="C3" s="79" t="s">
        <v>249</v>
      </c>
      <c r="E3" s="2"/>
    </row>
    <row r="4" spans="2:76">
      <c r="B4" s="57" t="s">
        <v>179</v>
      </c>
      <c r="C4" s="79">
        <v>2144</v>
      </c>
    </row>
    <row r="6" spans="2:76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2:76" ht="26.25" customHeight="1">
      <c r="B7" s="207" t="s">
        <v>93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2:76" s="3" customFormat="1" ht="47.25">
      <c r="B8" s="22" t="s">
        <v>114</v>
      </c>
      <c r="C8" s="30" t="s">
        <v>44</v>
      </c>
      <c r="D8" s="13" t="s">
        <v>48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59</v>
      </c>
      <c r="O8" s="30" t="s">
        <v>56</v>
      </c>
      <c r="P8" s="30" t="s">
        <v>180</v>
      </c>
      <c r="Q8" s="31" t="s">
        <v>182</v>
      </c>
      <c r="R8" s="1"/>
      <c r="S8" s="1"/>
    </row>
    <row r="9" spans="2:76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238</v>
      </c>
      <c r="M9" s="32"/>
      <c r="N9" s="32" t="s">
        <v>234</v>
      </c>
      <c r="O9" s="32" t="s">
        <v>20</v>
      </c>
      <c r="P9" s="32" t="s">
        <v>20</v>
      </c>
      <c r="Q9" s="33" t="s">
        <v>20</v>
      </c>
      <c r="R9" s="1"/>
      <c r="S9" s="1"/>
    </row>
    <row r="10" spans="2:7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1"/>
      <c r="S10" s="1"/>
    </row>
    <row r="11" spans="2:76" s="136" customFormat="1" ht="18" customHeight="1">
      <c r="B11" s="122" t="s">
        <v>1085</v>
      </c>
      <c r="C11" s="122"/>
      <c r="D11" s="122"/>
      <c r="E11" s="122"/>
      <c r="F11" s="122"/>
      <c r="G11" s="122"/>
      <c r="H11" s="124">
        <v>4.03</v>
      </c>
      <c r="I11" s="122"/>
      <c r="J11" s="122"/>
      <c r="K11" s="142">
        <v>3.5000000000000005E-3</v>
      </c>
      <c r="L11" s="122"/>
      <c r="M11" s="122"/>
      <c r="N11" s="124">
        <f>N12</f>
        <v>1509.5002699999998</v>
      </c>
      <c r="O11" s="122"/>
      <c r="P11" s="125">
        <f>N11/$N$11</f>
        <v>1</v>
      </c>
      <c r="Q11" s="125">
        <f>N11/'סכום נכסי הקרן'!$C$42</f>
        <v>7.2206543486411324E-3</v>
      </c>
      <c r="R11" s="137"/>
      <c r="S11" s="137"/>
      <c r="BX11" s="137"/>
    </row>
    <row r="12" spans="2:76" s="137" customFormat="1" ht="21.75" customHeight="1">
      <c r="B12" s="122" t="s">
        <v>228</v>
      </c>
      <c r="C12" s="122"/>
      <c r="D12" s="122"/>
      <c r="E12" s="122"/>
      <c r="F12" s="122"/>
      <c r="G12" s="122"/>
      <c r="H12" s="124">
        <v>4.03</v>
      </c>
      <c r="I12" s="122"/>
      <c r="J12" s="122"/>
      <c r="K12" s="142">
        <v>3.5000000000000005E-3</v>
      </c>
      <c r="L12" s="122"/>
      <c r="M12" s="122"/>
      <c r="N12" s="124">
        <f>N13</f>
        <v>1509.5002699999998</v>
      </c>
      <c r="O12" s="122"/>
      <c r="P12" s="125">
        <f t="shared" ref="P12:P13" si="0">N12/$N$11</f>
        <v>1</v>
      </c>
      <c r="Q12" s="125">
        <f>N12/'סכום נכסי הקרן'!$C$42</f>
        <v>7.2206543486411324E-3</v>
      </c>
    </row>
    <row r="13" spans="2:76" s="137" customFormat="1">
      <c r="B13" s="143" t="s">
        <v>303</v>
      </c>
      <c r="C13" s="85" t="s">
        <v>304</v>
      </c>
      <c r="D13" s="102" t="s">
        <v>1086</v>
      </c>
      <c r="E13" s="102" t="s">
        <v>306</v>
      </c>
      <c r="F13" s="102" t="s">
        <v>307</v>
      </c>
      <c r="G13" s="102"/>
      <c r="H13" s="95">
        <v>4.03</v>
      </c>
      <c r="I13" s="98" t="s">
        <v>162</v>
      </c>
      <c r="J13" s="99">
        <v>6.1999999999999998E-3</v>
      </c>
      <c r="K13" s="99">
        <v>3.5000000000000005E-3</v>
      </c>
      <c r="L13" s="95">
        <v>1468956.9999999998</v>
      </c>
      <c r="M13" s="97">
        <v>102.76</v>
      </c>
      <c r="N13" s="95">
        <v>1509.5002699999998</v>
      </c>
      <c r="O13" s="96">
        <v>3.5931280942410422E-4</v>
      </c>
      <c r="P13" s="96">
        <f t="shared" si="0"/>
        <v>1</v>
      </c>
      <c r="Q13" s="96">
        <f>N13/'סכום נכסי הקרן'!$C$42</f>
        <v>7.2206543486411324E-3</v>
      </c>
    </row>
    <row r="14" spans="2:76" s="137" customFormat="1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6">
      <c r="B15" s="100" t="s">
        <v>246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6">
      <c r="B16" s="100" t="s">
        <v>110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0" t="s">
        <v>229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0" t="s">
        <v>237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</sheetData>
  <sheetProtection sheet="1" objects="1" scenarios="1"/>
  <mergeCells count="2">
    <mergeCell ref="B6:Q6"/>
    <mergeCell ref="B7:Q7"/>
  </mergeCells>
  <phoneticPr fontId="5" type="noConversion"/>
  <conditionalFormatting sqref="B13">
    <cfRule type="cellIs" dxfId="75" priority="2" operator="equal">
      <formula>"NR3"</formula>
    </cfRule>
  </conditionalFormatting>
  <conditionalFormatting sqref="B13">
    <cfRule type="containsText" dxfId="74" priority="1" operator="containsText" text="הפרשה ">
      <formula>NOT(ISERROR(SEARCH("הפרשה ",B13)))</formula>
    </cfRule>
  </conditionalFormatting>
  <dataValidations count="2">
    <dataValidation allowBlank="1" showInputMessage="1" showErrorMessage="1" sqref="AC37:XFD40 O11:O12 D11:G13 Q12:Q13 P11:Q11 I11:J12 B14:Q1048576 A1:A1048576 B1:B12 C5:C12 L11:M12 R11:XFD36 D1:XFD10 R41:XFD1048576 R37:AA40"/>
    <dataValidation type="list" allowBlank="1" showInputMessage="1" showErrorMessage="1" sqref="I13">
      <formula1>$BI$7:$BI$20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89"/>
  <sheetViews>
    <sheetView rightToLeft="1" topLeftCell="A73" workbookViewId="0">
      <selection activeCell="F23" sqref="F23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177</v>
      </c>
      <c r="C1" s="79" t="s" vm="1">
        <v>247</v>
      </c>
    </row>
    <row r="2" spans="2:72">
      <c r="B2" s="57" t="s">
        <v>176</v>
      </c>
      <c r="C2" s="79" t="s">
        <v>248</v>
      </c>
    </row>
    <row r="3" spans="2:72">
      <c r="B3" s="57" t="s">
        <v>178</v>
      </c>
      <c r="C3" s="79" t="s">
        <v>249</v>
      </c>
    </row>
    <row r="4" spans="2:72">
      <c r="B4" s="57" t="s">
        <v>179</v>
      </c>
      <c r="C4" s="79">
        <v>2144</v>
      </c>
    </row>
    <row r="6" spans="2:72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72" ht="26.25" customHeight="1">
      <c r="B7" s="207" t="s">
        <v>84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</row>
    <row r="8" spans="2:72" s="3" customFormat="1" ht="78.75">
      <c r="B8" s="22" t="s">
        <v>114</v>
      </c>
      <c r="C8" s="30" t="s">
        <v>44</v>
      </c>
      <c r="D8" s="30" t="s">
        <v>15</v>
      </c>
      <c r="E8" s="30" t="s">
        <v>61</v>
      </c>
      <c r="F8" s="30" t="s">
        <v>100</v>
      </c>
      <c r="G8" s="30" t="s">
        <v>18</v>
      </c>
      <c r="H8" s="30" t="s">
        <v>99</v>
      </c>
      <c r="I8" s="30" t="s">
        <v>17</v>
      </c>
      <c r="J8" s="30" t="s">
        <v>19</v>
      </c>
      <c r="K8" s="30" t="s">
        <v>231</v>
      </c>
      <c r="L8" s="30" t="s">
        <v>230</v>
      </c>
      <c r="M8" s="30" t="s">
        <v>108</v>
      </c>
      <c r="N8" s="30" t="s">
        <v>56</v>
      </c>
      <c r="O8" s="30" t="s">
        <v>180</v>
      </c>
      <c r="P8" s="31" t="s">
        <v>182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238</v>
      </c>
      <c r="L9" s="32"/>
      <c r="M9" s="32" t="s">
        <v>234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0" t="s">
        <v>26</v>
      </c>
      <c r="C11" s="81"/>
      <c r="D11" s="81"/>
      <c r="E11" s="81"/>
      <c r="F11" s="81"/>
      <c r="G11" s="89">
        <v>8.3214201718793692</v>
      </c>
      <c r="H11" s="81"/>
      <c r="I11" s="81"/>
      <c r="J11" s="104">
        <v>4.8522681586950223E-2</v>
      </c>
      <c r="K11" s="89"/>
      <c r="L11" s="81"/>
      <c r="M11" s="89">
        <v>59058.356540000001</v>
      </c>
      <c r="N11" s="81"/>
      <c r="O11" s="90">
        <f>M11/$M$11</f>
        <v>1</v>
      </c>
      <c r="P11" s="90">
        <f>M11/'סכום נכסי הקרן'!$C$42</f>
        <v>0.28250407598413318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2" t="s">
        <v>228</v>
      </c>
      <c r="C12" s="83"/>
      <c r="D12" s="83"/>
      <c r="E12" s="83"/>
      <c r="F12" s="83"/>
      <c r="G12" s="92">
        <v>8.3214201718793728</v>
      </c>
      <c r="H12" s="83"/>
      <c r="I12" s="83"/>
      <c r="J12" s="105">
        <v>4.8522681586950236E-2</v>
      </c>
      <c r="K12" s="92"/>
      <c r="L12" s="83"/>
      <c r="M12" s="92">
        <v>59058.356539999986</v>
      </c>
      <c r="N12" s="83"/>
      <c r="O12" s="93">
        <f t="shared" ref="O12:O75" si="0">M12/$M$11</f>
        <v>0.99999999999999978</v>
      </c>
      <c r="P12" s="93">
        <f>M12/'סכום נכסי הקרן'!$C$42</f>
        <v>0.28250407598413307</v>
      </c>
    </row>
    <row r="13" spans="2:72">
      <c r="B13" s="103" t="s">
        <v>64</v>
      </c>
      <c r="C13" s="83"/>
      <c r="D13" s="83"/>
      <c r="E13" s="83"/>
      <c r="F13" s="83"/>
      <c r="G13" s="92">
        <v>8.3214201718793728</v>
      </c>
      <c r="H13" s="83"/>
      <c r="I13" s="83"/>
      <c r="J13" s="105">
        <v>4.8522681586950236E-2</v>
      </c>
      <c r="K13" s="92"/>
      <c r="L13" s="83"/>
      <c r="M13" s="92">
        <v>59058.356539999986</v>
      </c>
      <c r="N13" s="83"/>
      <c r="O13" s="93">
        <f t="shared" si="0"/>
        <v>0.99999999999999978</v>
      </c>
      <c r="P13" s="93">
        <f>M13/'סכום נכסי הקרן'!$C$42</f>
        <v>0.28250407598413307</v>
      </c>
    </row>
    <row r="14" spans="2:72">
      <c r="B14" s="88" t="s">
        <v>835</v>
      </c>
      <c r="C14" s="85" t="s">
        <v>836</v>
      </c>
      <c r="D14" s="85" t="s">
        <v>252</v>
      </c>
      <c r="E14" s="85"/>
      <c r="F14" s="107">
        <v>40148</v>
      </c>
      <c r="G14" s="95">
        <v>5.33</v>
      </c>
      <c r="H14" s="98" t="s">
        <v>162</v>
      </c>
      <c r="I14" s="99">
        <v>4.8000000000000001E-2</v>
      </c>
      <c r="J14" s="99">
        <v>4.8499999999999995E-2</v>
      </c>
      <c r="K14" s="95">
        <v>671999.99999999988</v>
      </c>
      <c r="L14" s="108">
        <v>110.5668</v>
      </c>
      <c r="M14" s="95">
        <v>742.9139899999999</v>
      </c>
      <c r="N14" s="85"/>
      <c r="O14" s="96">
        <f t="shared" si="0"/>
        <v>1.2579320413307253E-2</v>
      </c>
      <c r="P14" s="96">
        <f>M14/'סכום נכסי הקרן'!$C$42</f>
        <v>3.5537092898697098E-3</v>
      </c>
    </row>
    <row r="15" spans="2:72">
      <c r="B15" s="88" t="s">
        <v>837</v>
      </c>
      <c r="C15" s="85" t="s">
        <v>838</v>
      </c>
      <c r="D15" s="85" t="s">
        <v>252</v>
      </c>
      <c r="E15" s="85"/>
      <c r="F15" s="107">
        <v>40452</v>
      </c>
      <c r="G15" s="95">
        <v>5.8900000000000006</v>
      </c>
      <c r="H15" s="98" t="s">
        <v>162</v>
      </c>
      <c r="I15" s="99">
        <v>4.8000000000000001E-2</v>
      </c>
      <c r="J15" s="99">
        <v>4.8600000000000004E-2</v>
      </c>
      <c r="K15" s="95">
        <v>730999.99999999988</v>
      </c>
      <c r="L15" s="108">
        <v>109.32340000000001</v>
      </c>
      <c r="M15" s="95">
        <v>799.0342599999999</v>
      </c>
      <c r="N15" s="85"/>
      <c r="O15" s="96">
        <f t="shared" si="0"/>
        <v>1.3529571542662502E-2</v>
      </c>
      <c r="P15" s="96">
        <f>M15/'סכום נכסי הקרן'!$C$42</f>
        <v>3.8221591071210936E-3</v>
      </c>
    </row>
    <row r="16" spans="2:72">
      <c r="B16" s="88" t="s">
        <v>839</v>
      </c>
      <c r="C16" s="85" t="s">
        <v>840</v>
      </c>
      <c r="D16" s="85" t="s">
        <v>252</v>
      </c>
      <c r="E16" s="85"/>
      <c r="F16" s="107">
        <v>40909</v>
      </c>
      <c r="G16" s="95">
        <v>6.8400000000000007</v>
      </c>
      <c r="H16" s="98" t="s">
        <v>162</v>
      </c>
      <c r="I16" s="99">
        <v>4.8000000000000001E-2</v>
      </c>
      <c r="J16" s="99">
        <v>4.8500000000000008E-2</v>
      </c>
      <c r="K16" s="95">
        <v>592999.99999999988</v>
      </c>
      <c r="L16" s="108">
        <v>104.70310000000001</v>
      </c>
      <c r="M16" s="95">
        <v>620.91656999999987</v>
      </c>
      <c r="N16" s="85"/>
      <c r="O16" s="96">
        <f t="shared" si="0"/>
        <v>1.051361071281175E-2</v>
      </c>
      <c r="P16" s="96">
        <f>M16/'סכום נכסי הקרן'!$C$42</f>
        <v>2.9701378796797668E-3</v>
      </c>
    </row>
    <row r="17" spans="2:16">
      <c r="B17" s="88" t="s">
        <v>841</v>
      </c>
      <c r="C17" s="85">
        <v>8790</v>
      </c>
      <c r="D17" s="85" t="s">
        <v>252</v>
      </c>
      <c r="E17" s="85"/>
      <c r="F17" s="107">
        <v>41030</v>
      </c>
      <c r="G17" s="95">
        <v>7.0000000000000009</v>
      </c>
      <c r="H17" s="98" t="s">
        <v>162</v>
      </c>
      <c r="I17" s="99">
        <v>4.8000000000000001E-2</v>
      </c>
      <c r="J17" s="99">
        <v>4.8599999999999997E-2</v>
      </c>
      <c r="K17" s="95">
        <v>3483999.9999999995</v>
      </c>
      <c r="L17" s="108">
        <v>105.0804</v>
      </c>
      <c r="M17" s="95">
        <v>3661.1900599999994</v>
      </c>
      <c r="N17" s="85"/>
      <c r="O17" s="96">
        <f t="shared" si="0"/>
        <v>6.1992752160658068E-2</v>
      </c>
      <c r="P17" s="96">
        <f>M17/'סכום נכסי הקרן'!$C$42</f>
        <v>1.7513205166860082E-2</v>
      </c>
    </row>
    <row r="18" spans="2:16">
      <c r="B18" s="88" t="s">
        <v>842</v>
      </c>
      <c r="C18" s="85" t="s">
        <v>843</v>
      </c>
      <c r="D18" s="85" t="s">
        <v>252</v>
      </c>
      <c r="E18" s="85"/>
      <c r="F18" s="107">
        <v>41091</v>
      </c>
      <c r="G18" s="95">
        <v>7.169999999999999</v>
      </c>
      <c r="H18" s="98" t="s">
        <v>162</v>
      </c>
      <c r="I18" s="99">
        <v>4.8000000000000001E-2</v>
      </c>
      <c r="J18" s="99">
        <v>4.8499999999999995E-2</v>
      </c>
      <c r="K18" s="95">
        <v>742999.99999999988</v>
      </c>
      <c r="L18" s="108">
        <v>103.3579</v>
      </c>
      <c r="M18" s="95">
        <v>768.27324999999985</v>
      </c>
      <c r="N18" s="85"/>
      <c r="O18" s="96">
        <f t="shared" si="0"/>
        <v>1.300871366915961E-2</v>
      </c>
      <c r="P18" s="96">
        <f>M18/'סכום נכסי הקרן'!$C$42</f>
        <v>3.675014634848098E-3</v>
      </c>
    </row>
    <row r="19" spans="2:16">
      <c r="B19" s="88" t="s">
        <v>844</v>
      </c>
      <c r="C19" s="85">
        <v>8793</v>
      </c>
      <c r="D19" s="85" t="s">
        <v>252</v>
      </c>
      <c r="E19" s="85"/>
      <c r="F19" s="107">
        <v>41122</v>
      </c>
      <c r="G19" s="95">
        <v>7.25</v>
      </c>
      <c r="H19" s="98" t="s">
        <v>162</v>
      </c>
      <c r="I19" s="99">
        <v>4.8000000000000001E-2</v>
      </c>
      <c r="J19" s="99">
        <v>4.8500000000000008E-2</v>
      </c>
      <c r="K19" s="95">
        <v>2279999.9999999995</v>
      </c>
      <c r="L19" s="108">
        <v>103.2878</v>
      </c>
      <c r="M19" s="95">
        <v>2354.9626199999998</v>
      </c>
      <c r="N19" s="85"/>
      <c r="O19" s="96">
        <f t="shared" si="0"/>
        <v>3.9875180380358068E-2</v>
      </c>
      <c r="P19" s="96">
        <f>M19/'סכום נכסי הקרן'!$C$42</f>
        <v>1.1264900988053692E-2</v>
      </c>
    </row>
    <row r="20" spans="2:16">
      <c r="B20" s="88" t="s">
        <v>845</v>
      </c>
      <c r="C20" s="85" t="s">
        <v>846</v>
      </c>
      <c r="D20" s="85" t="s">
        <v>252</v>
      </c>
      <c r="E20" s="85"/>
      <c r="F20" s="107">
        <v>41154</v>
      </c>
      <c r="G20" s="95">
        <v>7.34</v>
      </c>
      <c r="H20" s="98" t="s">
        <v>162</v>
      </c>
      <c r="I20" s="99">
        <v>4.8000000000000001E-2</v>
      </c>
      <c r="J20" s="99">
        <v>4.8600000000000004E-2</v>
      </c>
      <c r="K20" s="95">
        <v>1822999.9999999998</v>
      </c>
      <c r="L20" s="108">
        <v>102.77330000000001</v>
      </c>
      <c r="M20" s="95">
        <v>1873.5574699999997</v>
      </c>
      <c r="N20" s="85"/>
      <c r="O20" s="96">
        <f t="shared" si="0"/>
        <v>3.1723833505780785E-2</v>
      </c>
      <c r="P20" s="96">
        <f>M20/'סכום נכסי הקרן'!$C$42</f>
        <v>8.9621122712250853E-3</v>
      </c>
    </row>
    <row r="21" spans="2:16">
      <c r="B21" s="88" t="s">
        <v>847</v>
      </c>
      <c r="C21" s="85" t="s">
        <v>848</v>
      </c>
      <c r="D21" s="85" t="s">
        <v>252</v>
      </c>
      <c r="E21" s="85"/>
      <c r="F21" s="107">
        <v>41184</v>
      </c>
      <c r="G21" s="95">
        <v>7.25</v>
      </c>
      <c r="H21" s="98" t="s">
        <v>162</v>
      </c>
      <c r="I21" s="99">
        <v>4.8000000000000001E-2</v>
      </c>
      <c r="J21" s="99">
        <v>4.8599999999999997E-2</v>
      </c>
      <c r="K21" s="95">
        <v>1918999.9999999998</v>
      </c>
      <c r="L21" s="108">
        <v>103.7303</v>
      </c>
      <c r="M21" s="95">
        <v>1990.5820999999996</v>
      </c>
      <c r="N21" s="85"/>
      <c r="O21" s="96">
        <f t="shared" si="0"/>
        <v>3.3705341912990516E-2</v>
      </c>
      <c r="P21" s="96">
        <f>M21/'סכום נכסי הקרן'!$C$42</f>
        <v>9.5218964728586621E-3</v>
      </c>
    </row>
    <row r="22" spans="2:16">
      <c r="B22" s="88" t="s">
        <v>849</v>
      </c>
      <c r="C22" s="85" t="s">
        <v>850</v>
      </c>
      <c r="D22" s="85" t="s">
        <v>252</v>
      </c>
      <c r="E22" s="85"/>
      <c r="F22" s="107">
        <v>41214</v>
      </c>
      <c r="G22" s="95">
        <v>7.3299999999999983</v>
      </c>
      <c r="H22" s="98" t="s">
        <v>162</v>
      </c>
      <c r="I22" s="99">
        <v>4.8000000000000001E-2</v>
      </c>
      <c r="J22" s="99">
        <v>4.8499999999999988E-2</v>
      </c>
      <c r="K22" s="95">
        <v>1335999.9999999998</v>
      </c>
      <c r="L22" s="108">
        <v>103.34</v>
      </c>
      <c r="M22" s="95">
        <v>1380.6228100000001</v>
      </c>
      <c r="N22" s="85"/>
      <c r="O22" s="96">
        <f t="shared" si="0"/>
        <v>2.3377264300690613E-2</v>
      </c>
      <c r="P22" s="96">
        <f>M22/'סכום נכסי הקרן'!$C$42</f>
        <v>6.6041724503034648E-3</v>
      </c>
    </row>
    <row r="23" spans="2:16">
      <c r="B23" s="88" t="s">
        <v>851</v>
      </c>
      <c r="C23" s="85" t="s">
        <v>852</v>
      </c>
      <c r="D23" s="85" t="s">
        <v>252</v>
      </c>
      <c r="E23" s="85"/>
      <c r="F23" s="107">
        <v>41245</v>
      </c>
      <c r="G23" s="95">
        <v>7.41</v>
      </c>
      <c r="H23" s="98" t="s">
        <v>162</v>
      </c>
      <c r="I23" s="99">
        <v>4.8000000000000001E-2</v>
      </c>
      <c r="J23" s="99">
        <v>4.8600000000000004E-2</v>
      </c>
      <c r="K23" s="95">
        <v>1909999.9999999998</v>
      </c>
      <c r="L23" s="108">
        <v>103.1133</v>
      </c>
      <c r="M23" s="95">
        <v>1969.4641299999996</v>
      </c>
      <c r="N23" s="85"/>
      <c r="O23" s="96">
        <f t="shared" si="0"/>
        <v>3.334776389630973E-2</v>
      </c>
      <c r="P23" s="96">
        <f>M23/'סכום נכסי הקרן'!$C$42</f>
        <v>9.420879225664017E-3</v>
      </c>
    </row>
    <row r="24" spans="2:16">
      <c r="B24" s="88" t="s">
        <v>853</v>
      </c>
      <c r="C24" s="85" t="s">
        <v>854</v>
      </c>
      <c r="D24" s="85" t="s">
        <v>252</v>
      </c>
      <c r="E24" s="85"/>
      <c r="F24" s="107">
        <v>41275</v>
      </c>
      <c r="G24" s="95">
        <v>7.4999999999999991</v>
      </c>
      <c r="H24" s="98" t="s">
        <v>162</v>
      </c>
      <c r="I24" s="99">
        <v>4.8000000000000001E-2</v>
      </c>
      <c r="J24" s="99">
        <v>4.8499999999999995E-2</v>
      </c>
      <c r="K24" s="95">
        <v>1306999.9999999998</v>
      </c>
      <c r="L24" s="108">
        <v>103.2026</v>
      </c>
      <c r="M24" s="95">
        <v>1348.8575299999998</v>
      </c>
      <c r="N24" s="85"/>
      <c r="O24" s="96">
        <f t="shared" si="0"/>
        <v>2.2839401721015107E-2</v>
      </c>
      <c r="P24" s="96">
        <f>M24/'סכום נכסי הקרן'!$C$42</f>
        <v>6.4522240792257938E-3</v>
      </c>
    </row>
    <row r="25" spans="2:16">
      <c r="B25" s="88" t="s">
        <v>855</v>
      </c>
      <c r="C25" s="85" t="s">
        <v>856</v>
      </c>
      <c r="D25" s="85" t="s">
        <v>252</v>
      </c>
      <c r="E25" s="85"/>
      <c r="F25" s="107">
        <v>41334</v>
      </c>
      <c r="G25" s="95">
        <v>7.66</v>
      </c>
      <c r="H25" s="98" t="s">
        <v>162</v>
      </c>
      <c r="I25" s="99">
        <v>4.8000000000000001E-2</v>
      </c>
      <c r="J25" s="99">
        <v>4.8499999999999995E-2</v>
      </c>
      <c r="K25" s="95">
        <v>1279999.9999999998</v>
      </c>
      <c r="L25" s="108">
        <v>102.3749</v>
      </c>
      <c r="M25" s="95">
        <v>1310.3984999999998</v>
      </c>
      <c r="N25" s="85"/>
      <c r="O25" s="96">
        <f t="shared" si="0"/>
        <v>2.2188197856682176E-2</v>
      </c>
      <c r="P25" s="96">
        <f>M25/'סכום נכסי הקרן'!$C$42</f>
        <v>6.2682563332551221E-3</v>
      </c>
    </row>
    <row r="26" spans="2:16">
      <c r="B26" s="88" t="s">
        <v>857</v>
      </c>
      <c r="C26" s="85">
        <v>2704</v>
      </c>
      <c r="D26" s="85" t="s">
        <v>252</v>
      </c>
      <c r="E26" s="85"/>
      <c r="F26" s="107">
        <v>41395</v>
      </c>
      <c r="G26" s="95">
        <v>7.6499999999999995</v>
      </c>
      <c r="H26" s="98" t="s">
        <v>162</v>
      </c>
      <c r="I26" s="99">
        <v>4.8000000000000001E-2</v>
      </c>
      <c r="J26" s="99">
        <v>4.8500000000000008E-2</v>
      </c>
      <c r="K26" s="95">
        <v>960999.99999999988</v>
      </c>
      <c r="L26" s="108">
        <v>103.7988</v>
      </c>
      <c r="M26" s="95">
        <v>997.50664999999992</v>
      </c>
      <c r="N26" s="85"/>
      <c r="O26" s="96">
        <f t="shared" si="0"/>
        <v>1.6890186392579217E-2</v>
      </c>
      <c r="P26" s="96">
        <f>M26/'סכום נכסי הקרן'!$C$42</f>
        <v>4.7715465000353714E-3</v>
      </c>
    </row>
    <row r="27" spans="2:16">
      <c r="B27" s="88" t="s">
        <v>858</v>
      </c>
      <c r="C27" s="85" t="s">
        <v>859</v>
      </c>
      <c r="D27" s="85" t="s">
        <v>252</v>
      </c>
      <c r="E27" s="85"/>
      <c r="F27" s="107">
        <v>41427</v>
      </c>
      <c r="G27" s="95">
        <v>7.73</v>
      </c>
      <c r="H27" s="98" t="s">
        <v>162</v>
      </c>
      <c r="I27" s="99">
        <v>4.8000000000000001E-2</v>
      </c>
      <c r="J27" s="99">
        <v>4.8600000000000004E-2</v>
      </c>
      <c r="K27" s="95">
        <v>855999.99999999988</v>
      </c>
      <c r="L27" s="108">
        <v>102.9696</v>
      </c>
      <c r="M27" s="95">
        <v>881.42183999999986</v>
      </c>
      <c r="N27" s="85"/>
      <c r="O27" s="96">
        <f t="shared" si="0"/>
        <v>1.492459139805247E-2</v>
      </c>
      <c r="P27" s="96">
        <f>M27/'סכום נכסי הקרן'!$C$42</f>
        <v>4.2162579023475553E-3</v>
      </c>
    </row>
    <row r="28" spans="2:16">
      <c r="B28" s="88" t="s">
        <v>860</v>
      </c>
      <c r="C28" s="85">
        <v>8806</v>
      </c>
      <c r="D28" s="85" t="s">
        <v>252</v>
      </c>
      <c r="E28" s="85"/>
      <c r="F28" s="107">
        <v>41518</v>
      </c>
      <c r="G28" s="95">
        <v>7.9799999999999995</v>
      </c>
      <c r="H28" s="98" t="s">
        <v>162</v>
      </c>
      <c r="I28" s="99">
        <v>4.8000000000000001E-2</v>
      </c>
      <c r="J28" s="99">
        <v>4.8500000000000008E-2</v>
      </c>
      <c r="K28" s="95">
        <v>205999.99999999997</v>
      </c>
      <c r="L28" s="108">
        <v>100.5778</v>
      </c>
      <c r="M28" s="95">
        <v>207.17400999999995</v>
      </c>
      <c r="N28" s="85"/>
      <c r="O28" s="96">
        <f t="shared" si="0"/>
        <v>3.5079542022081463E-3</v>
      </c>
      <c r="P28" s="96">
        <f>M28/'סכום נכסי הקרן'!$C$42</f>
        <v>9.9101136048946941E-4</v>
      </c>
    </row>
    <row r="29" spans="2:16">
      <c r="B29" s="88" t="s">
        <v>861</v>
      </c>
      <c r="C29" s="85" t="s">
        <v>862</v>
      </c>
      <c r="D29" s="85" t="s">
        <v>252</v>
      </c>
      <c r="E29" s="85"/>
      <c r="F29" s="107">
        <v>41548</v>
      </c>
      <c r="G29" s="95">
        <v>7.88</v>
      </c>
      <c r="H29" s="98" t="s">
        <v>162</v>
      </c>
      <c r="I29" s="99">
        <v>4.8000000000000001E-2</v>
      </c>
      <c r="J29" s="99">
        <v>4.8499999999999995E-2</v>
      </c>
      <c r="K29" s="95">
        <v>839999.99999999988</v>
      </c>
      <c r="L29" s="108">
        <v>102.38630000000001</v>
      </c>
      <c r="M29" s="95">
        <v>860.07012999999984</v>
      </c>
      <c r="N29" s="85"/>
      <c r="O29" s="96">
        <f t="shared" si="0"/>
        <v>1.4563055601072773E-2</v>
      </c>
      <c r="P29" s="96">
        <f>M29/'סכום נכסי הקרן'!$C$42</f>
        <v>4.114122566086619E-3</v>
      </c>
    </row>
    <row r="30" spans="2:16">
      <c r="B30" s="88" t="s">
        <v>863</v>
      </c>
      <c r="C30" s="85" t="s">
        <v>864</v>
      </c>
      <c r="D30" s="85" t="s">
        <v>252</v>
      </c>
      <c r="E30" s="85"/>
      <c r="F30" s="107">
        <v>41579</v>
      </c>
      <c r="G30" s="95">
        <v>7.96</v>
      </c>
      <c r="H30" s="98" t="s">
        <v>162</v>
      </c>
      <c r="I30" s="99">
        <v>4.8000000000000001E-2</v>
      </c>
      <c r="J30" s="99">
        <v>4.8500000000000008E-2</v>
      </c>
      <c r="K30" s="95">
        <v>314999.99999999994</v>
      </c>
      <c r="L30" s="108">
        <v>101.98439999999999</v>
      </c>
      <c r="M30" s="95">
        <v>321.25378999999992</v>
      </c>
      <c r="N30" s="85"/>
      <c r="O30" s="96">
        <f t="shared" si="0"/>
        <v>5.4395992171305339E-3</v>
      </c>
      <c r="P30" s="96">
        <f>M30/'סכום נכסי הקרן'!$C$42</f>
        <v>1.5367089505594754E-3</v>
      </c>
    </row>
    <row r="31" spans="2:16">
      <c r="B31" s="88" t="s">
        <v>865</v>
      </c>
      <c r="C31" s="85" t="s">
        <v>866</v>
      </c>
      <c r="D31" s="85" t="s">
        <v>252</v>
      </c>
      <c r="E31" s="85"/>
      <c r="F31" s="107">
        <v>41609</v>
      </c>
      <c r="G31" s="95">
        <v>8.0400000000000009</v>
      </c>
      <c r="H31" s="98" t="s">
        <v>162</v>
      </c>
      <c r="I31" s="99">
        <v>4.8000000000000001E-2</v>
      </c>
      <c r="J31" s="99">
        <v>4.8500000000000008E-2</v>
      </c>
      <c r="K31" s="95">
        <v>652999.99999999988</v>
      </c>
      <c r="L31" s="108">
        <v>101.58280000000001</v>
      </c>
      <c r="M31" s="95">
        <v>663.33535999999992</v>
      </c>
      <c r="N31" s="85"/>
      <c r="O31" s="96">
        <f t="shared" si="0"/>
        <v>1.1231862836391755E-2</v>
      </c>
      <c r="P31" s="96">
        <f>M31/'סכום נכסי הקרן'!$C$42</f>
        <v>3.1730470321753778E-3</v>
      </c>
    </row>
    <row r="32" spans="2:16">
      <c r="B32" s="88" t="s">
        <v>867</v>
      </c>
      <c r="C32" s="85" t="s">
        <v>868</v>
      </c>
      <c r="D32" s="85" t="s">
        <v>252</v>
      </c>
      <c r="E32" s="85"/>
      <c r="F32" s="107">
        <v>41672</v>
      </c>
      <c r="G32" s="95">
        <v>8.2099999999999991</v>
      </c>
      <c r="H32" s="98" t="s">
        <v>162</v>
      </c>
      <c r="I32" s="99">
        <v>4.8000000000000001E-2</v>
      </c>
      <c r="J32" s="99">
        <v>4.8499999999999995E-2</v>
      </c>
      <c r="K32" s="95">
        <v>453999.99999999994</v>
      </c>
      <c r="L32" s="108">
        <v>100.77370000000001</v>
      </c>
      <c r="M32" s="95">
        <v>457.50694999999996</v>
      </c>
      <c r="N32" s="85"/>
      <c r="O32" s="96">
        <f t="shared" si="0"/>
        <v>7.746692878088002E-3</v>
      </c>
      <c r="P32" s="96">
        <f>M32/'סכום נכסי הקרן'!$C$42</f>
        <v>2.1884723134571161E-3</v>
      </c>
    </row>
    <row r="33" spans="2:16">
      <c r="B33" s="88" t="s">
        <v>869</v>
      </c>
      <c r="C33" s="85" t="s">
        <v>870</v>
      </c>
      <c r="D33" s="85" t="s">
        <v>252</v>
      </c>
      <c r="E33" s="85"/>
      <c r="F33" s="107">
        <v>41700</v>
      </c>
      <c r="G33" s="95">
        <v>8.2899999999999991</v>
      </c>
      <c r="H33" s="98" t="s">
        <v>162</v>
      </c>
      <c r="I33" s="99">
        <v>4.8000000000000001E-2</v>
      </c>
      <c r="J33" s="99">
        <v>4.8600000000000004E-2</v>
      </c>
      <c r="K33" s="95">
        <v>90999.999999999985</v>
      </c>
      <c r="L33" s="108">
        <v>100.9575</v>
      </c>
      <c r="M33" s="95">
        <v>91.871549999999985</v>
      </c>
      <c r="N33" s="85"/>
      <c r="O33" s="96">
        <f t="shared" si="0"/>
        <v>1.555606274579885E-3</v>
      </c>
      <c r="P33" s="96">
        <f>M33/'סכום נכסי הקרן'!$C$42</f>
        <v>4.3946511319531016E-4</v>
      </c>
    </row>
    <row r="34" spans="2:16">
      <c r="B34" s="88" t="s">
        <v>871</v>
      </c>
      <c r="C34" s="85" t="s">
        <v>872</v>
      </c>
      <c r="D34" s="85" t="s">
        <v>252</v>
      </c>
      <c r="E34" s="85"/>
      <c r="F34" s="107">
        <v>41730</v>
      </c>
      <c r="G34" s="95">
        <v>8.18</v>
      </c>
      <c r="H34" s="98" t="s">
        <v>162</v>
      </c>
      <c r="I34" s="99">
        <v>4.8000000000000001E-2</v>
      </c>
      <c r="J34" s="99">
        <v>4.8499999999999995E-2</v>
      </c>
      <c r="K34" s="95">
        <v>313999.99999999994</v>
      </c>
      <c r="L34" s="108">
        <v>103.1862</v>
      </c>
      <c r="M34" s="95">
        <v>324.00532999999996</v>
      </c>
      <c r="N34" s="85"/>
      <c r="O34" s="96">
        <f t="shared" si="0"/>
        <v>5.4861894062452005E-3</v>
      </c>
      <c r="P34" s="96">
        <f>M34/'סכום נכסי הקרן'!$C$42</f>
        <v>1.5498708688852405E-3</v>
      </c>
    </row>
    <row r="35" spans="2:16">
      <c r="B35" s="88" t="s">
        <v>873</v>
      </c>
      <c r="C35" s="85" t="s">
        <v>874</v>
      </c>
      <c r="D35" s="85" t="s">
        <v>252</v>
      </c>
      <c r="E35" s="85"/>
      <c r="F35" s="107">
        <v>41760</v>
      </c>
      <c r="G35" s="95">
        <v>8.26</v>
      </c>
      <c r="H35" s="98" t="s">
        <v>162</v>
      </c>
      <c r="I35" s="99">
        <v>4.8000000000000001E-2</v>
      </c>
      <c r="J35" s="99">
        <v>4.8499999999999995E-2</v>
      </c>
      <c r="K35" s="95">
        <v>433999.99999999994</v>
      </c>
      <c r="L35" s="108">
        <v>102.4764</v>
      </c>
      <c r="M35" s="95">
        <v>444.74773999999991</v>
      </c>
      <c r="N35" s="85"/>
      <c r="O35" s="96">
        <f t="shared" si="0"/>
        <v>7.5306487693875121E-3</v>
      </c>
      <c r="P35" s="96">
        <f>M35/'סכום נכסי הקרן'!$C$42</f>
        <v>2.1274389721568686E-3</v>
      </c>
    </row>
    <row r="36" spans="2:16">
      <c r="B36" s="88" t="s">
        <v>875</v>
      </c>
      <c r="C36" s="85" t="s">
        <v>876</v>
      </c>
      <c r="D36" s="85" t="s">
        <v>252</v>
      </c>
      <c r="E36" s="85"/>
      <c r="F36" s="107">
        <v>41791</v>
      </c>
      <c r="G36" s="95">
        <v>8.35</v>
      </c>
      <c r="H36" s="98" t="s">
        <v>162</v>
      </c>
      <c r="I36" s="99">
        <v>4.8000000000000001E-2</v>
      </c>
      <c r="J36" s="99">
        <v>4.8499999999999995E-2</v>
      </c>
      <c r="K36" s="95">
        <v>745999.99999999988</v>
      </c>
      <c r="L36" s="108">
        <v>101.96510000000001</v>
      </c>
      <c r="M36" s="95">
        <v>760.70898999999986</v>
      </c>
      <c r="N36" s="85"/>
      <c r="O36" s="96">
        <f t="shared" si="0"/>
        <v>1.2880632556796168E-2</v>
      </c>
      <c r="P36" s="96">
        <f>M36/'סכום נכסי הקרן'!$C$42</f>
        <v>3.638831198548844E-3</v>
      </c>
    </row>
    <row r="37" spans="2:16">
      <c r="B37" s="88" t="s">
        <v>877</v>
      </c>
      <c r="C37" s="85" t="s">
        <v>878</v>
      </c>
      <c r="D37" s="85" t="s">
        <v>252</v>
      </c>
      <c r="E37" s="85"/>
      <c r="F37" s="107">
        <v>41821</v>
      </c>
      <c r="G37" s="95">
        <v>8.4299999999999979</v>
      </c>
      <c r="H37" s="98" t="s">
        <v>162</v>
      </c>
      <c r="I37" s="99">
        <v>4.8000000000000001E-2</v>
      </c>
      <c r="J37" s="99">
        <v>4.8499999999999988E-2</v>
      </c>
      <c r="K37" s="95">
        <v>600999.99999999988</v>
      </c>
      <c r="L37" s="108">
        <v>101.4697</v>
      </c>
      <c r="M37" s="95">
        <v>609.83381000000008</v>
      </c>
      <c r="N37" s="85"/>
      <c r="O37" s="96">
        <f t="shared" si="0"/>
        <v>1.0325952934145094E-2</v>
      </c>
      <c r="P37" s="96">
        <f>M37/'סכום נכסי הקרן'!$C$42</f>
        <v>2.9171237923163082E-3</v>
      </c>
    </row>
    <row r="38" spans="2:16">
      <c r="B38" s="88" t="s">
        <v>879</v>
      </c>
      <c r="C38" s="85" t="s">
        <v>880</v>
      </c>
      <c r="D38" s="85" t="s">
        <v>252</v>
      </c>
      <c r="E38" s="85"/>
      <c r="F38" s="107">
        <v>41852</v>
      </c>
      <c r="G38" s="95">
        <v>8.5200000000000014</v>
      </c>
      <c r="H38" s="98" t="s">
        <v>162</v>
      </c>
      <c r="I38" s="99">
        <v>4.8000000000000001E-2</v>
      </c>
      <c r="J38" s="99">
        <v>4.8500000000000008E-2</v>
      </c>
      <c r="K38" s="95">
        <v>609999.99999999988</v>
      </c>
      <c r="L38" s="108">
        <v>100.78270000000001</v>
      </c>
      <c r="M38" s="95">
        <v>614.77444999999989</v>
      </c>
      <c r="N38" s="85"/>
      <c r="O38" s="96">
        <f t="shared" si="0"/>
        <v>1.0409609850616407E-2</v>
      </c>
      <c r="P38" s="96">
        <f>M38/'סכום נכסי הקרן'!$C$42</f>
        <v>2.9407572122037186E-3</v>
      </c>
    </row>
    <row r="39" spans="2:16">
      <c r="B39" s="88" t="s">
        <v>881</v>
      </c>
      <c r="C39" s="85" t="s">
        <v>882</v>
      </c>
      <c r="D39" s="85" t="s">
        <v>252</v>
      </c>
      <c r="E39" s="85"/>
      <c r="F39" s="107">
        <v>41883</v>
      </c>
      <c r="G39" s="95">
        <v>8.6</v>
      </c>
      <c r="H39" s="98" t="s">
        <v>162</v>
      </c>
      <c r="I39" s="99">
        <v>4.8000000000000001E-2</v>
      </c>
      <c r="J39" s="99">
        <v>4.8500000000000008E-2</v>
      </c>
      <c r="K39" s="95">
        <v>1010999.9999999999</v>
      </c>
      <c r="L39" s="108">
        <v>100.378</v>
      </c>
      <c r="M39" s="95">
        <v>1014.8931799999998</v>
      </c>
      <c r="N39" s="85"/>
      <c r="O39" s="96">
        <f t="shared" si="0"/>
        <v>1.7184582156677803E-2</v>
      </c>
      <c r="P39" s="96">
        <f>M39/'סכום נכסי הקרן'!$C$42</f>
        <v>4.854714503345685E-3</v>
      </c>
    </row>
    <row r="40" spans="2:16">
      <c r="B40" s="88" t="s">
        <v>883</v>
      </c>
      <c r="C40" s="85" t="s">
        <v>884</v>
      </c>
      <c r="D40" s="85" t="s">
        <v>252</v>
      </c>
      <c r="E40" s="85"/>
      <c r="F40" s="107">
        <v>41913</v>
      </c>
      <c r="G40" s="95">
        <v>8.48</v>
      </c>
      <c r="H40" s="98" t="s">
        <v>162</v>
      </c>
      <c r="I40" s="99">
        <v>4.8000000000000001E-2</v>
      </c>
      <c r="J40" s="99">
        <v>4.8500000000000008E-2</v>
      </c>
      <c r="K40" s="95">
        <v>782999.99999999988</v>
      </c>
      <c r="L40" s="108">
        <v>102.38930000000001</v>
      </c>
      <c r="M40" s="95">
        <v>801.70624999999984</v>
      </c>
      <c r="N40" s="85"/>
      <c r="O40" s="96">
        <f t="shared" si="0"/>
        <v>1.3574814758975002E-2</v>
      </c>
      <c r="P40" s="96">
        <f>M40/'סכום נכסי הקרן'!$C$42</f>
        <v>3.8349405001400065E-3</v>
      </c>
    </row>
    <row r="41" spans="2:16">
      <c r="B41" s="88" t="s">
        <v>885</v>
      </c>
      <c r="C41" s="85" t="s">
        <v>886</v>
      </c>
      <c r="D41" s="85" t="s">
        <v>252</v>
      </c>
      <c r="E41" s="85"/>
      <c r="F41" s="107">
        <v>41945</v>
      </c>
      <c r="G41" s="95">
        <v>8.56</v>
      </c>
      <c r="H41" s="98" t="s">
        <v>162</v>
      </c>
      <c r="I41" s="99">
        <v>4.8000000000000001E-2</v>
      </c>
      <c r="J41" s="99">
        <v>4.8500000000000008E-2</v>
      </c>
      <c r="K41" s="95">
        <v>1215999.9999999998</v>
      </c>
      <c r="L41" s="108">
        <v>102.2619</v>
      </c>
      <c r="M41" s="95">
        <v>1243.5046699999998</v>
      </c>
      <c r="N41" s="85"/>
      <c r="O41" s="96">
        <f t="shared" si="0"/>
        <v>2.1055524448225695E-2</v>
      </c>
      <c r="P41" s="96">
        <f>M41/'סכום נכסי הקרן'!$C$42</f>
        <v>5.9482714786073254E-3</v>
      </c>
    </row>
    <row r="42" spans="2:16">
      <c r="B42" s="88" t="s">
        <v>887</v>
      </c>
      <c r="C42" s="85" t="s">
        <v>888</v>
      </c>
      <c r="D42" s="85" t="s">
        <v>252</v>
      </c>
      <c r="E42" s="85"/>
      <c r="F42" s="107">
        <v>41974</v>
      </c>
      <c r="G42" s="95">
        <v>8.6399999999999988</v>
      </c>
      <c r="H42" s="98" t="s">
        <v>162</v>
      </c>
      <c r="I42" s="99">
        <v>4.8000000000000001E-2</v>
      </c>
      <c r="J42" s="99">
        <v>4.8499999999999988E-2</v>
      </c>
      <c r="K42" s="95">
        <v>710999.99999999988</v>
      </c>
      <c r="L42" s="108">
        <v>101.5791</v>
      </c>
      <c r="M42" s="95">
        <v>722.25155000000007</v>
      </c>
      <c r="N42" s="85"/>
      <c r="O42" s="96">
        <f t="shared" si="0"/>
        <v>1.2229455614986879E-2</v>
      </c>
      <c r="P42" s="96">
        <f>M42/'סכום נכסי הקרן'!$C$42</f>
        <v>3.4548710583008372E-3</v>
      </c>
    </row>
    <row r="43" spans="2:16">
      <c r="B43" s="88" t="s">
        <v>889</v>
      </c>
      <c r="C43" s="85" t="s">
        <v>890</v>
      </c>
      <c r="D43" s="85" t="s">
        <v>252</v>
      </c>
      <c r="E43" s="85"/>
      <c r="F43" s="107">
        <v>42005</v>
      </c>
      <c r="G43" s="95">
        <v>8.73</v>
      </c>
      <c r="H43" s="98" t="s">
        <v>162</v>
      </c>
      <c r="I43" s="99">
        <v>4.8000000000000001E-2</v>
      </c>
      <c r="J43" s="99">
        <v>4.8499999999999995E-2</v>
      </c>
      <c r="K43" s="95">
        <v>923999.99999999988</v>
      </c>
      <c r="L43" s="108">
        <v>101.3703</v>
      </c>
      <c r="M43" s="95">
        <v>936.66199999999992</v>
      </c>
      <c r="N43" s="85"/>
      <c r="O43" s="96">
        <f t="shared" si="0"/>
        <v>1.5859940148615588E-2</v>
      </c>
      <c r="P43" s="96">
        <f>M43/'סכום נכסי הקרן'!$C$42</f>
        <v>4.4804977368483019E-3</v>
      </c>
    </row>
    <row r="44" spans="2:16">
      <c r="B44" s="88" t="s">
        <v>891</v>
      </c>
      <c r="C44" s="85" t="s">
        <v>892</v>
      </c>
      <c r="D44" s="85" t="s">
        <v>252</v>
      </c>
      <c r="E44" s="85"/>
      <c r="F44" s="107">
        <v>42036</v>
      </c>
      <c r="G44" s="95">
        <v>8.81</v>
      </c>
      <c r="H44" s="98" t="s">
        <v>162</v>
      </c>
      <c r="I44" s="99">
        <v>4.8000000000000001E-2</v>
      </c>
      <c r="J44" s="99">
        <v>4.8499999999999995E-2</v>
      </c>
      <c r="K44" s="95">
        <v>1139999.9999999998</v>
      </c>
      <c r="L44" s="108">
        <v>100.9704</v>
      </c>
      <c r="M44" s="95">
        <v>1151.0627599999998</v>
      </c>
      <c r="N44" s="85"/>
      <c r="O44" s="96">
        <f t="shared" si="0"/>
        <v>1.9490260607241742E-2</v>
      </c>
      <c r="P44" s="96">
        <f>M44/'סכום נכסי הקרן'!$C$42</f>
        <v>5.5060780635387786E-3</v>
      </c>
    </row>
    <row r="45" spans="2:16">
      <c r="B45" s="88" t="s">
        <v>893</v>
      </c>
      <c r="C45" s="85" t="s">
        <v>894</v>
      </c>
      <c r="D45" s="85" t="s">
        <v>252</v>
      </c>
      <c r="E45" s="85"/>
      <c r="F45" s="107">
        <v>42064</v>
      </c>
      <c r="G45" s="95">
        <v>8.89</v>
      </c>
      <c r="H45" s="98" t="s">
        <v>162</v>
      </c>
      <c r="I45" s="99">
        <v>4.8000000000000001E-2</v>
      </c>
      <c r="J45" s="99">
        <v>4.8499999999999995E-2</v>
      </c>
      <c r="K45" s="95">
        <v>1969999.9999999998</v>
      </c>
      <c r="L45" s="108">
        <v>101.4777</v>
      </c>
      <c r="M45" s="95">
        <v>1999.1113899999996</v>
      </c>
      <c r="N45" s="85"/>
      <c r="O45" s="96">
        <f t="shared" si="0"/>
        <v>3.3849763303962055E-2</v>
      </c>
      <c r="P45" s="96">
        <f>M45/'סכום נכסי הקרן'!$C$42</f>
        <v>9.5626961044674198E-3</v>
      </c>
    </row>
    <row r="46" spans="2:16">
      <c r="B46" s="88" t="s">
        <v>895</v>
      </c>
      <c r="C46" s="85" t="s">
        <v>896</v>
      </c>
      <c r="D46" s="85" t="s">
        <v>252</v>
      </c>
      <c r="E46" s="85"/>
      <c r="F46" s="107">
        <v>42095</v>
      </c>
      <c r="G46" s="95">
        <v>8.77</v>
      </c>
      <c r="H46" s="98" t="s">
        <v>162</v>
      </c>
      <c r="I46" s="99">
        <v>4.8000000000000001E-2</v>
      </c>
      <c r="J46" s="99">
        <v>4.8499999999999995E-2</v>
      </c>
      <c r="K46" s="95">
        <v>401999.99999999994</v>
      </c>
      <c r="L46" s="108">
        <v>104.244</v>
      </c>
      <c r="M46" s="95">
        <v>419.06099999999992</v>
      </c>
      <c r="N46" s="85"/>
      <c r="O46" s="96">
        <f t="shared" si="0"/>
        <v>7.095710489609908E-3</v>
      </c>
      <c r="P46" s="96">
        <f>M46/'סכום נכסי הקרן'!$C$42</f>
        <v>2.0045671353181682E-3</v>
      </c>
    </row>
    <row r="47" spans="2:16">
      <c r="B47" s="88" t="s">
        <v>897</v>
      </c>
      <c r="C47" s="85" t="s">
        <v>898</v>
      </c>
      <c r="D47" s="85" t="s">
        <v>252</v>
      </c>
      <c r="E47" s="85"/>
      <c r="F47" s="107">
        <v>42156</v>
      </c>
      <c r="G47" s="95">
        <v>8.93</v>
      </c>
      <c r="H47" s="98" t="s">
        <v>162</v>
      </c>
      <c r="I47" s="99">
        <v>4.8000000000000001E-2</v>
      </c>
      <c r="J47" s="99">
        <v>4.8499999999999995E-2</v>
      </c>
      <c r="K47" s="95">
        <v>364999.99999999994</v>
      </c>
      <c r="L47" s="108">
        <v>102.4872</v>
      </c>
      <c r="M47" s="95">
        <v>374.07649999999995</v>
      </c>
      <c r="N47" s="85"/>
      <c r="O47" s="96">
        <f t="shared" si="0"/>
        <v>6.3340147256999843E-3</v>
      </c>
      <c r="P47" s="96">
        <f>M47/'סכום נכסי הקרן'!$C$42</f>
        <v>1.7893849773537667E-3</v>
      </c>
    </row>
    <row r="48" spans="2:16">
      <c r="B48" s="88" t="s">
        <v>899</v>
      </c>
      <c r="C48" s="85" t="s">
        <v>900</v>
      </c>
      <c r="D48" s="85" t="s">
        <v>252</v>
      </c>
      <c r="E48" s="85"/>
      <c r="F48" s="107">
        <v>42218</v>
      </c>
      <c r="G48" s="95">
        <v>9.11</v>
      </c>
      <c r="H48" s="98" t="s">
        <v>162</v>
      </c>
      <c r="I48" s="99">
        <v>4.8000000000000001E-2</v>
      </c>
      <c r="J48" s="99">
        <v>4.8499999999999995E-2</v>
      </c>
      <c r="K48" s="95">
        <v>460999.99999999994</v>
      </c>
      <c r="L48" s="108">
        <v>101.1572</v>
      </c>
      <c r="M48" s="95">
        <v>466.33483999999993</v>
      </c>
      <c r="N48" s="85"/>
      <c r="O48" s="96">
        <f t="shared" si="0"/>
        <v>7.8961702851340458E-3</v>
      </c>
      <c r="P48" s="96">
        <f>M48/'סכום נכסי הקרן'!$C$42</f>
        <v>2.2307002902151631E-3</v>
      </c>
    </row>
    <row r="49" spans="2:16">
      <c r="B49" s="88" t="s">
        <v>901</v>
      </c>
      <c r="C49" s="85" t="s">
        <v>902</v>
      </c>
      <c r="D49" s="85" t="s">
        <v>252</v>
      </c>
      <c r="E49" s="85"/>
      <c r="F49" s="107">
        <v>42309</v>
      </c>
      <c r="G49" s="95">
        <v>9.1300000000000008</v>
      </c>
      <c r="H49" s="98" t="s">
        <v>162</v>
      </c>
      <c r="I49" s="99">
        <v>4.8000000000000001E-2</v>
      </c>
      <c r="J49" s="99">
        <v>4.8499999999999995E-2</v>
      </c>
      <c r="K49" s="95">
        <v>1142999.9999999998</v>
      </c>
      <c r="L49" s="108">
        <v>102.7889</v>
      </c>
      <c r="M49" s="95">
        <v>1174.8775499999997</v>
      </c>
      <c r="N49" s="85"/>
      <c r="O49" s="96">
        <f t="shared" si="0"/>
        <v>1.9893502271846317E-2</v>
      </c>
      <c r="P49" s="96">
        <f>M49/'סכום נכסי הקרן'!$C$42</f>
        <v>5.6199954773961973E-3</v>
      </c>
    </row>
    <row r="50" spans="2:16">
      <c r="B50" s="88" t="s">
        <v>903</v>
      </c>
      <c r="C50" s="85" t="s">
        <v>904</v>
      </c>
      <c r="D50" s="85" t="s">
        <v>252</v>
      </c>
      <c r="E50" s="85"/>
      <c r="F50" s="107">
        <v>42339</v>
      </c>
      <c r="G50" s="95">
        <v>9.2200000000000006</v>
      </c>
      <c r="H50" s="98" t="s">
        <v>162</v>
      </c>
      <c r="I50" s="99">
        <v>4.8000000000000001E-2</v>
      </c>
      <c r="J50" s="99">
        <v>4.8500000000000008E-2</v>
      </c>
      <c r="K50" s="95">
        <v>744999.99999999988</v>
      </c>
      <c r="L50" s="108">
        <v>102.2805</v>
      </c>
      <c r="M50" s="95">
        <v>761.9900899999999</v>
      </c>
      <c r="N50" s="85"/>
      <c r="O50" s="96">
        <f t="shared" si="0"/>
        <v>1.2902324660590696E-2</v>
      </c>
      <c r="P50" s="96">
        <f>M50/'סכום נכסי הקרן'!$C$42</f>
        <v>3.6449593062874695E-3</v>
      </c>
    </row>
    <row r="51" spans="2:16">
      <c r="B51" s="88" t="s">
        <v>905</v>
      </c>
      <c r="C51" s="85" t="s">
        <v>906</v>
      </c>
      <c r="D51" s="85" t="s">
        <v>252</v>
      </c>
      <c r="E51" s="85"/>
      <c r="F51" s="107">
        <v>42370</v>
      </c>
      <c r="G51" s="95">
        <v>9.2999999999999989</v>
      </c>
      <c r="H51" s="98" t="s">
        <v>162</v>
      </c>
      <c r="I51" s="99">
        <v>4.8000000000000001E-2</v>
      </c>
      <c r="J51" s="99">
        <v>4.8499999999999995E-2</v>
      </c>
      <c r="K51" s="95">
        <v>198999.99999999997</v>
      </c>
      <c r="L51" s="108">
        <v>102.2877</v>
      </c>
      <c r="M51" s="95">
        <v>203.55259999999998</v>
      </c>
      <c r="N51" s="85"/>
      <c r="O51" s="96">
        <f t="shared" si="0"/>
        <v>3.4466350221265397E-3</v>
      </c>
      <c r="P51" s="96">
        <f>M51/'סכום נכסי הקרן'!$C$42</f>
        <v>9.7368844218041057E-4</v>
      </c>
    </row>
    <row r="52" spans="2:16">
      <c r="B52" s="88" t="s">
        <v>907</v>
      </c>
      <c r="C52" s="85" t="s">
        <v>908</v>
      </c>
      <c r="D52" s="85" t="s">
        <v>252</v>
      </c>
      <c r="E52" s="85"/>
      <c r="F52" s="107">
        <v>42461</v>
      </c>
      <c r="G52" s="95">
        <v>9.32</v>
      </c>
      <c r="H52" s="98" t="s">
        <v>162</v>
      </c>
      <c r="I52" s="99">
        <v>4.8000000000000001E-2</v>
      </c>
      <c r="J52" s="99">
        <v>4.8500000000000008E-2</v>
      </c>
      <c r="K52" s="95">
        <v>507999.99999999994</v>
      </c>
      <c r="L52" s="108">
        <v>104.4556</v>
      </c>
      <c r="M52" s="95">
        <v>530.63432999999986</v>
      </c>
      <c r="N52" s="85"/>
      <c r="O52" s="96">
        <f t="shared" si="0"/>
        <v>8.9849152785110645E-3</v>
      </c>
      <c r="P52" s="96">
        <f>M52/'סכום נכסי הקרן'!$C$42</f>
        <v>2.5382751885514887E-3</v>
      </c>
    </row>
    <row r="53" spans="2:16">
      <c r="B53" s="88" t="s">
        <v>909</v>
      </c>
      <c r="C53" s="85" t="s">
        <v>910</v>
      </c>
      <c r="D53" s="85" t="s">
        <v>252</v>
      </c>
      <c r="E53" s="85"/>
      <c r="F53" s="107">
        <v>42491</v>
      </c>
      <c r="G53" s="95">
        <v>9.41</v>
      </c>
      <c r="H53" s="98" t="s">
        <v>162</v>
      </c>
      <c r="I53" s="99">
        <v>4.8000000000000001E-2</v>
      </c>
      <c r="J53" s="99">
        <v>4.8600000000000004E-2</v>
      </c>
      <c r="K53" s="95">
        <v>621999.99999999988</v>
      </c>
      <c r="L53" s="108">
        <v>104.2555</v>
      </c>
      <c r="M53" s="95">
        <v>648.46925999999985</v>
      </c>
      <c r="N53" s="85"/>
      <c r="O53" s="96">
        <f t="shared" si="0"/>
        <v>1.0980144013333559E-2</v>
      </c>
      <c r="P53" s="96">
        <f>M53/'סכום נכסי הקרן'!$C$42</f>
        <v>3.1019354386595086E-3</v>
      </c>
    </row>
    <row r="54" spans="2:16">
      <c r="B54" s="88" t="s">
        <v>911</v>
      </c>
      <c r="C54" s="85" t="s">
        <v>912</v>
      </c>
      <c r="D54" s="85" t="s">
        <v>252</v>
      </c>
      <c r="E54" s="85"/>
      <c r="F54" s="107">
        <v>42522</v>
      </c>
      <c r="G54" s="95">
        <v>9.4899999999999984</v>
      </c>
      <c r="H54" s="98" t="s">
        <v>162</v>
      </c>
      <c r="I54" s="99">
        <v>4.8000000000000001E-2</v>
      </c>
      <c r="J54" s="99">
        <v>4.8499999999999988E-2</v>
      </c>
      <c r="K54" s="95">
        <v>1498999.9999999998</v>
      </c>
      <c r="L54" s="108">
        <v>103.4224</v>
      </c>
      <c r="M54" s="95">
        <v>1550.3021000000001</v>
      </c>
      <c r="N54" s="85"/>
      <c r="O54" s="96">
        <f t="shared" si="0"/>
        <v>2.6250342725842469E-2</v>
      </c>
      <c r="P54" s="96">
        <f>M54/'סכום נכסי הקרן'!$C$42</f>
        <v>7.4158288160309383E-3</v>
      </c>
    </row>
    <row r="55" spans="2:16">
      <c r="B55" s="88" t="s">
        <v>913</v>
      </c>
      <c r="C55" s="85" t="s">
        <v>914</v>
      </c>
      <c r="D55" s="85" t="s">
        <v>252</v>
      </c>
      <c r="E55" s="85"/>
      <c r="F55" s="107">
        <v>42552</v>
      </c>
      <c r="G55" s="95">
        <v>9.58</v>
      </c>
      <c r="H55" s="98" t="s">
        <v>162</v>
      </c>
      <c r="I55" s="99">
        <v>4.8000000000000001E-2</v>
      </c>
      <c r="J55" s="99">
        <v>4.8499999999999995E-2</v>
      </c>
      <c r="K55" s="95">
        <v>1014999.9999999999</v>
      </c>
      <c r="L55" s="108">
        <v>102.7009</v>
      </c>
      <c r="M55" s="95">
        <v>1042.4204799999998</v>
      </c>
      <c r="N55" s="85"/>
      <c r="O55" s="96">
        <f t="shared" si="0"/>
        <v>1.7650685543441635E-2</v>
      </c>
      <c r="P55" s="96">
        <f>M55/'סכום נכסי הקרן'!$C$42</f>
        <v>4.9863906099364766E-3</v>
      </c>
    </row>
    <row r="56" spans="2:16">
      <c r="B56" s="88" t="s">
        <v>915</v>
      </c>
      <c r="C56" s="85" t="s">
        <v>916</v>
      </c>
      <c r="D56" s="85" t="s">
        <v>252</v>
      </c>
      <c r="E56" s="85"/>
      <c r="F56" s="107">
        <v>42583</v>
      </c>
      <c r="G56" s="95">
        <v>9.66</v>
      </c>
      <c r="H56" s="98" t="s">
        <v>162</v>
      </c>
      <c r="I56" s="99">
        <v>4.8000000000000001E-2</v>
      </c>
      <c r="J56" s="99">
        <v>4.8500000000000015E-2</v>
      </c>
      <c r="K56" s="95">
        <v>1043999.9999999999</v>
      </c>
      <c r="L56" s="108">
        <v>101.9987</v>
      </c>
      <c r="M56" s="95">
        <v>1064.8661699999998</v>
      </c>
      <c r="N56" s="85"/>
      <c r="O56" s="96">
        <f t="shared" si="0"/>
        <v>1.8030745052628919E-2</v>
      </c>
      <c r="P56" s="96">
        <f>M56/'סכום נכסי הקרן'!$C$42</f>
        <v>5.093758970398413E-3</v>
      </c>
    </row>
    <row r="57" spans="2:16">
      <c r="B57" s="88" t="s">
        <v>917</v>
      </c>
      <c r="C57" s="85" t="s">
        <v>918</v>
      </c>
      <c r="D57" s="85" t="s">
        <v>252</v>
      </c>
      <c r="E57" s="85"/>
      <c r="F57" s="107">
        <v>42614</v>
      </c>
      <c r="G57" s="95">
        <v>9.74</v>
      </c>
      <c r="H57" s="98" t="s">
        <v>162</v>
      </c>
      <c r="I57" s="99">
        <v>4.8000000000000001E-2</v>
      </c>
      <c r="J57" s="99">
        <v>4.8499999999999995E-2</v>
      </c>
      <c r="K57" s="95">
        <v>918999.99999999988</v>
      </c>
      <c r="L57" s="108">
        <v>101.17659999999999</v>
      </c>
      <c r="M57" s="95">
        <v>929.8053799999999</v>
      </c>
      <c r="N57" s="85"/>
      <c r="O57" s="96">
        <f t="shared" si="0"/>
        <v>1.5743841083187715E-2</v>
      </c>
      <c r="P57" s="96">
        <f>M57/'סכום נכסי הקרן'!$C$42</f>
        <v>4.4476992776469795E-3</v>
      </c>
    </row>
    <row r="58" spans="2:16">
      <c r="B58" s="88" t="s">
        <v>919</v>
      </c>
      <c r="C58" s="85" t="s">
        <v>920</v>
      </c>
      <c r="D58" s="85" t="s">
        <v>252</v>
      </c>
      <c r="E58" s="85"/>
      <c r="F58" s="107">
        <v>42644</v>
      </c>
      <c r="G58" s="95">
        <v>9.6</v>
      </c>
      <c r="H58" s="98" t="s">
        <v>162</v>
      </c>
      <c r="I58" s="99">
        <v>4.8000000000000001E-2</v>
      </c>
      <c r="J58" s="99">
        <v>4.8499999999999995E-2</v>
      </c>
      <c r="K58" s="95">
        <v>1282999.9999999998</v>
      </c>
      <c r="L58" s="108">
        <v>103.5081</v>
      </c>
      <c r="M58" s="95">
        <v>1328.0018499999999</v>
      </c>
      <c r="N58" s="85"/>
      <c r="O58" s="96">
        <f t="shared" si="0"/>
        <v>2.2486264904790387E-2</v>
      </c>
      <c r="P58" s="96">
        <f>M58/'סכום נכסי הקרן'!$C$42</f>
        <v>6.3524614892622507E-3</v>
      </c>
    </row>
    <row r="59" spans="2:16">
      <c r="B59" s="88" t="s">
        <v>921</v>
      </c>
      <c r="C59" s="85" t="s">
        <v>922</v>
      </c>
      <c r="D59" s="85" t="s">
        <v>252</v>
      </c>
      <c r="E59" s="85"/>
      <c r="F59" s="107">
        <v>42675</v>
      </c>
      <c r="G59" s="95">
        <v>9.6800000000000015</v>
      </c>
      <c r="H59" s="98" t="s">
        <v>162</v>
      </c>
      <c r="I59" s="99">
        <v>4.8000000000000001E-2</v>
      </c>
      <c r="J59" s="99">
        <v>4.8500000000000008E-2</v>
      </c>
      <c r="K59" s="95">
        <v>555999.99999999988</v>
      </c>
      <c r="L59" s="108">
        <v>103.20310000000001</v>
      </c>
      <c r="M59" s="95">
        <v>573.80950999999993</v>
      </c>
      <c r="N59" s="85"/>
      <c r="O59" s="96">
        <f t="shared" si="0"/>
        <v>9.715974903760841E-3</v>
      </c>
      <c r="P59" s="96">
        <f>M59/'סכום נכסי הקרן'!$C$42</f>
        <v>2.7448025124719834E-3</v>
      </c>
    </row>
    <row r="60" spans="2:16">
      <c r="B60" s="88" t="s">
        <v>923</v>
      </c>
      <c r="C60" s="85" t="s">
        <v>924</v>
      </c>
      <c r="D60" s="85" t="s">
        <v>252</v>
      </c>
      <c r="E60" s="85"/>
      <c r="F60" s="107">
        <v>42705</v>
      </c>
      <c r="G60" s="95">
        <v>9.76</v>
      </c>
      <c r="H60" s="98" t="s">
        <v>162</v>
      </c>
      <c r="I60" s="99">
        <v>4.8000000000000001E-2</v>
      </c>
      <c r="J60" s="99">
        <v>4.8500000000000008E-2</v>
      </c>
      <c r="K60" s="95">
        <v>421999.99999999994</v>
      </c>
      <c r="L60" s="108">
        <v>102.58880000000001</v>
      </c>
      <c r="M60" s="95">
        <v>432.92509999999993</v>
      </c>
      <c r="N60" s="85"/>
      <c r="O60" s="96">
        <f t="shared" si="0"/>
        <v>7.3304630430543966E-3</v>
      </c>
      <c r="P60" s="96">
        <f>M60/'סכום נכסי הקרן'!$C$42</f>
        <v>2.0708856885139192E-3</v>
      </c>
    </row>
    <row r="61" spans="2:16">
      <c r="B61" s="88" t="s">
        <v>925</v>
      </c>
      <c r="C61" s="85" t="s">
        <v>926</v>
      </c>
      <c r="D61" s="85" t="s">
        <v>252</v>
      </c>
      <c r="E61" s="85"/>
      <c r="F61" s="107">
        <v>42736</v>
      </c>
      <c r="G61" s="95">
        <v>9.85</v>
      </c>
      <c r="H61" s="98" t="s">
        <v>162</v>
      </c>
      <c r="I61" s="99">
        <v>4.8000000000000001E-2</v>
      </c>
      <c r="J61" s="99">
        <v>4.8499999999999988E-2</v>
      </c>
      <c r="K61" s="95">
        <v>514999.99999999994</v>
      </c>
      <c r="L61" s="108">
        <v>102.5973</v>
      </c>
      <c r="M61" s="95">
        <v>528.37635</v>
      </c>
      <c r="N61" s="85"/>
      <c r="O61" s="96">
        <f t="shared" si="0"/>
        <v>8.946682247111511E-3</v>
      </c>
      <c r="P61" s="96">
        <f>M61/'סכום נכסי הקרן'!$C$42</f>
        <v>2.5274742013438856E-3</v>
      </c>
    </row>
    <row r="62" spans="2:16">
      <c r="B62" s="88" t="s">
        <v>927</v>
      </c>
      <c r="C62" s="85" t="s">
        <v>928</v>
      </c>
      <c r="D62" s="85" t="s">
        <v>252</v>
      </c>
      <c r="E62" s="85"/>
      <c r="F62" s="107">
        <v>42767</v>
      </c>
      <c r="G62" s="95">
        <v>9.9300000000000015</v>
      </c>
      <c r="H62" s="98" t="s">
        <v>162</v>
      </c>
      <c r="I62" s="99">
        <v>4.8000000000000001E-2</v>
      </c>
      <c r="J62" s="99">
        <v>4.8500000000000008E-2</v>
      </c>
      <c r="K62" s="95">
        <v>22999.999999999996</v>
      </c>
      <c r="L62" s="108">
        <v>102.1925</v>
      </c>
      <c r="M62" s="95">
        <v>23.504289999999994</v>
      </c>
      <c r="N62" s="85"/>
      <c r="O62" s="96">
        <f t="shared" si="0"/>
        <v>3.9798415291290114E-4</v>
      </c>
      <c r="P62" s="96">
        <f>M62/'סכום נכסי הקרן'!$C$42</f>
        <v>1.124321453749871E-4</v>
      </c>
    </row>
    <row r="63" spans="2:16">
      <c r="B63" s="88" t="s">
        <v>929</v>
      </c>
      <c r="C63" s="85" t="s">
        <v>930</v>
      </c>
      <c r="D63" s="85" t="s">
        <v>252</v>
      </c>
      <c r="E63" s="85"/>
      <c r="F63" s="107">
        <v>42795</v>
      </c>
      <c r="G63" s="95">
        <v>10.020000000000001</v>
      </c>
      <c r="H63" s="98" t="s">
        <v>162</v>
      </c>
      <c r="I63" s="99">
        <v>4.8000000000000001E-2</v>
      </c>
      <c r="J63" s="99">
        <v>4.8499999999999995E-2</v>
      </c>
      <c r="K63" s="95">
        <v>304999.99999999994</v>
      </c>
      <c r="L63" s="108">
        <v>101.9933</v>
      </c>
      <c r="M63" s="95">
        <v>311.07947999999993</v>
      </c>
      <c r="N63" s="85"/>
      <c r="O63" s="96">
        <f t="shared" si="0"/>
        <v>5.2673236816081562E-3</v>
      </c>
      <c r="P63" s="96">
        <f>M63/'סכום נכסי הקרן'!$C$42</f>
        <v>1.4880404095820546E-3</v>
      </c>
    </row>
    <row r="64" spans="2:16">
      <c r="B64" s="88" t="s">
        <v>931</v>
      </c>
      <c r="C64" s="85" t="s">
        <v>932</v>
      </c>
      <c r="D64" s="85" t="s">
        <v>252</v>
      </c>
      <c r="E64" s="85"/>
      <c r="F64" s="107">
        <v>42856</v>
      </c>
      <c r="G64" s="95">
        <v>9.94</v>
      </c>
      <c r="H64" s="98" t="s">
        <v>162</v>
      </c>
      <c r="I64" s="99">
        <v>4.8000000000000001E-2</v>
      </c>
      <c r="J64" s="99">
        <v>4.8500000000000008E-2</v>
      </c>
      <c r="K64" s="95">
        <v>185999.99999999997</v>
      </c>
      <c r="L64" s="108">
        <v>103.3043</v>
      </c>
      <c r="M64" s="95">
        <v>192.15328999999994</v>
      </c>
      <c r="N64" s="85"/>
      <c r="O64" s="96">
        <f t="shared" si="0"/>
        <v>3.2536172907191422E-3</v>
      </c>
      <c r="P64" s="96">
        <f>M64/'סכום נכסי הקרן'!$C$42</f>
        <v>9.1916014632061006E-4</v>
      </c>
    </row>
    <row r="65" spans="2:16">
      <c r="B65" s="88" t="s">
        <v>933</v>
      </c>
      <c r="C65" s="85" t="s">
        <v>934</v>
      </c>
      <c r="D65" s="85" t="s">
        <v>252</v>
      </c>
      <c r="E65" s="85"/>
      <c r="F65" s="107">
        <v>42887</v>
      </c>
      <c r="G65" s="95">
        <v>10.029999999999999</v>
      </c>
      <c r="H65" s="98" t="s">
        <v>162</v>
      </c>
      <c r="I65" s="99">
        <v>4.8000000000000001E-2</v>
      </c>
      <c r="J65" s="99">
        <v>4.8500000000000008E-2</v>
      </c>
      <c r="K65" s="95">
        <v>1349999.9999999998</v>
      </c>
      <c r="L65" s="108">
        <v>102.69540000000001</v>
      </c>
      <c r="M65" s="95">
        <v>1386.3880299999998</v>
      </c>
      <c r="N65" s="85"/>
      <c r="O65" s="96">
        <f t="shared" si="0"/>
        <v>2.3474883339515289E-2</v>
      </c>
      <c r="P65" s="96">
        <f>M65/'סכום נכסי הקרן'!$C$42</f>
        <v>6.6317502266650891E-3</v>
      </c>
    </row>
    <row r="66" spans="2:16">
      <c r="B66" s="88" t="s">
        <v>935</v>
      </c>
      <c r="C66" s="85" t="s">
        <v>936</v>
      </c>
      <c r="D66" s="85" t="s">
        <v>252</v>
      </c>
      <c r="E66" s="85"/>
      <c r="F66" s="107">
        <v>42949</v>
      </c>
      <c r="G66" s="95">
        <v>10.199999999999999</v>
      </c>
      <c r="H66" s="98" t="s">
        <v>162</v>
      </c>
      <c r="I66" s="99">
        <v>4.8000000000000001E-2</v>
      </c>
      <c r="J66" s="99">
        <v>4.8500000000000008E-2</v>
      </c>
      <c r="K66" s="95">
        <v>914999.99999999988</v>
      </c>
      <c r="L66" s="108">
        <v>102.1915</v>
      </c>
      <c r="M66" s="95">
        <v>935.05210999999986</v>
      </c>
      <c r="N66" s="85"/>
      <c r="O66" s="96">
        <f t="shared" si="0"/>
        <v>1.5832680839445518E-2</v>
      </c>
      <c r="P66" s="96">
        <f>M66/'סכום נכסי הקרן'!$C$42</f>
        <v>4.4727968708992453E-3</v>
      </c>
    </row>
    <row r="67" spans="2:16">
      <c r="B67" s="88" t="s">
        <v>937</v>
      </c>
      <c r="C67" s="85" t="s">
        <v>938</v>
      </c>
      <c r="D67" s="85" t="s">
        <v>252</v>
      </c>
      <c r="E67" s="85"/>
      <c r="F67" s="107">
        <v>42979</v>
      </c>
      <c r="G67" s="95">
        <v>10.28</v>
      </c>
      <c r="H67" s="98" t="s">
        <v>162</v>
      </c>
      <c r="I67" s="99">
        <v>4.8000000000000001E-2</v>
      </c>
      <c r="J67" s="99">
        <v>4.8500000000000008E-2</v>
      </c>
      <c r="K67" s="95">
        <v>630999.99999999988</v>
      </c>
      <c r="L67" s="108">
        <v>101.9037</v>
      </c>
      <c r="M67" s="95">
        <v>643.01227999999992</v>
      </c>
      <c r="N67" s="85"/>
      <c r="O67" s="96">
        <f t="shared" si="0"/>
        <v>1.0887744218965696E-2</v>
      </c>
      <c r="P67" s="96">
        <f>M67/'סכום נכסי הקרן'!$C$42</f>
        <v>3.0758321201304916E-3</v>
      </c>
    </row>
    <row r="68" spans="2:16">
      <c r="B68" s="88" t="s">
        <v>939</v>
      </c>
      <c r="C68" s="85" t="s">
        <v>940</v>
      </c>
      <c r="D68" s="85" t="s">
        <v>252</v>
      </c>
      <c r="E68" s="85"/>
      <c r="F68" s="107">
        <v>43009</v>
      </c>
      <c r="G68" s="95">
        <v>10.120000000000001</v>
      </c>
      <c r="H68" s="98" t="s">
        <v>162</v>
      </c>
      <c r="I68" s="99">
        <v>4.8000000000000001E-2</v>
      </c>
      <c r="J68" s="99">
        <v>4.8499999999999995E-2</v>
      </c>
      <c r="K68" s="95">
        <v>912999.99999999988</v>
      </c>
      <c r="L68" s="108">
        <v>103.62649999999999</v>
      </c>
      <c r="M68" s="95">
        <v>946.10956999999985</v>
      </c>
      <c r="N68" s="85"/>
      <c r="O68" s="96">
        <f t="shared" si="0"/>
        <v>1.6019910228270633E-2</v>
      </c>
      <c r="P68" s="96">
        <f>M68/'סכום נכסי הקרן'!$C$42</f>
        <v>4.5256899363863594E-3</v>
      </c>
    </row>
    <row r="69" spans="2:16">
      <c r="B69" s="88" t="s">
        <v>941</v>
      </c>
      <c r="C69" s="85" t="s">
        <v>942</v>
      </c>
      <c r="D69" s="85" t="s">
        <v>252</v>
      </c>
      <c r="E69" s="85"/>
      <c r="F69" s="107">
        <v>43040</v>
      </c>
      <c r="G69" s="95">
        <v>10.200000000000001</v>
      </c>
      <c r="H69" s="98" t="s">
        <v>162</v>
      </c>
      <c r="I69" s="99">
        <v>4.8000000000000001E-2</v>
      </c>
      <c r="J69" s="99">
        <v>4.8500000000000008E-2</v>
      </c>
      <c r="K69" s="95">
        <v>312999.99999999994</v>
      </c>
      <c r="L69" s="108">
        <v>103.1148</v>
      </c>
      <c r="M69" s="95">
        <v>322.7494099999999</v>
      </c>
      <c r="N69" s="85"/>
      <c r="O69" s="96">
        <f t="shared" si="0"/>
        <v>5.4649236604036372E-3</v>
      </c>
      <c r="P69" s="96">
        <f>M69/'סכום נכסי הקרן'!$C$42</f>
        <v>1.5438632090061563E-3</v>
      </c>
    </row>
    <row r="70" spans="2:16">
      <c r="B70" s="88" t="s">
        <v>943</v>
      </c>
      <c r="C70" s="85" t="s">
        <v>944</v>
      </c>
      <c r="D70" s="85" t="s">
        <v>252</v>
      </c>
      <c r="E70" s="85"/>
      <c r="F70" s="107">
        <v>43070</v>
      </c>
      <c r="G70" s="95">
        <v>10.290000000000001</v>
      </c>
      <c r="H70" s="98" t="s">
        <v>162</v>
      </c>
      <c r="I70" s="99">
        <v>4.8000000000000001E-2</v>
      </c>
      <c r="J70" s="99">
        <v>4.8500000000000008E-2</v>
      </c>
      <c r="K70" s="95">
        <v>742999.99999999988</v>
      </c>
      <c r="L70" s="108">
        <v>102.40170000000001</v>
      </c>
      <c r="M70" s="95">
        <v>760.84458999999981</v>
      </c>
      <c r="N70" s="85"/>
      <c r="O70" s="96">
        <f t="shared" si="0"/>
        <v>1.2882928590887603E-2</v>
      </c>
      <c r="P70" s="96">
        <f>M70/'סכום נכסי הקרן'!$C$42</f>
        <v>3.6394798375382728E-3</v>
      </c>
    </row>
    <row r="71" spans="2:16">
      <c r="B71" s="88" t="s">
        <v>945</v>
      </c>
      <c r="C71" s="85" t="s">
        <v>946</v>
      </c>
      <c r="D71" s="85" t="s">
        <v>252</v>
      </c>
      <c r="E71" s="85"/>
      <c r="F71" s="107">
        <v>43101</v>
      </c>
      <c r="G71" s="95">
        <v>10.369999999999997</v>
      </c>
      <c r="H71" s="98" t="s">
        <v>162</v>
      </c>
      <c r="I71" s="99">
        <v>4.8000000000000001E-2</v>
      </c>
      <c r="J71" s="99">
        <v>4.8499999999999988E-2</v>
      </c>
      <c r="K71" s="95">
        <v>198999.99999999997</v>
      </c>
      <c r="L71" s="108">
        <v>102.30289999999999</v>
      </c>
      <c r="M71" s="95">
        <v>203.58273</v>
      </c>
      <c r="N71" s="85"/>
      <c r="O71" s="96">
        <f t="shared" si="0"/>
        <v>3.4471451954832875E-3</v>
      </c>
      <c r="P71" s="96">
        <f>M71/'סכום נכסי הקרן'!$C$42</f>
        <v>9.7383256823315031E-4</v>
      </c>
    </row>
    <row r="72" spans="2:16">
      <c r="B72" s="88" t="s">
        <v>947</v>
      </c>
      <c r="C72" s="85" t="s">
        <v>948</v>
      </c>
      <c r="D72" s="85" t="s">
        <v>252</v>
      </c>
      <c r="E72" s="85"/>
      <c r="F72" s="107">
        <v>43161</v>
      </c>
      <c r="G72" s="95">
        <v>10.540000000000001</v>
      </c>
      <c r="H72" s="98" t="s">
        <v>162</v>
      </c>
      <c r="I72" s="99">
        <v>4.8000000000000001E-2</v>
      </c>
      <c r="J72" s="99">
        <v>4.8499999999999995E-2</v>
      </c>
      <c r="K72" s="95">
        <v>602999.99999999988</v>
      </c>
      <c r="L72" s="108">
        <v>101.8903</v>
      </c>
      <c r="M72" s="95">
        <v>614.39826999999991</v>
      </c>
      <c r="N72" s="85"/>
      <c r="O72" s="96">
        <f t="shared" si="0"/>
        <v>1.0403240218577201E-2</v>
      </c>
      <c r="P72" s="96">
        <f>M72/'סכום נכסי הקרן'!$C$42</f>
        <v>2.9389577651901238E-3</v>
      </c>
    </row>
    <row r="73" spans="2:16">
      <c r="B73" s="88" t="s">
        <v>949</v>
      </c>
      <c r="C73" s="85" t="s">
        <v>950</v>
      </c>
      <c r="D73" s="85" t="s">
        <v>252</v>
      </c>
      <c r="E73" s="85"/>
      <c r="F73" s="107">
        <v>43252</v>
      </c>
      <c r="G73" s="95">
        <v>10.539999999999997</v>
      </c>
      <c r="H73" s="98" t="s">
        <v>162</v>
      </c>
      <c r="I73" s="99">
        <v>4.8000000000000001E-2</v>
      </c>
      <c r="J73" s="99">
        <v>4.8499999999999988E-2</v>
      </c>
      <c r="K73" s="95">
        <v>84999.999999999985</v>
      </c>
      <c r="L73" s="108">
        <v>102.3001</v>
      </c>
      <c r="M73" s="95">
        <v>86.955070000000006</v>
      </c>
      <c r="N73" s="85"/>
      <c r="O73" s="96">
        <f t="shared" si="0"/>
        <v>1.4723584450086358E-3</v>
      </c>
      <c r="P73" s="96">
        <f>M73/'סכום נכסי הקרן'!$C$42</f>
        <v>4.1594726202459983E-4</v>
      </c>
    </row>
    <row r="74" spans="2:16">
      <c r="B74" s="88" t="s">
        <v>951</v>
      </c>
      <c r="C74" s="85" t="s">
        <v>952</v>
      </c>
      <c r="D74" s="85" t="s">
        <v>252</v>
      </c>
      <c r="E74" s="85"/>
      <c r="F74" s="107">
        <v>43313</v>
      </c>
      <c r="G74" s="95">
        <v>10.71</v>
      </c>
      <c r="H74" s="98" t="s">
        <v>162</v>
      </c>
      <c r="I74" s="99">
        <v>4.8000000000000001E-2</v>
      </c>
      <c r="J74" s="99">
        <v>4.8500000000000008E-2</v>
      </c>
      <c r="K74" s="95">
        <v>530999.99999999988</v>
      </c>
      <c r="L74" s="108">
        <v>100.8934</v>
      </c>
      <c r="M74" s="95">
        <v>535.74376999999993</v>
      </c>
      <c r="N74" s="85"/>
      <c r="O74" s="96">
        <f t="shared" si="0"/>
        <v>9.0714303849133131E-3</v>
      </c>
      <c r="P74" s="96">
        <f>M74/'סכום נכסי הקרן'!$C$42</f>
        <v>2.562716058744325E-3</v>
      </c>
    </row>
    <row r="75" spans="2:16">
      <c r="B75" s="88" t="s">
        <v>953</v>
      </c>
      <c r="C75" s="85" t="s">
        <v>954</v>
      </c>
      <c r="D75" s="85" t="s">
        <v>252</v>
      </c>
      <c r="E75" s="85"/>
      <c r="F75" s="107">
        <v>43345</v>
      </c>
      <c r="G75" s="95">
        <v>10.790000000000001</v>
      </c>
      <c r="H75" s="98" t="s">
        <v>162</v>
      </c>
      <c r="I75" s="99">
        <v>4.8000000000000001E-2</v>
      </c>
      <c r="J75" s="99">
        <v>4.8500000000000008E-2</v>
      </c>
      <c r="K75" s="95">
        <v>507999.99999999994</v>
      </c>
      <c r="L75" s="108">
        <v>100.4821</v>
      </c>
      <c r="M75" s="95">
        <v>510.44907999999992</v>
      </c>
      <c r="N75" s="85"/>
      <c r="O75" s="96">
        <f t="shared" si="0"/>
        <v>8.643130454439157E-3</v>
      </c>
      <c r="P75" s="96">
        <f>M75/'סכום נכסי הקרן'!$C$42</f>
        <v>2.4417195826416547E-3</v>
      </c>
    </row>
    <row r="76" spans="2:16">
      <c r="B76" s="88" t="s">
        <v>955</v>
      </c>
      <c r="C76" s="85" t="s">
        <v>956</v>
      </c>
      <c r="D76" s="85" t="s">
        <v>252</v>
      </c>
      <c r="E76" s="85"/>
      <c r="F76" s="107">
        <v>40057</v>
      </c>
      <c r="G76" s="95">
        <v>5.21</v>
      </c>
      <c r="H76" s="98" t="s">
        <v>162</v>
      </c>
      <c r="I76" s="99">
        <v>4.8000000000000001E-2</v>
      </c>
      <c r="J76" s="99">
        <v>4.8499999999999995E-2</v>
      </c>
      <c r="K76" s="95">
        <v>116999.99999999999</v>
      </c>
      <c r="L76" s="108">
        <v>109.6837</v>
      </c>
      <c r="M76" s="95">
        <v>128.33753999999999</v>
      </c>
      <c r="N76" s="85"/>
      <c r="O76" s="96">
        <f t="shared" ref="O76:O83" si="1">M76/$M$11</f>
        <v>2.1730631788420569E-3</v>
      </c>
      <c r="P76" s="96">
        <f>M76/'סכום נכסי הקרן'!$C$42</f>
        <v>6.1389920539391845E-4</v>
      </c>
    </row>
    <row r="77" spans="2:16">
      <c r="B77" s="88" t="s">
        <v>957</v>
      </c>
      <c r="C77" s="85" t="s">
        <v>958</v>
      </c>
      <c r="D77" s="85" t="s">
        <v>252</v>
      </c>
      <c r="E77" s="85"/>
      <c r="F77" s="107">
        <v>39995</v>
      </c>
      <c r="G77" s="95">
        <v>5.0399999999999991</v>
      </c>
      <c r="H77" s="98" t="s">
        <v>162</v>
      </c>
      <c r="I77" s="99">
        <v>4.8000000000000001E-2</v>
      </c>
      <c r="J77" s="99">
        <v>4.8499999999999995E-2</v>
      </c>
      <c r="K77" s="95">
        <v>49999.999999999993</v>
      </c>
      <c r="L77" s="108">
        <v>112.7059</v>
      </c>
      <c r="M77" s="95">
        <v>56.357039999999991</v>
      </c>
      <c r="N77" s="85"/>
      <c r="O77" s="96">
        <f t="shared" si="1"/>
        <v>9.5426021484071571E-4</v>
      </c>
      <c r="P77" s="96">
        <f>M77/'סכום נכסי הקרן'!$C$42</f>
        <v>2.6958240024199681E-4</v>
      </c>
    </row>
    <row r="78" spans="2:16">
      <c r="B78" s="88" t="s">
        <v>959</v>
      </c>
      <c r="C78" s="85" t="s">
        <v>960</v>
      </c>
      <c r="D78" s="85" t="s">
        <v>252</v>
      </c>
      <c r="E78" s="85"/>
      <c r="F78" s="107">
        <v>40756</v>
      </c>
      <c r="G78" s="95">
        <v>6.580000000000001</v>
      </c>
      <c r="H78" s="98" t="s">
        <v>162</v>
      </c>
      <c r="I78" s="99">
        <v>4.8000000000000001E-2</v>
      </c>
      <c r="J78" s="99">
        <v>4.8500000000000008E-2</v>
      </c>
      <c r="K78" s="95">
        <v>229999.99999999997</v>
      </c>
      <c r="L78" s="108">
        <v>104.28319999999999</v>
      </c>
      <c r="M78" s="95">
        <v>239.87300999999997</v>
      </c>
      <c r="N78" s="85"/>
      <c r="O78" s="96">
        <f t="shared" si="1"/>
        <v>4.0616269068973311E-3</v>
      </c>
      <c r="P78" s="96">
        <f>M78/'סכום נכסי הקרן'!$C$42</f>
        <v>1.1474261563253233E-3</v>
      </c>
    </row>
    <row r="79" spans="2:16">
      <c r="B79" s="88" t="s">
        <v>961</v>
      </c>
      <c r="C79" s="85" t="s">
        <v>962</v>
      </c>
      <c r="D79" s="85" t="s">
        <v>252</v>
      </c>
      <c r="E79" s="85"/>
      <c r="F79" s="107">
        <v>40848</v>
      </c>
      <c r="G79" s="95">
        <v>6.67</v>
      </c>
      <c r="H79" s="98" t="s">
        <v>162</v>
      </c>
      <c r="I79" s="99">
        <v>4.8000000000000001E-2</v>
      </c>
      <c r="J79" s="99">
        <v>4.8499999999999995E-2</v>
      </c>
      <c r="K79" s="95">
        <v>40999.999999999993</v>
      </c>
      <c r="L79" s="108">
        <v>105.5294</v>
      </c>
      <c r="M79" s="95">
        <v>43.26556999999999</v>
      </c>
      <c r="N79" s="85"/>
      <c r="O79" s="96">
        <f t="shared" si="1"/>
        <v>7.3259014532001717E-4</v>
      </c>
      <c r="P79" s="96">
        <f>M79/'סכום נכסי הקרן'!$C$42</f>
        <v>2.069597020787133E-4</v>
      </c>
    </row>
    <row r="80" spans="2:16">
      <c r="B80" s="88" t="s">
        <v>963</v>
      </c>
      <c r="C80" s="85" t="s">
        <v>964</v>
      </c>
      <c r="D80" s="85" t="s">
        <v>252</v>
      </c>
      <c r="E80" s="85"/>
      <c r="F80" s="107">
        <v>40940</v>
      </c>
      <c r="G80" s="95">
        <v>6.9200000000000017</v>
      </c>
      <c r="H80" s="98" t="s">
        <v>162</v>
      </c>
      <c r="I80" s="99">
        <v>4.8000000000000001E-2</v>
      </c>
      <c r="J80" s="99">
        <v>4.8500000000000015E-2</v>
      </c>
      <c r="K80" s="95">
        <v>1293999.9999999998</v>
      </c>
      <c r="L80" s="108">
        <v>104.2953</v>
      </c>
      <c r="M80" s="95">
        <v>1349.5889999999997</v>
      </c>
      <c r="N80" s="85"/>
      <c r="O80" s="96">
        <f t="shared" si="1"/>
        <v>2.2851787267157159E-2</v>
      </c>
      <c r="P80" s="96">
        <f>M80/'סכום נכסי הקרן'!$C$42</f>
        <v>6.455723046494213E-3</v>
      </c>
    </row>
    <row r="81" spans="2:16">
      <c r="B81" s="88" t="s">
        <v>965</v>
      </c>
      <c r="C81" s="85" t="s">
        <v>966</v>
      </c>
      <c r="D81" s="85" t="s">
        <v>252</v>
      </c>
      <c r="E81" s="85"/>
      <c r="F81" s="107">
        <v>40969</v>
      </c>
      <c r="G81" s="95">
        <v>6.9999999999999982</v>
      </c>
      <c r="H81" s="98" t="s">
        <v>162</v>
      </c>
      <c r="I81" s="99">
        <v>4.8000000000000001E-2</v>
      </c>
      <c r="J81" s="99">
        <v>4.8599999999999983E-2</v>
      </c>
      <c r="K81" s="95">
        <v>1424999.9999999998</v>
      </c>
      <c r="L81" s="108">
        <v>103.8616</v>
      </c>
      <c r="M81" s="95">
        <v>1479.7818200000002</v>
      </c>
      <c r="N81" s="85"/>
      <c r="O81" s="96">
        <f t="shared" si="1"/>
        <v>2.505626479798417E-2</v>
      </c>
      <c r="P81" s="96">
        <f>M81/'סכום נכסי הקרן'!$C$42</f>
        <v>7.0784969343682808E-3</v>
      </c>
    </row>
    <row r="82" spans="2:16">
      <c r="B82" s="88" t="s">
        <v>967</v>
      </c>
      <c r="C82" s="85">
        <v>8789</v>
      </c>
      <c r="D82" s="85" t="s">
        <v>252</v>
      </c>
      <c r="E82" s="85"/>
      <c r="F82" s="107">
        <v>41000</v>
      </c>
      <c r="G82" s="95">
        <v>6.92</v>
      </c>
      <c r="H82" s="98" t="s">
        <v>162</v>
      </c>
      <c r="I82" s="99">
        <v>4.8000000000000001E-2</v>
      </c>
      <c r="J82" s="99">
        <v>4.8499999999999995E-2</v>
      </c>
      <c r="K82" s="95">
        <v>1215999.9999999998</v>
      </c>
      <c r="L82" s="108">
        <v>105.9482</v>
      </c>
      <c r="M82" s="95">
        <v>1288.3016699999996</v>
      </c>
      <c r="N82" s="85"/>
      <c r="O82" s="96">
        <f t="shared" si="1"/>
        <v>2.1814045386234847E-2</v>
      </c>
      <c r="P82" s="96">
        <f>M82/'סכום נכסי הקרן'!$C$42</f>
        <v>6.1625567353142188E-3</v>
      </c>
    </row>
    <row r="83" spans="2:16">
      <c r="B83" s="88" t="s">
        <v>968</v>
      </c>
      <c r="C83" s="85" t="s">
        <v>969</v>
      </c>
      <c r="D83" s="85" t="s">
        <v>252</v>
      </c>
      <c r="E83" s="85"/>
      <c r="F83" s="107">
        <v>41640</v>
      </c>
      <c r="G83" s="95">
        <v>8.129999999999999</v>
      </c>
      <c r="H83" s="98" t="s">
        <v>162</v>
      </c>
      <c r="I83" s="99">
        <v>4.8000000000000001E-2</v>
      </c>
      <c r="J83" s="99">
        <v>4.8499999999999995E-2</v>
      </c>
      <c r="K83" s="95">
        <v>1033999.9999999999</v>
      </c>
      <c r="L83" s="108">
        <v>101.2718</v>
      </c>
      <c r="M83" s="95">
        <v>1047.1501199999998</v>
      </c>
      <c r="N83" s="85"/>
      <c r="O83" s="96">
        <f t="shared" si="1"/>
        <v>1.7730769722499286E-2</v>
      </c>
      <c r="P83" s="96">
        <f>M83/'סכום נכסי הקרן'!$C$42</f>
        <v>5.0090147169421064E-3</v>
      </c>
    </row>
    <row r="87" spans="2:16">
      <c r="B87" s="100" t="s">
        <v>110</v>
      </c>
    </row>
    <row r="88" spans="2:16">
      <c r="B88" s="100" t="s">
        <v>229</v>
      </c>
    </row>
    <row r="89" spans="2:16">
      <c r="B89" s="100" t="s">
        <v>237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177</v>
      </c>
      <c r="C1" s="79" t="s" vm="1">
        <v>247</v>
      </c>
    </row>
    <row r="2" spans="2:65">
      <c r="B2" s="57" t="s">
        <v>176</v>
      </c>
      <c r="C2" s="79" t="s">
        <v>248</v>
      </c>
    </row>
    <row r="3" spans="2:65">
      <c r="B3" s="57" t="s">
        <v>178</v>
      </c>
      <c r="C3" s="79" t="s">
        <v>249</v>
      </c>
    </row>
    <row r="4" spans="2:65">
      <c r="B4" s="57" t="s">
        <v>179</v>
      </c>
      <c r="C4" s="79">
        <v>2144</v>
      </c>
    </row>
    <row r="6" spans="2:65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</row>
    <row r="7" spans="2:65" ht="26.25" customHeight="1">
      <c r="B7" s="207" t="s">
        <v>85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</row>
    <row r="8" spans="2:65" s="3" customFormat="1" ht="78.75">
      <c r="B8" s="22" t="s">
        <v>114</v>
      </c>
      <c r="C8" s="30" t="s">
        <v>44</v>
      </c>
      <c r="D8" s="30" t="s">
        <v>116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100</v>
      </c>
      <c r="J8" s="30" t="s">
        <v>18</v>
      </c>
      <c r="K8" s="30" t="s">
        <v>99</v>
      </c>
      <c r="L8" s="30" t="s">
        <v>17</v>
      </c>
      <c r="M8" s="72" t="s">
        <v>19</v>
      </c>
      <c r="N8" s="30" t="s">
        <v>231</v>
      </c>
      <c r="O8" s="30" t="s">
        <v>230</v>
      </c>
      <c r="P8" s="30" t="s">
        <v>108</v>
      </c>
      <c r="Q8" s="30" t="s">
        <v>56</v>
      </c>
      <c r="R8" s="30" t="s">
        <v>180</v>
      </c>
      <c r="S8" s="31" t="s">
        <v>182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238</v>
      </c>
      <c r="O9" s="32"/>
      <c r="P9" s="32" t="s">
        <v>234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20" t="s">
        <v>112</v>
      </c>
      <c r="S10" s="20" t="s">
        <v>183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7" workbookViewId="0">
      <selection activeCell="D29" sqref="D29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177</v>
      </c>
      <c r="C1" s="79" t="s" vm="1">
        <v>247</v>
      </c>
    </row>
    <row r="2" spans="2:81">
      <c r="B2" s="57" t="s">
        <v>176</v>
      </c>
      <c r="C2" s="79" t="s">
        <v>248</v>
      </c>
    </row>
    <row r="3" spans="2:81">
      <c r="B3" s="57" t="s">
        <v>178</v>
      </c>
      <c r="C3" s="79" t="s">
        <v>249</v>
      </c>
    </row>
    <row r="4" spans="2:81">
      <c r="B4" s="57" t="s">
        <v>179</v>
      </c>
      <c r="C4" s="79">
        <v>2144</v>
      </c>
    </row>
    <row r="6" spans="2:81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</row>
    <row r="7" spans="2:81" ht="26.25" customHeight="1">
      <c r="B7" s="207" t="s">
        <v>86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</row>
    <row r="8" spans="2:81" s="3" customFormat="1" ht="78.75">
      <c r="B8" s="22" t="s">
        <v>114</v>
      </c>
      <c r="C8" s="30" t="s">
        <v>44</v>
      </c>
      <c r="D8" s="30" t="s">
        <v>116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100</v>
      </c>
      <c r="J8" s="30" t="s">
        <v>18</v>
      </c>
      <c r="K8" s="30" t="s">
        <v>99</v>
      </c>
      <c r="L8" s="30" t="s">
        <v>17</v>
      </c>
      <c r="M8" s="72" t="s">
        <v>19</v>
      </c>
      <c r="N8" s="72" t="s">
        <v>231</v>
      </c>
      <c r="O8" s="30" t="s">
        <v>230</v>
      </c>
      <c r="P8" s="30" t="s">
        <v>108</v>
      </c>
      <c r="Q8" s="30" t="s">
        <v>56</v>
      </c>
      <c r="R8" s="30" t="s">
        <v>180</v>
      </c>
      <c r="S8" s="31" t="s">
        <v>182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238</v>
      </c>
      <c r="O9" s="32"/>
      <c r="P9" s="32" t="s">
        <v>234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20" t="s">
        <v>183</v>
      </c>
      <c r="T10" s="5"/>
      <c r="BZ10" s="1"/>
    </row>
    <row r="11" spans="2:81" s="4" customFormat="1" ht="18" customHeight="1">
      <c r="B11" s="128" t="s">
        <v>49</v>
      </c>
      <c r="C11" s="83"/>
      <c r="D11" s="83"/>
      <c r="E11" s="83"/>
      <c r="F11" s="83"/>
      <c r="G11" s="83"/>
      <c r="H11" s="83"/>
      <c r="I11" s="83"/>
      <c r="J11" s="94">
        <v>7.3771369139974237</v>
      </c>
      <c r="K11" s="83"/>
      <c r="L11" s="83"/>
      <c r="M11" s="93">
        <v>2.3376735527920568E-2</v>
      </c>
      <c r="N11" s="92"/>
      <c r="O11" s="94"/>
      <c r="P11" s="92">
        <v>2523.3319200000001</v>
      </c>
      <c r="Q11" s="83"/>
      <c r="R11" s="93">
        <f>P11/$P$11</f>
        <v>1</v>
      </c>
      <c r="S11" s="93">
        <f>P11/'סכום נכסי הקרן'!$C$42</f>
        <v>1.2070291051496785E-2</v>
      </c>
      <c r="T11" s="5"/>
      <c r="BZ11" s="101"/>
      <c r="CC11" s="101"/>
    </row>
    <row r="12" spans="2:81" s="101" customFormat="1" ht="17.25" customHeight="1">
      <c r="B12" s="129" t="s">
        <v>228</v>
      </c>
      <c r="C12" s="83"/>
      <c r="D12" s="83"/>
      <c r="E12" s="83"/>
      <c r="F12" s="83"/>
      <c r="G12" s="83"/>
      <c r="H12" s="83"/>
      <c r="I12" s="83"/>
      <c r="J12" s="94">
        <v>7.3771369139974219</v>
      </c>
      <c r="K12" s="83"/>
      <c r="L12" s="83"/>
      <c r="M12" s="93">
        <v>2.3376735527920554E-2</v>
      </c>
      <c r="N12" s="92"/>
      <c r="O12" s="94"/>
      <c r="P12" s="92">
        <v>2523.3319200000005</v>
      </c>
      <c r="Q12" s="83"/>
      <c r="R12" s="93">
        <f t="shared" ref="R12:R19" si="0">P12/$P$11</f>
        <v>1.0000000000000002</v>
      </c>
      <c r="S12" s="93">
        <f>P12/'סכום נכסי הקרן'!$C$42</f>
        <v>1.2070291051496788E-2</v>
      </c>
    </row>
    <row r="13" spans="2:81">
      <c r="B13" s="109" t="s">
        <v>57</v>
      </c>
      <c r="C13" s="83"/>
      <c r="D13" s="83"/>
      <c r="E13" s="83"/>
      <c r="F13" s="83"/>
      <c r="G13" s="83"/>
      <c r="H13" s="83"/>
      <c r="I13" s="83"/>
      <c r="J13" s="94">
        <v>9.3457870070550957</v>
      </c>
      <c r="K13" s="83"/>
      <c r="L13" s="83"/>
      <c r="M13" s="93">
        <v>1.7988896439850105E-2</v>
      </c>
      <c r="N13" s="92"/>
      <c r="O13" s="94"/>
      <c r="P13" s="92">
        <v>1348.1727299999998</v>
      </c>
      <c r="Q13" s="83"/>
      <c r="R13" s="93">
        <f t="shared" si="0"/>
        <v>0.53428275500117306</v>
      </c>
      <c r="S13" s="93">
        <f>P13/'סכום נכסי הקרן'!$C$42</f>
        <v>6.4489483566597091E-3</v>
      </c>
    </row>
    <row r="14" spans="2:81">
      <c r="B14" s="110" t="s">
        <v>970</v>
      </c>
      <c r="C14" s="85" t="s">
        <v>971</v>
      </c>
      <c r="D14" s="98" t="s">
        <v>972</v>
      </c>
      <c r="E14" s="85" t="s">
        <v>973</v>
      </c>
      <c r="F14" s="98" t="s">
        <v>601</v>
      </c>
      <c r="G14" s="85" t="s">
        <v>306</v>
      </c>
      <c r="H14" s="85" t="s">
        <v>307</v>
      </c>
      <c r="I14" s="107">
        <v>42639</v>
      </c>
      <c r="J14" s="97">
        <v>8.51</v>
      </c>
      <c r="K14" s="98" t="s">
        <v>162</v>
      </c>
      <c r="L14" s="99">
        <v>4.9000000000000002E-2</v>
      </c>
      <c r="M14" s="96">
        <v>1.41E-2</v>
      </c>
      <c r="N14" s="95">
        <v>137296.99999999997</v>
      </c>
      <c r="O14" s="97">
        <v>164.99</v>
      </c>
      <c r="P14" s="95">
        <v>226.52630999999997</v>
      </c>
      <c r="Q14" s="96">
        <v>6.9939019544488216E-5</v>
      </c>
      <c r="R14" s="96">
        <f t="shared" si="0"/>
        <v>8.9772696253135012E-2</v>
      </c>
      <c r="S14" s="96">
        <f>P14/'סכום נכסי הקרן'!$C$42</f>
        <v>1.0835825722529545E-3</v>
      </c>
    </row>
    <row r="15" spans="2:81">
      <c r="B15" s="110" t="s">
        <v>974</v>
      </c>
      <c r="C15" s="85" t="s">
        <v>975</v>
      </c>
      <c r="D15" s="98" t="s">
        <v>972</v>
      </c>
      <c r="E15" s="85" t="s">
        <v>973</v>
      </c>
      <c r="F15" s="98" t="s">
        <v>601</v>
      </c>
      <c r="G15" s="85" t="s">
        <v>306</v>
      </c>
      <c r="H15" s="85" t="s">
        <v>307</v>
      </c>
      <c r="I15" s="107">
        <v>42639</v>
      </c>
      <c r="J15" s="97">
        <v>11.749999999999998</v>
      </c>
      <c r="K15" s="98" t="s">
        <v>162</v>
      </c>
      <c r="L15" s="99">
        <v>4.0999999999999995E-2</v>
      </c>
      <c r="M15" s="96">
        <v>2.4399999999999991E-2</v>
      </c>
      <c r="N15" s="95">
        <v>568351.60999999987</v>
      </c>
      <c r="O15" s="97">
        <v>125.5</v>
      </c>
      <c r="P15" s="95">
        <v>713.28129000000001</v>
      </c>
      <c r="Q15" s="96">
        <v>1.3042950483866525E-4</v>
      </c>
      <c r="R15" s="96">
        <f t="shared" si="0"/>
        <v>0.28267438157719654</v>
      </c>
      <c r="S15" s="96">
        <f>P15/'סכום נכסי הקרן'!$C$42</f>
        <v>3.4119620584386235E-3</v>
      </c>
    </row>
    <row r="16" spans="2:81">
      <c r="B16" s="110" t="s">
        <v>976</v>
      </c>
      <c r="C16" s="85" t="s">
        <v>977</v>
      </c>
      <c r="D16" s="98" t="s">
        <v>972</v>
      </c>
      <c r="E16" s="85" t="s">
        <v>978</v>
      </c>
      <c r="F16" s="98" t="s">
        <v>601</v>
      </c>
      <c r="G16" s="85" t="s">
        <v>306</v>
      </c>
      <c r="H16" s="85" t="s">
        <v>158</v>
      </c>
      <c r="I16" s="107">
        <v>42796</v>
      </c>
      <c r="J16" s="97">
        <v>8.1899999999999977</v>
      </c>
      <c r="K16" s="98" t="s">
        <v>162</v>
      </c>
      <c r="L16" s="99">
        <v>2.1400000000000002E-2</v>
      </c>
      <c r="M16" s="96">
        <v>1.3799999999999996E-2</v>
      </c>
      <c r="N16" s="95">
        <v>179999.99999999997</v>
      </c>
      <c r="O16" s="97">
        <v>108.15</v>
      </c>
      <c r="P16" s="95">
        <v>194.67001000000002</v>
      </c>
      <c r="Q16" s="96">
        <v>6.9325158099874432E-4</v>
      </c>
      <c r="R16" s="96">
        <f t="shared" si="0"/>
        <v>7.714799961790203E-2</v>
      </c>
      <c r="S16" s="96">
        <f>P16/'סכום נכסי הקרן'!$C$42</f>
        <v>9.3119880942884041E-4</v>
      </c>
    </row>
    <row r="17" spans="2:19">
      <c r="B17" s="110" t="s">
        <v>979</v>
      </c>
      <c r="C17" s="85" t="s">
        <v>980</v>
      </c>
      <c r="D17" s="98" t="s">
        <v>972</v>
      </c>
      <c r="E17" s="85" t="s">
        <v>407</v>
      </c>
      <c r="F17" s="98" t="s">
        <v>408</v>
      </c>
      <c r="G17" s="85" t="s">
        <v>339</v>
      </c>
      <c r="H17" s="85" t="s">
        <v>307</v>
      </c>
      <c r="I17" s="107">
        <v>42768</v>
      </c>
      <c r="J17" s="97">
        <v>1.32</v>
      </c>
      <c r="K17" s="98" t="s">
        <v>162</v>
      </c>
      <c r="L17" s="99">
        <v>6.8499999999999991E-2</v>
      </c>
      <c r="M17" s="96">
        <v>5.1000000000000004E-3</v>
      </c>
      <c r="N17" s="95">
        <v>14199.999999999998</v>
      </c>
      <c r="O17" s="97">
        <v>123.53</v>
      </c>
      <c r="P17" s="95">
        <v>17.541249999999998</v>
      </c>
      <c r="Q17" s="96">
        <v>2.8115972446347E-5</v>
      </c>
      <c r="R17" s="96">
        <f t="shared" si="0"/>
        <v>6.951622123497727E-3</v>
      </c>
      <c r="S17" s="96">
        <f>P17/'סכום נכסי הקרן'!$C$42</f>
        <v>8.3908102310641699E-5</v>
      </c>
    </row>
    <row r="18" spans="2:19">
      <c r="B18" s="110" t="s">
        <v>981</v>
      </c>
      <c r="C18" s="85" t="s">
        <v>982</v>
      </c>
      <c r="D18" s="98" t="s">
        <v>972</v>
      </c>
      <c r="E18" s="85" t="s">
        <v>407</v>
      </c>
      <c r="F18" s="98" t="s">
        <v>408</v>
      </c>
      <c r="G18" s="85" t="s">
        <v>365</v>
      </c>
      <c r="H18" s="85" t="s">
        <v>158</v>
      </c>
      <c r="I18" s="107">
        <v>42935</v>
      </c>
      <c r="J18" s="97">
        <v>2.84</v>
      </c>
      <c r="K18" s="98" t="s">
        <v>162</v>
      </c>
      <c r="L18" s="99">
        <v>0.06</v>
      </c>
      <c r="M18" s="96">
        <v>4.1999999999999997E-3</v>
      </c>
      <c r="N18" s="95">
        <v>94999.999999999985</v>
      </c>
      <c r="O18" s="97">
        <v>124.82</v>
      </c>
      <c r="P18" s="95">
        <v>118.57899999999998</v>
      </c>
      <c r="Q18" s="96">
        <v>2.5670480608693505E-5</v>
      </c>
      <c r="R18" s="96">
        <f t="shared" si="0"/>
        <v>4.6993025000056268E-2</v>
      </c>
      <c r="S18" s="96">
        <f>P18/'סכום נכסי הקרן'!$C$42</f>
        <v>5.6721948914094389E-4</v>
      </c>
    </row>
    <row r="19" spans="2:19">
      <c r="B19" s="110" t="s">
        <v>983</v>
      </c>
      <c r="C19" s="85" t="s">
        <v>984</v>
      </c>
      <c r="D19" s="98" t="s">
        <v>972</v>
      </c>
      <c r="E19" s="85" t="s">
        <v>985</v>
      </c>
      <c r="F19" s="98" t="s">
        <v>601</v>
      </c>
      <c r="G19" s="85" t="s">
        <v>365</v>
      </c>
      <c r="H19" s="85" t="s">
        <v>307</v>
      </c>
      <c r="I19" s="107">
        <v>42835</v>
      </c>
      <c r="J19" s="97">
        <v>4.34</v>
      </c>
      <c r="K19" s="98" t="s">
        <v>162</v>
      </c>
      <c r="L19" s="99">
        <v>5.5999999999999994E-2</v>
      </c>
      <c r="M19" s="96">
        <v>4.9000000000000007E-3</v>
      </c>
      <c r="N19" s="95">
        <v>51167.389999999992</v>
      </c>
      <c r="O19" s="97">
        <v>151.61000000000001</v>
      </c>
      <c r="P19" s="95">
        <v>77.574869999999976</v>
      </c>
      <c r="Q19" s="96">
        <v>6.0023245160948818E-5</v>
      </c>
      <c r="R19" s="96">
        <f t="shared" si="0"/>
        <v>3.0743030429385594E-2</v>
      </c>
      <c r="S19" s="96">
        <f>P19/'סכום נכסי הקרן'!$C$42</f>
        <v>3.710773250877063E-4</v>
      </c>
    </row>
    <row r="20" spans="2:19">
      <c r="B20" s="111"/>
      <c r="C20" s="85"/>
      <c r="D20" s="85"/>
      <c r="E20" s="85"/>
      <c r="F20" s="85"/>
      <c r="G20" s="85"/>
      <c r="H20" s="85"/>
      <c r="I20" s="85"/>
      <c r="J20" s="97"/>
      <c r="K20" s="85"/>
      <c r="L20" s="85"/>
      <c r="M20" s="96"/>
      <c r="N20" s="95"/>
      <c r="O20" s="97"/>
      <c r="P20" s="85"/>
      <c r="Q20" s="85"/>
      <c r="R20" s="96"/>
      <c r="S20" s="85"/>
    </row>
    <row r="21" spans="2:19">
      <c r="B21" s="109" t="s">
        <v>58</v>
      </c>
      <c r="C21" s="83"/>
      <c r="D21" s="83"/>
      <c r="E21" s="83"/>
      <c r="F21" s="83"/>
      <c r="G21" s="83"/>
      <c r="H21" s="83"/>
      <c r="I21" s="83"/>
      <c r="J21" s="94">
        <v>5.4739105244391206</v>
      </c>
      <c r="K21" s="83"/>
      <c r="L21" s="83"/>
      <c r="M21" s="93">
        <v>2.5667291273001557E-2</v>
      </c>
      <c r="N21" s="92"/>
      <c r="O21" s="94"/>
      <c r="P21" s="92">
        <v>974.54342999999983</v>
      </c>
      <c r="Q21" s="83"/>
      <c r="R21" s="93">
        <f t="shared" ref="R21:R26" si="1">P21/$P$11</f>
        <v>0.3862129362672192</v>
      </c>
      <c r="S21" s="93">
        <f>P21/'סכום נכסי הקרן'!$C$42</f>
        <v>4.661702548598514E-3</v>
      </c>
    </row>
    <row r="22" spans="2:19">
      <c r="B22" s="110" t="s">
        <v>986</v>
      </c>
      <c r="C22" s="85" t="s">
        <v>987</v>
      </c>
      <c r="D22" s="98" t="s">
        <v>972</v>
      </c>
      <c r="E22" s="85" t="s">
        <v>978</v>
      </c>
      <c r="F22" s="98" t="s">
        <v>601</v>
      </c>
      <c r="G22" s="85" t="s">
        <v>306</v>
      </c>
      <c r="H22" s="85" t="s">
        <v>158</v>
      </c>
      <c r="I22" s="107">
        <v>42796</v>
      </c>
      <c r="J22" s="97">
        <v>7.5700000000000012</v>
      </c>
      <c r="K22" s="98" t="s">
        <v>162</v>
      </c>
      <c r="L22" s="99">
        <v>3.7400000000000003E-2</v>
      </c>
      <c r="M22" s="96">
        <v>3.0799999999999998E-2</v>
      </c>
      <c r="N22" s="95">
        <v>179999.99999999997</v>
      </c>
      <c r="O22" s="97">
        <v>105.32</v>
      </c>
      <c r="P22" s="95">
        <v>189.57599999999996</v>
      </c>
      <c r="Q22" s="96">
        <v>3.4947520473422406E-4</v>
      </c>
      <c r="R22" s="96">
        <f t="shared" si="1"/>
        <v>7.5129236267894542E-2</v>
      </c>
      <c r="S22" s="96">
        <f>P22/'סכום נכסי הקרן'!$C$42</f>
        <v>9.0683174823015522E-4</v>
      </c>
    </row>
    <row r="23" spans="2:19">
      <c r="B23" s="110" t="s">
        <v>988</v>
      </c>
      <c r="C23" s="85" t="s">
        <v>989</v>
      </c>
      <c r="D23" s="98" t="s">
        <v>972</v>
      </c>
      <c r="E23" s="85" t="s">
        <v>978</v>
      </c>
      <c r="F23" s="98" t="s">
        <v>601</v>
      </c>
      <c r="G23" s="85" t="s">
        <v>306</v>
      </c>
      <c r="H23" s="85" t="s">
        <v>158</v>
      </c>
      <c r="I23" s="107">
        <v>42796</v>
      </c>
      <c r="J23" s="97">
        <v>4.22</v>
      </c>
      <c r="K23" s="98" t="s">
        <v>162</v>
      </c>
      <c r="L23" s="99">
        <v>2.5000000000000001E-2</v>
      </c>
      <c r="M23" s="96">
        <v>1.9199999999999998E-2</v>
      </c>
      <c r="N23" s="95">
        <v>287123.99999999994</v>
      </c>
      <c r="O23" s="97">
        <v>102.58</v>
      </c>
      <c r="P23" s="95">
        <v>294.53180999999995</v>
      </c>
      <c r="Q23" s="96">
        <v>3.9587147867904958E-4</v>
      </c>
      <c r="R23" s="96">
        <f t="shared" si="1"/>
        <v>0.116723371850343</v>
      </c>
      <c r="S23" s="96">
        <f>P23/'סכום נכסי הקרן'!$C$42</f>
        <v>1.4088850707457269E-3</v>
      </c>
    </row>
    <row r="24" spans="2:19">
      <c r="B24" s="110" t="s">
        <v>990</v>
      </c>
      <c r="C24" s="85" t="s">
        <v>991</v>
      </c>
      <c r="D24" s="98" t="s">
        <v>972</v>
      </c>
      <c r="E24" s="85" t="s">
        <v>992</v>
      </c>
      <c r="F24" s="98" t="s">
        <v>353</v>
      </c>
      <c r="G24" s="85" t="s">
        <v>365</v>
      </c>
      <c r="H24" s="85" t="s">
        <v>158</v>
      </c>
      <c r="I24" s="107">
        <v>42598</v>
      </c>
      <c r="J24" s="97">
        <v>5.669999999999999</v>
      </c>
      <c r="K24" s="98" t="s">
        <v>162</v>
      </c>
      <c r="L24" s="99">
        <v>3.1E-2</v>
      </c>
      <c r="M24" s="96">
        <v>2.629999999999999E-2</v>
      </c>
      <c r="N24" s="95">
        <v>349198.10999999993</v>
      </c>
      <c r="O24" s="97">
        <v>102.81</v>
      </c>
      <c r="P24" s="95">
        <v>359.01058</v>
      </c>
      <c r="Q24" s="96">
        <v>9.6999474999999978E-4</v>
      </c>
      <c r="R24" s="96">
        <f t="shared" si="1"/>
        <v>0.1422763993727785</v>
      </c>
      <c r="S24" s="96">
        <f>P24/'סכום נכסי הקרן'!$C$42</f>
        <v>1.7173175501884314E-3</v>
      </c>
    </row>
    <row r="25" spans="2:19">
      <c r="B25" s="110" t="s">
        <v>993</v>
      </c>
      <c r="C25" s="85" t="s">
        <v>994</v>
      </c>
      <c r="D25" s="98" t="s">
        <v>972</v>
      </c>
      <c r="E25" s="85" t="s">
        <v>995</v>
      </c>
      <c r="F25" s="98" t="s">
        <v>353</v>
      </c>
      <c r="G25" s="85" t="s">
        <v>534</v>
      </c>
      <c r="H25" s="85" t="s">
        <v>307</v>
      </c>
      <c r="I25" s="107">
        <v>43312</v>
      </c>
      <c r="J25" s="97">
        <v>5.1300000000000008</v>
      </c>
      <c r="K25" s="98" t="s">
        <v>162</v>
      </c>
      <c r="L25" s="99">
        <v>3.5499999999999997E-2</v>
      </c>
      <c r="M25" s="96">
        <v>3.2500000000000001E-2</v>
      </c>
      <c r="N25" s="95">
        <v>112999.99999999999</v>
      </c>
      <c r="O25" s="97">
        <v>102.28</v>
      </c>
      <c r="P25" s="95">
        <v>115.57638999999999</v>
      </c>
      <c r="Q25" s="96">
        <v>3.5312499999999998E-4</v>
      </c>
      <c r="R25" s="96">
        <f t="shared" si="1"/>
        <v>4.580308642075117E-2</v>
      </c>
      <c r="S25" s="96">
        <f>P25/'סכום נכסי הקרן'!$C$42</f>
        <v>5.5285658415532677E-4</v>
      </c>
    </row>
    <row r="26" spans="2:19">
      <c r="B26" s="110" t="s">
        <v>996</v>
      </c>
      <c r="C26" s="85" t="s">
        <v>997</v>
      </c>
      <c r="D26" s="98" t="s">
        <v>972</v>
      </c>
      <c r="E26" s="85" t="s">
        <v>998</v>
      </c>
      <c r="F26" s="98" t="s">
        <v>353</v>
      </c>
      <c r="G26" s="85" t="s">
        <v>597</v>
      </c>
      <c r="H26" s="85" t="s">
        <v>158</v>
      </c>
      <c r="I26" s="107">
        <v>41903</v>
      </c>
      <c r="J26" s="97">
        <v>1.77</v>
      </c>
      <c r="K26" s="98" t="s">
        <v>162</v>
      </c>
      <c r="L26" s="99">
        <v>5.1500000000000004E-2</v>
      </c>
      <c r="M26" s="96">
        <v>2.0300000000000002E-2</v>
      </c>
      <c r="N26" s="95">
        <v>14893.949999999997</v>
      </c>
      <c r="O26" s="97">
        <v>106.41</v>
      </c>
      <c r="P26" s="95">
        <v>15.848649999999997</v>
      </c>
      <c r="Q26" s="96">
        <v>2.3529395966750356E-4</v>
      </c>
      <c r="R26" s="96">
        <f t="shared" si="1"/>
        <v>6.2808423554519916E-3</v>
      </c>
      <c r="S26" s="96">
        <f>P26/'סכום נכסי הקרן'!$C$42</f>
        <v>7.5811595278874164E-5</v>
      </c>
    </row>
    <row r="27" spans="2:19">
      <c r="B27" s="111"/>
      <c r="C27" s="85"/>
      <c r="D27" s="85"/>
      <c r="E27" s="85"/>
      <c r="F27" s="85"/>
      <c r="G27" s="85"/>
      <c r="H27" s="85"/>
      <c r="I27" s="85"/>
      <c r="J27" s="97"/>
      <c r="K27" s="85"/>
      <c r="L27" s="85"/>
      <c r="M27" s="96"/>
      <c r="N27" s="95"/>
      <c r="O27" s="97"/>
      <c r="P27" s="85"/>
      <c r="Q27" s="85"/>
      <c r="R27" s="96"/>
      <c r="S27" s="85"/>
    </row>
    <row r="28" spans="2:19">
      <c r="B28" s="109" t="s">
        <v>46</v>
      </c>
      <c r="C28" s="83"/>
      <c r="D28" s="83"/>
      <c r="E28" s="83"/>
      <c r="F28" s="83"/>
      <c r="G28" s="83"/>
      <c r="H28" s="83"/>
      <c r="I28" s="83"/>
      <c r="J28" s="94">
        <v>3.3928856436802377</v>
      </c>
      <c r="K28" s="83"/>
      <c r="L28" s="83"/>
      <c r="M28" s="93">
        <v>4.8456976879583141E-2</v>
      </c>
      <c r="N28" s="92"/>
      <c r="O28" s="94"/>
      <c r="P28" s="92">
        <v>200.61575999999994</v>
      </c>
      <c r="Q28" s="83"/>
      <c r="R28" s="93">
        <f t="shared" ref="R28:R30" si="2">P28/$P$11</f>
        <v>7.9504308731607506E-2</v>
      </c>
      <c r="S28" s="93">
        <f>P28/'סכום נכסי הקרן'!$C$42</f>
        <v>9.5964014623855978E-4</v>
      </c>
    </row>
    <row r="29" spans="2:19">
      <c r="B29" s="110" t="s">
        <v>999</v>
      </c>
      <c r="C29" s="85" t="s">
        <v>1000</v>
      </c>
      <c r="D29" s="98" t="s">
        <v>972</v>
      </c>
      <c r="E29" s="85" t="s">
        <v>1001</v>
      </c>
      <c r="F29" s="98" t="s">
        <v>188</v>
      </c>
      <c r="G29" s="85" t="s">
        <v>445</v>
      </c>
      <c r="H29" s="85" t="s">
        <v>307</v>
      </c>
      <c r="I29" s="107">
        <v>42954</v>
      </c>
      <c r="J29" s="97">
        <v>1.91</v>
      </c>
      <c r="K29" s="98" t="s">
        <v>161</v>
      </c>
      <c r="L29" s="99">
        <v>3.7000000000000005E-2</v>
      </c>
      <c r="M29" s="96">
        <v>4.0199999999999993E-2</v>
      </c>
      <c r="N29" s="95">
        <v>8742.9999999999982</v>
      </c>
      <c r="O29" s="97">
        <v>99.61</v>
      </c>
      <c r="P29" s="95">
        <v>31.587219999999995</v>
      </c>
      <c r="Q29" s="96">
        <v>1.3009642283197425E-4</v>
      </c>
      <c r="R29" s="96">
        <f t="shared" si="2"/>
        <v>1.2518059851594947E-2</v>
      </c>
      <c r="S29" s="96">
        <f>P29/'סכום נכסי הקרן'!$C$42</f>
        <v>1.5109662580880767E-4</v>
      </c>
    </row>
    <row r="30" spans="2:19">
      <c r="B30" s="110" t="s">
        <v>1002</v>
      </c>
      <c r="C30" s="85" t="s">
        <v>1003</v>
      </c>
      <c r="D30" s="98" t="s">
        <v>972</v>
      </c>
      <c r="E30" s="85" t="s">
        <v>1001</v>
      </c>
      <c r="F30" s="98" t="s">
        <v>188</v>
      </c>
      <c r="G30" s="85" t="s">
        <v>445</v>
      </c>
      <c r="H30" s="85" t="s">
        <v>307</v>
      </c>
      <c r="I30" s="107">
        <v>42625</v>
      </c>
      <c r="J30" s="97">
        <v>3.669999999999999</v>
      </c>
      <c r="K30" s="98" t="s">
        <v>161</v>
      </c>
      <c r="L30" s="99">
        <v>4.4500000000000005E-2</v>
      </c>
      <c r="M30" s="96">
        <v>4.9999999999999989E-2</v>
      </c>
      <c r="N30" s="95">
        <v>47350.999999999993</v>
      </c>
      <c r="O30" s="97">
        <v>98.42</v>
      </c>
      <c r="P30" s="95">
        <v>169.02854000000002</v>
      </c>
      <c r="Q30" s="96">
        <v>3.4530463542686125E-4</v>
      </c>
      <c r="R30" s="96">
        <f t="shared" si="2"/>
        <v>6.6986248880012589E-2</v>
      </c>
      <c r="S30" s="96">
        <f>P30/'סכום נכסי הקרן'!$C$42</f>
        <v>8.0854352042975246E-4</v>
      </c>
    </row>
    <row r="31" spans="2:19">
      <c r="B31" s="112"/>
      <c r="C31" s="113"/>
      <c r="D31" s="113"/>
      <c r="E31" s="113"/>
      <c r="F31" s="113"/>
      <c r="G31" s="113"/>
      <c r="H31" s="113"/>
      <c r="I31" s="113"/>
      <c r="J31" s="114"/>
      <c r="K31" s="113"/>
      <c r="L31" s="113"/>
      <c r="M31" s="115"/>
      <c r="N31" s="116"/>
      <c r="O31" s="114"/>
      <c r="P31" s="113"/>
      <c r="Q31" s="113"/>
      <c r="R31" s="115"/>
      <c r="S31" s="113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0" t="s">
        <v>246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0" t="s">
        <v>110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0" t="s">
        <v>229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0" t="s">
        <v>237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3 B38:B130">
    <cfRule type="cellIs" dxfId="73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177</v>
      </c>
      <c r="C1" s="79" t="s" vm="1">
        <v>247</v>
      </c>
    </row>
    <row r="2" spans="2:98">
      <c r="B2" s="57" t="s">
        <v>176</v>
      </c>
      <c r="C2" s="79" t="s">
        <v>248</v>
      </c>
    </row>
    <row r="3" spans="2:98">
      <c r="B3" s="57" t="s">
        <v>178</v>
      </c>
      <c r="C3" s="79" t="s">
        <v>249</v>
      </c>
    </row>
    <row r="4" spans="2:98">
      <c r="B4" s="57" t="s">
        <v>179</v>
      </c>
      <c r="C4" s="79">
        <v>2144</v>
      </c>
    </row>
    <row r="6" spans="2:98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</row>
    <row r="7" spans="2:98" ht="26.25" customHeight="1">
      <c r="B7" s="207" t="s">
        <v>87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</row>
    <row r="8" spans="2:98" s="3" customFormat="1" ht="78.75">
      <c r="B8" s="22" t="s">
        <v>114</v>
      </c>
      <c r="C8" s="30" t="s">
        <v>44</v>
      </c>
      <c r="D8" s="30" t="s">
        <v>116</v>
      </c>
      <c r="E8" s="30" t="s">
        <v>115</v>
      </c>
      <c r="F8" s="30" t="s">
        <v>60</v>
      </c>
      <c r="G8" s="30" t="s">
        <v>99</v>
      </c>
      <c r="H8" s="30" t="s">
        <v>231</v>
      </c>
      <c r="I8" s="30" t="s">
        <v>230</v>
      </c>
      <c r="J8" s="30" t="s">
        <v>108</v>
      </c>
      <c r="K8" s="30" t="s">
        <v>56</v>
      </c>
      <c r="L8" s="30" t="s">
        <v>180</v>
      </c>
      <c r="M8" s="31" t="s">
        <v>182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238</v>
      </c>
      <c r="I9" s="32"/>
      <c r="J9" s="32" t="s">
        <v>234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2"/>
      <c r="C11" s="85"/>
      <c r="D11" s="85"/>
      <c r="E11" s="85"/>
      <c r="F11" s="85"/>
      <c r="G11" s="85"/>
      <c r="H11" s="95"/>
      <c r="I11" s="95"/>
      <c r="J11" s="85"/>
      <c r="K11" s="85"/>
      <c r="L11" s="96"/>
      <c r="M11" s="8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106"/>
      <c r="C12" s="85"/>
      <c r="D12" s="85"/>
      <c r="E12" s="85"/>
      <c r="F12" s="85"/>
      <c r="G12" s="85"/>
      <c r="H12" s="95"/>
      <c r="I12" s="95"/>
      <c r="J12" s="85"/>
      <c r="K12" s="85"/>
      <c r="L12" s="96"/>
      <c r="M12" s="85"/>
    </row>
    <row r="13" spans="2:98">
      <c r="B13" s="103"/>
      <c r="C13" s="83"/>
      <c r="D13" s="83"/>
      <c r="E13" s="83"/>
      <c r="F13" s="83"/>
      <c r="G13" s="83"/>
      <c r="H13" s="92"/>
      <c r="I13" s="92"/>
      <c r="J13" s="83"/>
      <c r="K13" s="83"/>
      <c r="L13" s="93"/>
      <c r="M13" s="83"/>
    </row>
    <row r="14" spans="2:98">
      <c r="B14" s="88"/>
      <c r="C14" s="85"/>
      <c r="D14" s="98"/>
      <c r="E14" s="85"/>
      <c r="F14" s="98"/>
      <c r="G14" s="98"/>
      <c r="H14" s="95"/>
      <c r="I14" s="95"/>
      <c r="J14" s="85"/>
      <c r="K14" s="85"/>
      <c r="L14" s="96"/>
      <c r="M14" s="85"/>
    </row>
    <row r="15" spans="2:9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2:9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2:1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2:13">
      <c r="B18" s="100" t="s">
        <v>246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2:13">
      <c r="B19" s="100" t="s">
        <v>110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>
      <c r="B20" s="100" t="s">
        <v>229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>
      <c r="B21" s="100" t="s">
        <v>237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2:1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2:1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1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2:1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2:1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2:1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1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2:1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2:1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2:1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2:1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2:1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2:1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2:1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2:1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2:1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2:13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2:13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2:13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2:13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2:13">
      <c r="C115" s="1"/>
      <c r="D115" s="1"/>
      <c r="E115" s="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177</v>
      </c>
      <c r="C1" s="79" t="s" vm="1">
        <v>247</v>
      </c>
    </row>
    <row r="2" spans="2:55">
      <c r="B2" s="57" t="s">
        <v>176</v>
      </c>
      <c r="C2" s="79" t="s">
        <v>248</v>
      </c>
    </row>
    <row r="3" spans="2:55">
      <c r="B3" s="57" t="s">
        <v>178</v>
      </c>
      <c r="C3" s="79" t="s">
        <v>249</v>
      </c>
    </row>
    <row r="4" spans="2:55">
      <c r="B4" s="57" t="s">
        <v>179</v>
      </c>
      <c r="C4" s="79">
        <v>2144</v>
      </c>
    </row>
    <row r="6" spans="2:55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55" ht="26.25" customHeight="1"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9"/>
    </row>
    <row r="8" spans="2:55" s="3" customFormat="1" ht="78.75">
      <c r="B8" s="22" t="s">
        <v>114</v>
      </c>
      <c r="C8" s="30" t="s">
        <v>44</v>
      </c>
      <c r="D8" s="30" t="s">
        <v>99</v>
      </c>
      <c r="E8" s="30" t="s">
        <v>100</v>
      </c>
      <c r="F8" s="30" t="s">
        <v>231</v>
      </c>
      <c r="G8" s="30" t="s">
        <v>230</v>
      </c>
      <c r="H8" s="30" t="s">
        <v>108</v>
      </c>
      <c r="I8" s="30" t="s">
        <v>56</v>
      </c>
      <c r="J8" s="30" t="s">
        <v>180</v>
      </c>
      <c r="K8" s="31" t="s">
        <v>182</v>
      </c>
      <c r="BC8" s="1"/>
    </row>
    <row r="9" spans="2:55" s="3" customFormat="1" ht="21" customHeight="1">
      <c r="B9" s="15"/>
      <c r="C9" s="16"/>
      <c r="D9" s="16"/>
      <c r="E9" s="32" t="s">
        <v>22</v>
      </c>
      <c r="F9" s="32" t="s">
        <v>238</v>
      </c>
      <c r="G9" s="32"/>
      <c r="H9" s="32" t="s">
        <v>234</v>
      </c>
      <c r="I9" s="32" t="s">
        <v>20</v>
      </c>
      <c r="J9" s="32" t="s">
        <v>20</v>
      </c>
      <c r="K9" s="33" t="s">
        <v>20</v>
      </c>
      <c r="BC9" s="1"/>
    </row>
    <row r="10" spans="2:55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100" t="s">
        <v>110</v>
      </c>
      <c r="C12" s="102"/>
      <c r="D12" s="102"/>
      <c r="E12" s="102"/>
      <c r="F12" s="102"/>
      <c r="G12" s="102"/>
      <c r="H12" s="102"/>
      <c r="I12" s="102"/>
      <c r="J12" s="102"/>
      <c r="K12" s="102"/>
      <c r="V12" s="1"/>
    </row>
    <row r="13" spans="2:55">
      <c r="B13" s="100" t="s">
        <v>229</v>
      </c>
      <c r="C13" s="102"/>
      <c r="D13" s="102"/>
      <c r="E13" s="102"/>
      <c r="F13" s="102"/>
      <c r="G13" s="102"/>
      <c r="H13" s="102"/>
      <c r="I13" s="102"/>
      <c r="J13" s="102"/>
      <c r="K13" s="102"/>
      <c r="V13" s="1"/>
    </row>
    <row r="14" spans="2:55">
      <c r="B14" s="100" t="s">
        <v>237</v>
      </c>
      <c r="C14" s="102"/>
      <c r="D14" s="102"/>
      <c r="E14" s="102"/>
      <c r="F14" s="102"/>
      <c r="G14" s="102"/>
      <c r="H14" s="102"/>
      <c r="I14" s="102"/>
      <c r="J14" s="102"/>
      <c r="K14" s="102"/>
      <c r="V14" s="1"/>
    </row>
    <row r="15" spans="2:5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V15" s="1"/>
    </row>
    <row r="16" spans="2:5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V16" s="1"/>
    </row>
    <row r="17" spans="2:2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V17" s="1"/>
    </row>
    <row r="18" spans="2:2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V18" s="1"/>
    </row>
    <row r="19" spans="2:2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V19" s="1"/>
    </row>
    <row r="20" spans="2:2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V20" s="1"/>
    </row>
    <row r="21" spans="2:2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V21" s="1"/>
    </row>
    <row r="22" spans="2:22" ht="16.5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V22" s="1"/>
    </row>
    <row r="23" spans="2:22" ht="16.5" customHeight="1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V23" s="1"/>
    </row>
    <row r="24" spans="2:22" ht="16.5" customHeight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V24" s="1"/>
    </row>
    <row r="25" spans="2:2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V25" s="1"/>
    </row>
    <row r="26" spans="2:2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V26" s="1"/>
    </row>
    <row r="27" spans="2:2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V27" s="1"/>
    </row>
    <row r="28" spans="2:2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V28" s="1"/>
    </row>
    <row r="29" spans="2:2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V29" s="1"/>
    </row>
    <row r="30" spans="2:2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V30" s="1"/>
    </row>
    <row r="31" spans="2:2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V31" s="1"/>
    </row>
    <row r="32" spans="2:2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V32" s="1"/>
    </row>
    <row r="33" spans="2:2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V33" s="1"/>
    </row>
    <row r="34" spans="2:2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V34" s="1"/>
    </row>
    <row r="35" spans="2:2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V35" s="1"/>
    </row>
    <row r="36" spans="2:2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V36" s="1"/>
    </row>
    <row r="37" spans="2:2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V37" s="1"/>
    </row>
    <row r="38" spans="2:22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22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22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22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22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22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22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22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22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22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22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177</v>
      </c>
      <c r="C1" s="79" t="s" vm="1">
        <v>247</v>
      </c>
    </row>
    <row r="2" spans="2:59">
      <c r="B2" s="57" t="s">
        <v>176</v>
      </c>
      <c r="C2" s="79" t="s">
        <v>248</v>
      </c>
    </row>
    <row r="3" spans="2:59">
      <c r="B3" s="57" t="s">
        <v>178</v>
      </c>
      <c r="C3" s="79" t="s">
        <v>249</v>
      </c>
    </row>
    <row r="4" spans="2:59">
      <c r="B4" s="57" t="s">
        <v>179</v>
      </c>
      <c r="C4" s="79">
        <v>2144</v>
      </c>
    </row>
    <row r="6" spans="2:59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59" ht="26.25" customHeight="1">
      <c r="B7" s="207" t="s">
        <v>95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2:59" s="3" customFormat="1" ht="78.75">
      <c r="B8" s="22" t="s">
        <v>114</v>
      </c>
      <c r="C8" s="30" t="s">
        <v>44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56</v>
      </c>
      <c r="K8" s="30" t="s">
        <v>180</v>
      </c>
      <c r="L8" s="31" t="s">
        <v>182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"/>
      <c r="N11" s="1"/>
      <c r="O11" s="1"/>
      <c r="P11" s="1"/>
      <c r="BG11" s="1"/>
    </row>
    <row r="12" spans="2:59" ht="21" customHeight="1">
      <c r="B12" s="117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9">
      <c r="B13" s="117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9">
      <c r="B14" s="117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9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82</v>
      </c>
      <c r="C6" s="13" t="s">
        <v>44</v>
      </c>
      <c r="E6" s="13" t="s">
        <v>115</v>
      </c>
      <c r="I6" s="13" t="s">
        <v>15</v>
      </c>
      <c r="J6" s="13" t="s">
        <v>61</v>
      </c>
      <c r="M6" s="13" t="s">
        <v>99</v>
      </c>
      <c r="Q6" s="13" t="s">
        <v>17</v>
      </c>
      <c r="R6" s="13" t="s">
        <v>19</v>
      </c>
      <c r="U6" s="13" t="s">
        <v>59</v>
      </c>
      <c r="W6" s="14" t="s">
        <v>55</v>
      </c>
    </row>
    <row r="7" spans="2:25" ht="18">
      <c r="B7" s="53" t="str">
        <f>'תעודות התחייבות ממשלתיות'!B6:R6</f>
        <v>1.ב. ניירות ערך סחירים</v>
      </c>
      <c r="C7" s="13"/>
      <c r="E7" s="47"/>
      <c r="I7" s="13"/>
      <c r="J7" s="13"/>
      <c r="K7" s="13"/>
      <c r="L7" s="13"/>
      <c r="M7" s="13"/>
      <c r="Q7" s="13"/>
      <c r="R7" s="52"/>
    </row>
    <row r="8" spans="2:25" ht="37.5">
      <c r="B8" s="48" t="s">
        <v>84</v>
      </c>
      <c r="C8" s="30" t="s">
        <v>44</v>
      </c>
      <c r="D8" s="30" t="s">
        <v>117</v>
      </c>
      <c r="I8" s="30" t="s">
        <v>15</v>
      </c>
      <c r="J8" s="30" t="s">
        <v>61</v>
      </c>
      <c r="K8" s="30" t="s">
        <v>100</v>
      </c>
      <c r="L8" s="30" t="s">
        <v>18</v>
      </c>
      <c r="M8" s="30" t="s">
        <v>99</v>
      </c>
      <c r="Q8" s="30" t="s">
        <v>17</v>
      </c>
      <c r="R8" s="30" t="s">
        <v>19</v>
      </c>
      <c r="S8" s="30" t="s">
        <v>0</v>
      </c>
      <c r="T8" s="30" t="s">
        <v>103</v>
      </c>
      <c r="U8" s="30" t="s">
        <v>59</v>
      </c>
      <c r="V8" s="30" t="s">
        <v>56</v>
      </c>
      <c r="W8" s="31" t="s">
        <v>109</v>
      </c>
    </row>
    <row r="9" spans="2:25" ht="31.5">
      <c r="B9" s="49" t="str">
        <f>'תעודות חוב מסחריות '!B7:T7</f>
        <v>2. תעודות חוב מסחריות</v>
      </c>
      <c r="C9" s="13" t="s">
        <v>44</v>
      </c>
      <c r="D9" s="13" t="s">
        <v>117</v>
      </c>
      <c r="E9" s="42" t="s">
        <v>115</v>
      </c>
      <c r="G9" s="13" t="s">
        <v>60</v>
      </c>
      <c r="I9" s="13" t="s">
        <v>15</v>
      </c>
      <c r="J9" s="13" t="s">
        <v>61</v>
      </c>
      <c r="K9" s="13" t="s">
        <v>100</v>
      </c>
      <c r="L9" s="13" t="s">
        <v>18</v>
      </c>
      <c r="M9" s="13" t="s">
        <v>99</v>
      </c>
      <c r="Q9" s="13" t="s">
        <v>17</v>
      </c>
      <c r="R9" s="13" t="s">
        <v>19</v>
      </c>
      <c r="S9" s="13" t="s">
        <v>0</v>
      </c>
      <c r="T9" s="13" t="s">
        <v>103</v>
      </c>
      <c r="U9" s="13" t="s">
        <v>59</v>
      </c>
      <c r="V9" s="13" t="s">
        <v>56</v>
      </c>
      <c r="W9" s="39" t="s">
        <v>109</v>
      </c>
    </row>
    <row r="10" spans="2:25" ht="31.5">
      <c r="B10" s="49" t="str">
        <f>'אג"ח קונצרני'!B7:U7</f>
        <v>3. אג"ח קונצרני</v>
      </c>
      <c r="C10" s="30" t="s">
        <v>44</v>
      </c>
      <c r="D10" s="13" t="s">
        <v>117</v>
      </c>
      <c r="E10" s="42" t="s">
        <v>115</v>
      </c>
      <c r="G10" s="30" t="s">
        <v>60</v>
      </c>
      <c r="I10" s="30" t="s">
        <v>15</v>
      </c>
      <c r="J10" s="30" t="s">
        <v>61</v>
      </c>
      <c r="K10" s="30" t="s">
        <v>100</v>
      </c>
      <c r="L10" s="30" t="s">
        <v>18</v>
      </c>
      <c r="M10" s="30" t="s">
        <v>99</v>
      </c>
      <c r="Q10" s="30" t="s">
        <v>17</v>
      </c>
      <c r="R10" s="30" t="s">
        <v>19</v>
      </c>
      <c r="S10" s="30" t="s">
        <v>0</v>
      </c>
      <c r="T10" s="30" t="s">
        <v>103</v>
      </c>
      <c r="U10" s="30" t="s">
        <v>59</v>
      </c>
      <c r="V10" s="13" t="s">
        <v>56</v>
      </c>
      <c r="W10" s="31" t="s">
        <v>109</v>
      </c>
    </row>
    <row r="11" spans="2:25" ht="31.5">
      <c r="B11" s="49" t="str">
        <f>מניות!B7</f>
        <v>4. מניות</v>
      </c>
      <c r="C11" s="30" t="s">
        <v>44</v>
      </c>
      <c r="D11" s="13" t="s">
        <v>117</v>
      </c>
      <c r="E11" s="42" t="s">
        <v>115</v>
      </c>
      <c r="H11" s="30" t="s">
        <v>99</v>
      </c>
      <c r="S11" s="30" t="s">
        <v>0</v>
      </c>
      <c r="T11" s="13" t="s">
        <v>103</v>
      </c>
      <c r="U11" s="13" t="s">
        <v>59</v>
      </c>
      <c r="V11" s="13" t="s">
        <v>56</v>
      </c>
      <c r="W11" s="14" t="s">
        <v>109</v>
      </c>
    </row>
    <row r="12" spans="2:25" ht="31.5">
      <c r="B12" s="49" t="str">
        <f>'תעודות סל'!B7:N7</f>
        <v>5. תעודות סל</v>
      </c>
      <c r="C12" s="30" t="s">
        <v>44</v>
      </c>
      <c r="D12" s="13" t="s">
        <v>117</v>
      </c>
      <c r="E12" s="42" t="s">
        <v>115</v>
      </c>
      <c r="H12" s="30" t="s">
        <v>99</v>
      </c>
      <c r="S12" s="30" t="s">
        <v>0</v>
      </c>
      <c r="T12" s="30" t="s">
        <v>103</v>
      </c>
      <c r="U12" s="30" t="s">
        <v>59</v>
      </c>
      <c r="V12" s="30" t="s">
        <v>56</v>
      </c>
      <c r="W12" s="31" t="s">
        <v>109</v>
      </c>
    </row>
    <row r="13" spans="2:25" ht="31.5">
      <c r="B13" s="49" t="str">
        <f>'קרנות נאמנות'!B7:O7</f>
        <v>6. קרנות נאמנות</v>
      </c>
      <c r="C13" s="30" t="s">
        <v>44</v>
      </c>
      <c r="D13" s="30" t="s">
        <v>117</v>
      </c>
      <c r="G13" s="30" t="s">
        <v>60</v>
      </c>
      <c r="H13" s="30" t="s">
        <v>99</v>
      </c>
      <c r="S13" s="30" t="s">
        <v>0</v>
      </c>
      <c r="T13" s="30" t="s">
        <v>103</v>
      </c>
      <c r="U13" s="30" t="s">
        <v>59</v>
      </c>
      <c r="V13" s="30" t="s">
        <v>56</v>
      </c>
      <c r="W13" s="31" t="s">
        <v>109</v>
      </c>
    </row>
    <row r="14" spans="2:25" ht="31.5">
      <c r="B14" s="49" t="str">
        <f>'כתבי אופציה'!B7:L7</f>
        <v>7. כתבי אופציה</v>
      </c>
      <c r="C14" s="30" t="s">
        <v>44</v>
      </c>
      <c r="D14" s="30" t="s">
        <v>117</v>
      </c>
      <c r="G14" s="30" t="s">
        <v>60</v>
      </c>
      <c r="H14" s="30" t="s">
        <v>99</v>
      </c>
      <c r="S14" s="30" t="s">
        <v>0</v>
      </c>
      <c r="T14" s="30" t="s">
        <v>103</v>
      </c>
      <c r="U14" s="30" t="s">
        <v>59</v>
      </c>
      <c r="V14" s="30" t="s">
        <v>56</v>
      </c>
      <c r="W14" s="31" t="s">
        <v>109</v>
      </c>
    </row>
    <row r="15" spans="2:25" ht="31.5">
      <c r="B15" s="49" t="str">
        <f>אופציות!B7</f>
        <v>8. אופציות</v>
      </c>
      <c r="C15" s="30" t="s">
        <v>44</v>
      </c>
      <c r="D15" s="30" t="s">
        <v>117</v>
      </c>
      <c r="G15" s="30" t="s">
        <v>60</v>
      </c>
      <c r="H15" s="30" t="s">
        <v>99</v>
      </c>
      <c r="S15" s="30" t="s">
        <v>0</v>
      </c>
      <c r="T15" s="30" t="s">
        <v>103</v>
      </c>
      <c r="U15" s="30" t="s">
        <v>59</v>
      </c>
      <c r="V15" s="30" t="s">
        <v>56</v>
      </c>
      <c r="W15" s="31" t="s">
        <v>109</v>
      </c>
    </row>
    <row r="16" spans="2:25" ht="31.5">
      <c r="B16" s="49" t="str">
        <f>'חוזים עתידיים'!B7:I7</f>
        <v>9. חוזים עתידיים</v>
      </c>
      <c r="C16" s="30" t="s">
        <v>44</v>
      </c>
      <c r="D16" s="30" t="s">
        <v>117</v>
      </c>
      <c r="G16" s="30" t="s">
        <v>60</v>
      </c>
      <c r="H16" s="30" t="s">
        <v>99</v>
      </c>
      <c r="S16" s="30" t="s">
        <v>0</v>
      </c>
      <c r="T16" s="31" t="s">
        <v>103</v>
      </c>
    </row>
    <row r="17" spans="2:25" ht="31.5">
      <c r="B17" s="49" t="str">
        <f>'מוצרים מובנים'!B7:Q7</f>
        <v>10. מוצרים מובנים</v>
      </c>
      <c r="C17" s="30" t="s">
        <v>44</v>
      </c>
      <c r="F17" s="13" t="s">
        <v>48</v>
      </c>
      <c r="I17" s="30" t="s">
        <v>15</v>
      </c>
      <c r="J17" s="30" t="s">
        <v>61</v>
      </c>
      <c r="K17" s="30" t="s">
        <v>100</v>
      </c>
      <c r="L17" s="30" t="s">
        <v>18</v>
      </c>
      <c r="M17" s="30" t="s">
        <v>99</v>
      </c>
      <c r="Q17" s="30" t="s">
        <v>17</v>
      </c>
      <c r="R17" s="30" t="s">
        <v>19</v>
      </c>
      <c r="S17" s="30" t="s">
        <v>0</v>
      </c>
      <c r="T17" s="30" t="s">
        <v>103</v>
      </c>
      <c r="U17" s="30" t="s">
        <v>59</v>
      </c>
      <c r="V17" s="30" t="s">
        <v>56</v>
      </c>
      <c r="W17" s="31" t="s">
        <v>109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0" t="s">
        <v>44</v>
      </c>
      <c r="I19" s="30" t="s">
        <v>15</v>
      </c>
      <c r="J19" s="30" t="s">
        <v>61</v>
      </c>
      <c r="K19" s="30" t="s">
        <v>100</v>
      </c>
      <c r="L19" s="30" t="s">
        <v>18</v>
      </c>
      <c r="M19" s="30" t="s">
        <v>99</v>
      </c>
      <c r="Q19" s="30" t="s">
        <v>17</v>
      </c>
      <c r="R19" s="30" t="s">
        <v>19</v>
      </c>
      <c r="S19" s="30" t="s">
        <v>0</v>
      </c>
      <c r="T19" s="30" t="s">
        <v>103</v>
      </c>
      <c r="U19" s="30" t="s">
        <v>108</v>
      </c>
      <c r="V19" s="30" t="s">
        <v>56</v>
      </c>
      <c r="W19" s="31" t="s">
        <v>109</v>
      </c>
    </row>
    <row r="20" spans="2:25" ht="31.5">
      <c r="B20" s="49" t="str">
        <f>'לא סחיר - תעודות חוב מסחריות'!B7:S7</f>
        <v>2. תעודות חוב מסחריות</v>
      </c>
      <c r="C20" s="30" t="s">
        <v>44</v>
      </c>
      <c r="D20" s="42" t="s">
        <v>116</v>
      </c>
      <c r="E20" s="42" t="s">
        <v>115</v>
      </c>
      <c r="G20" s="30" t="s">
        <v>60</v>
      </c>
      <c r="I20" s="30" t="s">
        <v>15</v>
      </c>
      <c r="J20" s="30" t="s">
        <v>61</v>
      </c>
      <c r="K20" s="30" t="s">
        <v>100</v>
      </c>
      <c r="L20" s="30" t="s">
        <v>18</v>
      </c>
      <c r="M20" s="30" t="s">
        <v>99</v>
      </c>
      <c r="Q20" s="30" t="s">
        <v>17</v>
      </c>
      <c r="R20" s="30" t="s">
        <v>19</v>
      </c>
      <c r="S20" s="30" t="s">
        <v>0</v>
      </c>
      <c r="T20" s="30" t="s">
        <v>103</v>
      </c>
      <c r="U20" s="30" t="s">
        <v>108</v>
      </c>
      <c r="V20" s="30" t="s">
        <v>56</v>
      </c>
      <c r="W20" s="31" t="s">
        <v>109</v>
      </c>
    </row>
    <row r="21" spans="2:25" ht="31.5">
      <c r="B21" s="49" t="str">
        <f>'לא סחיר - אג"ח קונצרני'!B7:S7</f>
        <v>3. אג"ח קונצרני</v>
      </c>
      <c r="C21" s="30" t="s">
        <v>44</v>
      </c>
      <c r="D21" s="42" t="s">
        <v>116</v>
      </c>
      <c r="E21" s="42" t="s">
        <v>115</v>
      </c>
      <c r="G21" s="30" t="s">
        <v>60</v>
      </c>
      <c r="I21" s="30" t="s">
        <v>15</v>
      </c>
      <c r="J21" s="30" t="s">
        <v>61</v>
      </c>
      <c r="K21" s="30" t="s">
        <v>100</v>
      </c>
      <c r="L21" s="30" t="s">
        <v>18</v>
      </c>
      <c r="M21" s="30" t="s">
        <v>99</v>
      </c>
      <c r="Q21" s="30" t="s">
        <v>17</v>
      </c>
      <c r="R21" s="30" t="s">
        <v>19</v>
      </c>
      <c r="S21" s="30" t="s">
        <v>0</v>
      </c>
      <c r="T21" s="30" t="s">
        <v>103</v>
      </c>
      <c r="U21" s="30" t="s">
        <v>108</v>
      </c>
      <c r="V21" s="30" t="s">
        <v>56</v>
      </c>
      <c r="W21" s="31" t="s">
        <v>109</v>
      </c>
    </row>
    <row r="22" spans="2:25" ht="31.5">
      <c r="B22" s="49" t="str">
        <f>'לא סחיר - מניות'!B7:M7</f>
        <v>4. מניות</v>
      </c>
      <c r="C22" s="30" t="s">
        <v>44</v>
      </c>
      <c r="D22" s="42" t="s">
        <v>116</v>
      </c>
      <c r="E22" s="42" t="s">
        <v>115</v>
      </c>
      <c r="G22" s="30" t="s">
        <v>60</v>
      </c>
      <c r="H22" s="30" t="s">
        <v>99</v>
      </c>
      <c r="S22" s="30" t="s">
        <v>0</v>
      </c>
      <c r="T22" s="30" t="s">
        <v>103</v>
      </c>
      <c r="U22" s="30" t="s">
        <v>108</v>
      </c>
      <c r="V22" s="30" t="s">
        <v>56</v>
      </c>
      <c r="W22" s="31" t="s">
        <v>109</v>
      </c>
    </row>
    <row r="23" spans="2:25" ht="31.5">
      <c r="B23" s="49" t="str">
        <f>'לא סחיר - קרנות השקעה'!B7:K7</f>
        <v>5. קרנות השקעה</v>
      </c>
      <c r="C23" s="30" t="s">
        <v>44</v>
      </c>
      <c r="G23" s="30" t="s">
        <v>60</v>
      </c>
      <c r="H23" s="30" t="s">
        <v>99</v>
      </c>
      <c r="K23" s="30" t="s">
        <v>100</v>
      </c>
      <c r="S23" s="30" t="s">
        <v>0</v>
      </c>
      <c r="T23" s="30" t="s">
        <v>103</v>
      </c>
      <c r="U23" s="30" t="s">
        <v>108</v>
      </c>
      <c r="V23" s="30" t="s">
        <v>56</v>
      </c>
      <c r="W23" s="31" t="s">
        <v>109</v>
      </c>
    </row>
    <row r="24" spans="2:25" ht="31.5">
      <c r="B24" s="49" t="str">
        <f>'לא סחיר - כתבי אופציה'!B7:L7</f>
        <v>6. כתבי אופציה</v>
      </c>
      <c r="C24" s="30" t="s">
        <v>44</v>
      </c>
      <c r="G24" s="30" t="s">
        <v>60</v>
      </c>
      <c r="H24" s="30" t="s">
        <v>99</v>
      </c>
      <c r="K24" s="30" t="s">
        <v>100</v>
      </c>
      <c r="S24" s="30" t="s">
        <v>0</v>
      </c>
      <c r="T24" s="30" t="s">
        <v>103</v>
      </c>
      <c r="U24" s="30" t="s">
        <v>108</v>
      </c>
      <c r="V24" s="30" t="s">
        <v>56</v>
      </c>
      <c r="W24" s="31" t="s">
        <v>109</v>
      </c>
    </row>
    <row r="25" spans="2:25" ht="31.5">
      <c r="B25" s="49" t="str">
        <f>'לא סחיר - אופציות'!B7:L7</f>
        <v>7. אופציות</v>
      </c>
      <c r="C25" s="30" t="s">
        <v>44</v>
      </c>
      <c r="G25" s="30" t="s">
        <v>60</v>
      </c>
      <c r="H25" s="30" t="s">
        <v>99</v>
      </c>
      <c r="K25" s="30" t="s">
        <v>100</v>
      </c>
      <c r="S25" s="30" t="s">
        <v>0</v>
      </c>
      <c r="T25" s="30" t="s">
        <v>103</v>
      </c>
      <c r="U25" s="30" t="s">
        <v>108</v>
      </c>
      <c r="V25" s="30" t="s">
        <v>56</v>
      </c>
      <c r="W25" s="31" t="s">
        <v>109</v>
      </c>
    </row>
    <row r="26" spans="2:25" ht="31.5">
      <c r="B26" s="49" t="str">
        <f>'לא סחיר - חוזים עתידיים'!B7:K7</f>
        <v>8. חוזים עתידיים</v>
      </c>
      <c r="C26" s="30" t="s">
        <v>44</v>
      </c>
      <c r="G26" s="30" t="s">
        <v>60</v>
      </c>
      <c r="H26" s="30" t="s">
        <v>99</v>
      </c>
      <c r="K26" s="30" t="s">
        <v>100</v>
      </c>
      <c r="S26" s="30" t="s">
        <v>0</v>
      </c>
      <c r="T26" s="30" t="s">
        <v>103</v>
      </c>
      <c r="U26" s="30" t="s">
        <v>108</v>
      </c>
      <c r="V26" s="31" t="s">
        <v>109</v>
      </c>
    </row>
    <row r="27" spans="2:25" ht="31.5">
      <c r="B27" s="49" t="str">
        <f>'לא סחיר - מוצרים מובנים'!B7:Q7</f>
        <v>9. מוצרים מובנים</v>
      </c>
      <c r="C27" s="30" t="s">
        <v>44</v>
      </c>
      <c r="F27" s="30" t="s">
        <v>48</v>
      </c>
      <c r="I27" s="30" t="s">
        <v>15</v>
      </c>
      <c r="J27" s="30" t="s">
        <v>61</v>
      </c>
      <c r="K27" s="30" t="s">
        <v>100</v>
      </c>
      <c r="L27" s="30" t="s">
        <v>18</v>
      </c>
      <c r="M27" s="30" t="s">
        <v>99</v>
      </c>
      <c r="Q27" s="30" t="s">
        <v>17</v>
      </c>
      <c r="R27" s="30" t="s">
        <v>19</v>
      </c>
      <c r="S27" s="30" t="s">
        <v>0</v>
      </c>
      <c r="T27" s="30" t="s">
        <v>103</v>
      </c>
      <c r="U27" s="30" t="s">
        <v>108</v>
      </c>
      <c r="V27" s="30" t="s">
        <v>56</v>
      </c>
      <c r="W27" s="31" t="s">
        <v>109</v>
      </c>
    </row>
    <row r="28" spans="2:25" ht="31.5">
      <c r="B28" s="53" t="str">
        <f>הלוואות!B6</f>
        <v>1.ד. הלוואות:</v>
      </c>
      <c r="C28" s="30" t="s">
        <v>44</v>
      </c>
      <c r="I28" s="30" t="s">
        <v>15</v>
      </c>
      <c r="J28" s="30" t="s">
        <v>61</v>
      </c>
      <c r="L28" s="30" t="s">
        <v>18</v>
      </c>
      <c r="M28" s="30" t="s">
        <v>99</v>
      </c>
      <c r="Q28" s="13" t="s">
        <v>35</v>
      </c>
      <c r="R28" s="30" t="s">
        <v>19</v>
      </c>
      <c r="S28" s="30" t="s">
        <v>0</v>
      </c>
      <c r="T28" s="30" t="s">
        <v>103</v>
      </c>
      <c r="U28" s="30" t="s">
        <v>108</v>
      </c>
      <c r="V28" s="31" t="s">
        <v>109</v>
      </c>
    </row>
    <row r="29" spans="2:25" ht="47.25">
      <c r="B29" s="53" t="str">
        <f>'פקדונות מעל 3 חודשים'!B6:O6</f>
        <v>1.ה. פקדונות מעל 3 חודשים:</v>
      </c>
      <c r="C29" s="30" t="s">
        <v>44</v>
      </c>
      <c r="E29" s="30" t="s">
        <v>115</v>
      </c>
      <c r="I29" s="30" t="s">
        <v>15</v>
      </c>
      <c r="J29" s="30" t="s">
        <v>61</v>
      </c>
      <c r="L29" s="30" t="s">
        <v>18</v>
      </c>
      <c r="M29" s="30" t="s">
        <v>99</v>
      </c>
      <c r="O29" s="50" t="s">
        <v>50</v>
      </c>
      <c r="P29" s="51"/>
      <c r="R29" s="30" t="s">
        <v>19</v>
      </c>
      <c r="S29" s="30" t="s">
        <v>0</v>
      </c>
      <c r="T29" s="30" t="s">
        <v>103</v>
      </c>
      <c r="U29" s="30" t="s">
        <v>108</v>
      </c>
      <c r="V29" s="31" t="s">
        <v>109</v>
      </c>
    </row>
    <row r="30" spans="2:25" ht="63">
      <c r="B30" s="53" t="str">
        <f>'זכויות מקרקעין'!B6</f>
        <v>1. ו. זכויות במקרקעין:</v>
      </c>
      <c r="C30" s="13" t="s">
        <v>52</v>
      </c>
      <c r="N30" s="50" t="s">
        <v>83</v>
      </c>
      <c r="P30" s="51" t="s">
        <v>53</v>
      </c>
      <c r="U30" s="30" t="s">
        <v>108</v>
      </c>
      <c r="V30" s="14" t="s">
        <v>55</v>
      </c>
    </row>
    <row r="31" spans="2:25" ht="31.5">
      <c r="B31" s="53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54</v>
      </c>
      <c r="R31" s="13" t="s">
        <v>51</v>
      </c>
      <c r="U31" s="30" t="s">
        <v>108</v>
      </c>
      <c r="V31" s="14" t="s">
        <v>55</v>
      </c>
    </row>
    <row r="32" spans="2:25" ht="47.25">
      <c r="B32" s="53" t="str">
        <f>'יתרת התחייבות להשקעה'!B6:D6</f>
        <v>1. ט. יתרות התחייבות להשקעה:</v>
      </c>
      <c r="X32" s="13" t="s">
        <v>105</v>
      </c>
      <c r="Y32" s="14" t="s">
        <v>104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177</v>
      </c>
      <c r="C1" s="79" t="s" vm="1">
        <v>247</v>
      </c>
    </row>
    <row r="2" spans="2:54">
      <c r="B2" s="57" t="s">
        <v>176</v>
      </c>
      <c r="C2" s="79" t="s">
        <v>248</v>
      </c>
    </row>
    <row r="3" spans="2:54">
      <c r="B3" s="57" t="s">
        <v>178</v>
      </c>
      <c r="C3" s="79" t="s">
        <v>249</v>
      </c>
    </row>
    <row r="4" spans="2:54">
      <c r="B4" s="57" t="s">
        <v>179</v>
      </c>
      <c r="C4" s="79">
        <v>2144</v>
      </c>
    </row>
    <row r="6" spans="2:54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2:54" ht="26.25" customHeight="1">
      <c r="B7" s="207" t="s">
        <v>96</v>
      </c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2:54" s="3" customFormat="1" ht="78.75">
      <c r="B8" s="22" t="s">
        <v>114</v>
      </c>
      <c r="C8" s="30" t="s">
        <v>44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56</v>
      </c>
      <c r="K8" s="30" t="s">
        <v>180</v>
      </c>
      <c r="L8" s="31" t="s">
        <v>182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Q564"/>
  <sheetViews>
    <sheetView rightToLeft="1" workbookViewId="0">
      <selection activeCell="A24" sqref="A24:XFD24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8" style="1" customWidth="1"/>
    <col min="13" max="13" width="8.7109375" style="1" customWidth="1"/>
    <col min="14" max="14" width="10" style="1" customWidth="1"/>
    <col min="15" max="15" width="9.5703125" style="1" customWidth="1"/>
    <col min="16" max="16" width="6.140625" style="1" customWidth="1"/>
    <col min="17" max="18" width="5.71093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43">
      <c r="B1" s="57" t="s">
        <v>177</v>
      </c>
      <c r="C1" s="79" t="s" vm="1">
        <v>247</v>
      </c>
    </row>
    <row r="2" spans="2:43">
      <c r="B2" s="57" t="s">
        <v>176</v>
      </c>
      <c r="C2" s="79" t="s">
        <v>248</v>
      </c>
    </row>
    <row r="3" spans="2:43">
      <c r="B3" s="57" t="s">
        <v>178</v>
      </c>
      <c r="C3" s="79" t="s">
        <v>249</v>
      </c>
    </row>
    <row r="4" spans="2:43">
      <c r="B4" s="57" t="s">
        <v>179</v>
      </c>
      <c r="C4" s="79">
        <v>2144</v>
      </c>
    </row>
    <row r="6" spans="2:43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43" ht="26.25" customHeight="1">
      <c r="B7" s="207" t="s">
        <v>97</v>
      </c>
      <c r="C7" s="208"/>
      <c r="D7" s="208"/>
      <c r="E7" s="208"/>
      <c r="F7" s="208"/>
      <c r="G7" s="208"/>
      <c r="H7" s="208"/>
      <c r="I7" s="208"/>
      <c r="J7" s="208"/>
      <c r="K7" s="209"/>
    </row>
    <row r="8" spans="2:43" s="3" customFormat="1" ht="63">
      <c r="B8" s="22" t="s">
        <v>114</v>
      </c>
      <c r="C8" s="30" t="s">
        <v>44</v>
      </c>
      <c r="D8" s="30" t="s">
        <v>60</v>
      </c>
      <c r="E8" s="30" t="s">
        <v>99</v>
      </c>
      <c r="F8" s="30" t="s">
        <v>100</v>
      </c>
      <c r="G8" s="30" t="s">
        <v>231</v>
      </c>
      <c r="H8" s="30" t="s">
        <v>230</v>
      </c>
      <c r="I8" s="30" t="s">
        <v>108</v>
      </c>
      <c r="J8" s="30" t="s">
        <v>180</v>
      </c>
      <c r="K8" s="31" t="s">
        <v>182</v>
      </c>
      <c r="AO8" s="1"/>
    </row>
    <row r="9" spans="2:43" s="3" customFormat="1" ht="22.5" customHeight="1">
      <c r="B9" s="15"/>
      <c r="C9" s="16"/>
      <c r="D9" s="16"/>
      <c r="E9" s="16"/>
      <c r="F9" s="16" t="s">
        <v>22</v>
      </c>
      <c r="G9" s="16" t="s">
        <v>238</v>
      </c>
      <c r="H9" s="16"/>
      <c r="I9" s="16" t="s">
        <v>234</v>
      </c>
      <c r="J9" s="32" t="s">
        <v>20</v>
      </c>
      <c r="K9" s="17" t="s">
        <v>20</v>
      </c>
      <c r="AO9" s="1"/>
    </row>
    <row r="10" spans="2:4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O10" s="1"/>
    </row>
    <row r="11" spans="2:43" s="4" customFormat="1" ht="18" customHeight="1">
      <c r="B11" s="122" t="s">
        <v>47</v>
      </c>
      <c r="C11" s="123"/>
      <c r="D11" s="123"/>
      <c r="E11" s="123"/>
      <c r="F11" s="123"/>
      <c r="G11" s="124"/>
      <c r="H11" s="127"/>
      <c r="I11" s="124">
        <v>-328.46491999999995</v>
      </c>
      <c r="J11" s="125">
        <f>I11/$I$11</f>
        <v>1</v>
      </c>
      <c r="K11" s="125">
        <f>I11/'סכום נכסי הקרן'!$C$42</f>
        <v>-1.5712031989063915E-3</v>
      </c>
      <c r="AO11" s="101"/>
    </row>
    <row r="12" spans="2:43" s="101" customFormat="1" ht="19.5" customHeight="1">
      <c r="B12" s="126" t="s">
        <v>34</v>
      </c>
      <c r="C12" s="123"/>
      <c r="D12" s="123"/>
      <c r="E12" s="123"/>
      <c r="F12" s="123"/>
      <c r="G12" s="124"/>
      <c r="H12" s="127"/>
      <c r="I12" s="124">
        <v>-328.46491999999995</v>
      </c>
      <c r="J12" s="125">
        <f t="shared" ref="J12:J16" si="0">I12/$I$11</f>
        <v>1</v>
      </c>
      <c r="K12" s="125">
        <f>I12/'סכום נכסי הקרן'!$C$42</f>
        <v>-1.5712031989063915E-3</v>
      </c>
    </row>
    <row r="13" spans="2:43">
      <c r="B13" s="103" t="s">
        <v>1005</v>
      </c>
      <c r="C13" s="83"/>
      <c r="D13" s="83"/>
      <c r="E13" s="83"/>
      <c r="F13" s="83"/>
      <c r="G13" s="92"/>
      <c r="H13" s="94"/>
      <c r="I13" s="92">
        <v>-349.72910999999999</v>
      </c>
      <c r="J13" s="93">
        <f t="shared" si="0"/>
        <v>1.0647380852725461</v>
      </c>
      <c r="K13" s="93">
        <f>I13/'סכום נכסי הקרן'!$C$42</f>
        <v>-1.6729198855776907E-3</v>
      </c>
    </row>
    <row r="14" spans="2:43">
      <c r="B14" s="88" t="s">
        <v>1006</v>
      </c>
      <c r="C14" s="85" t="s">
        <v>1007</v>
      </c>
      <c r="D14" s="98" t="s">
        <v>1004</v>
      </c>
      <c r="E14" s="98" t="s">
        <v>161</v>
      </c>
      <c r="F14" s="107">
        <v>43255</v>
      </c>
      <c r="G14" s="95">
        <v>11306983.999999998</v>
      </c>
      <c r="H14" s="97">
        <v>-2.9056000000000002</v>
      </c>
      <c r="I14" s="95">
        <v>-328.53256999999996</v>
      </c>
      <c r="J14" s="96">
        <f t="shared" si="0"/>
        <v>1.0002059580669984</v>
      </c>
      <c r="K14" s="96">
        <f>I14/'סכום נכסי הקרן'!$C$42</f>
        <v>-1.5715268008801E-3</v>
      </c>
    </row>
    <row r="15" spans="2:43">
      <c r="B15" s="88" t="s">
        <v>1008</v>
      </c>
      <c r="C15" s="85" t="s">
        <v>1009</v>
      </c>
      <c r="D15" s="98" t="s">
        <v>1004</v>
      </c>
      <c r="E15" s="98" t="s">
        <v>161</v>
      </c>
      <c r="F15" s="107">
        <v>43269</v>
      </c>
      <c r="G15" s="95">
        <v>1765999.9999999998</v>
      </c>
      <c r="H15" s="97">
        <v>-0.85129999999999995</v>
      </c>
      <c r="I15" s="95">
        <v>-15.033639999999998</v>
      </c>
      <c r="J15" s="96">
        <f t="shared" si="0"/>
        <v>4.5769392968966066E-2</v>
      </c>
      <c r="K15" s="96">
        <f>I15/'סכום נכסי הקרן'!$C$42</f>
        <v>-7.1913016644843179E-5</v>
      </c>
    </row>
    <row r="16" spans="2:43" s="7" customFormat="1">
      <c r="B16" s="88" t="s">
        <v>1010</v>
      </c>
      <c r="C16" s="85" t="s">
        <v>1011</v>
      </c>
      <c r="D16" s="98" t="s">
        <v>1004</v>
      </c>
      <c r="E16" s="98" t="s">
        <v>161</v>
      </c>
      <c r="F16" s="107">
        <v>43227</v>
      </c>
      <c r="G16" s="95">
        <v>537374.99999999988</v>
      </c>
      <c r="H16" s="97">
        <v>-1.1469</v>
      </c>
      <c r="I16" s="95">
        <v>-6.1628999999999987</v>
      </c>
      <c r="J16" s="96">
        <f t="shared" si="0"/>
        <v>1.8762734236581487E-2</v>
      </c>
      <c r="K16" s="96">
        <f>I16/'סכום נכסי הקרן'!$C$42</f>
        <v>-2.9480068052747305E-5</v>
      </c>
      <c r="AO16" s="1"/>
      <c r="AQ16" s="1"/>
    </row>
    <row r="17" spans="2:43" s="7" customFormat="1">
      <c r="B17" s="84"/>
      <c r="C17" s="85"/>
      <c r="D17" s="85"/>
      <c r="E17" s="85"/>
      <c r="F17" s="85"/>
      <c r="G17" s="95"/>
      <c r="H17" s="97"/>
      <c r="I17" s="85"/>
      <c r="J17" s="96"/>
      <c r="K17" s="85"/>
      <c r="AO17" s="1"/>
      <c r="AQ17" s="1"/>
    </row>
    <row r="18" spans="2:43" s="7" customFormat="1">
      <c r="B18" s="103" t="s">
        <v>226</v>
      </c>
      <c r="C18" s="83"/>
      <c r="D18" s="83"/>
      <c r="E18" s="83"/>
      <c r="F18" s="83"/>
      <c r="G18" s="92"/>
      <c r="H18" s="94"/>
      <c r="I18" s="92">
        <v>23.153309999999994</v>
      </c>
      <c r="J18" s="93">
        <f t="shared" ref="J18:J21" si="1">I18/$I$11</f>
        <v>-7.0489445265570508E-2</v>
      </c>
      <c r="K18" s="93">
        <f>I18/'סכום נכסי הקרן'!$C$42</f>
        <v>1.1075324189040139E-4</v>
      </c>
      <c r="AO18" s="1"/>
      <c r="AQ18" s="1"/>
    </row>
    <row r="19" spans="2:43">
      <c r="B19" s="88" t="s">
        <v>1012</v>
      </c>
      <c r="C19" s="85" t="s">
        <v>1013</v>
      </c>
      <c r="D19" s="98" t="s">
        <v>1004</v>
      </c>
      <c r="E19" s="98" t="s">
        <v>164</v>
      </c>
      <c r="F19" s="107">
        <v>43257</v>
      </c>
      <c r="G19" s="95">
        <v>426464.99999999994</v>
      </c>
      <c r="H19" s="97">
        <v>-3.2172999999999998</v>
      </c>
      <c r="I19" s="95">
        <v>-13.720469999999997</v>
      </c>
      <c r="J19" s="96">
        <f t="shared" si="1"/>
        <v>4.1771492675686646E-2</v>
      </c>
      <c r="K19" s="96">
        <f>I19/'סכום נכסי הקרן'!$C$42</f>
        <v>-6.5631502915133755E-5</v>
      </c>
    </row>
    <row r="20" spans="2:43">
      <c r="B20" s="88" t="s">
        <v>1014</v>
      </c>
      <c r="C20" s="85" t="s">
        <v>1015</v>
      </c>
      <c r="D20" s="98" t="s">
        <v>1004</v>
      </c>
      <c r="E20" s="98" t="s">
        <v>163</v>
      </c>
      <c r="F20" s="107">
        <v>43348</v>
      </c>
      <c r="G20" s="95">
        <v>299026.55999999994</v>
      </c>
      <c r="H20" s="97">
        <v>0.11119999999999999</v>
      </c>
      <c r="I20" s="95">
        <v>0.33250999999999992</v>
      </c>
      <c r="J20" s="96">
        <f t="shared" si="1"/>
        <v>-1.0123151050651009E-3</v>
      </c>
      <c r="K20" s="96">
        <f>I20/'סכום נכסי הקרן'!$C$42</f>
        <v>1.5905527313795464E-6</v>
      </c>
    </row>
    <row r="21" spans="2:43">
      <c r="B21" s="88" t="s">
        <v>1016</v>
      </c>
      <c r="C21" s="85" t="s">
        <v>1017</v>
      </c>
      <c r="D21" s="98" t="s">
        <v>1004</v>
      </c>
      <c r="E21" s="98" t="s">
        <v>163</v>
      </c>
      <c r="F21" s="107">
        <v>43230</v>
      </c>
      <c r="G21" s="95">
        <v>1195990.4799999997</v>
      </c>
      <c r="H21" s="97">
        <v>3.0552999999999999</v>
      </c>
      <c r="I21" s="95">
        <v>36.54126999999999</v>
      </c>
      <c r="J21" s="96">
        <f t="shared" si="1"/>
        <v>-0.11124862283619205</v>
      </c>
      <c r="K21" s="96">
        <f>I21/'סכום נכסי הקרן'!$C$42</f>
        <v>1.7479419207415558E-4</v>
      </c>
    </row>
    <row r="22" spans="2:43">
      <c r="B22" s="84"/>
      <c r="C22" s="85"/>
      <c r="D22" s="85"/>
      <c r="E22" s="85"/>
      <c r="F22" s="85"/>
      <c r="G22" s="95"/>
      <c r="H22" s="97"/>
      <c r="I22" s="85"/>
      <c r="J22" s="96"/>
      <c r="K22" s="85"/>
    </row>
    <row r="23" spans="2:43">
      <c r="B23" s="103" t="s">
        <v>225</v>
      </c>
      <c r="C23" s="83"/>
      <c r="D23" s="83"/>
      <c r="E23" s="83"/>
      <c r="F23" s="83"/>
      <c r="G23" s="92"/>
      <c r="H23" s="94"/>
      <c r="I23" s="92">
        <v>-1.8891199999999997</v>
      </c>
      <c r="J23" s="93">
        <f t="shared" ref="J23:J24" si="2">I23/$I$11</f>
        <v>5.7513599930245213E-3</v>
      </c>
      <c r="K23" s="93">
        <f>I23/'סכום נכסי הקרן'!$C$42</f>
        <v>-9.0365552191023693E-6</v>
      </c>
    </row>
    <row r="24" spans="2:43" s="137" customFormat="1">
      <c r="B24" s="88" t="s">
        <v>1089</v>
      </c>
      <c r="C24" s="85" t="s">
        <v>1018</v>
      </c>
      <c r="D24" s="98" t="s">
        <v>1004</v>
      </c>
      <c r="E24" s="98" t="s">
        <v>162</v>
      </c>
      <c r="F24" s="107">
        <v>43108</v>
      </c>
      <c r="G24" s="95">
        <v>115.21999999999998</v>
      </c>
      <c r="H24" s="97">
        <v>996.60429999999997</v>
      </c>
      <c r="I24" s="95">
        <v>-1.8891199999999997</v>
      </c>
      <c r="J24" s="96">
        <f t="shared" si="2"/>
        <v>5.7513599930245213E-3</v>
      </c>
      <c r="K24" s="96">
        <f>I24/'סכום נכסי הקרן'!$C$42</f>
        <v>-9.0365552191023693E-6</v>
      </c>
    </row>
    <row r="25" spans="2:43">
      <c r="B25" s="84"/>
      <c r="C25" s="85"/>
      <c r="D25" s="85"/>
      <c r="E25" s="85"/>
      <c r="F25" s="85"/>
      <c r="G25" s="95"/>
      <c r="H25" s="97"/>
      <c r="I25" s="85"/>
      <c r="J25" s="96"/>
      <c r="K25" s="85"/>
    </row>
    <row r="26" spans="2:43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43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43">
      <c r="B28" s="100" t="s">
        <v>246</v>
      </c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43">
      <c r="B29" s="100" t="s">
        <v>110</v>
      </c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43">
      <c r="B30" s="100" t="s">
        <v>229</v>
      </c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43">
      <c r="B31" s="100" t="s">
        <v>237</v>
      </c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43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C125" s="1"/>
      <c r="D125" s="1"/>
    </row>
    <row r="126" spans="2:11">
      <c r="C126" s="1"/>
      <c r="D126" s="1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Z41:XFD44 A1:B1048576 D1:XFD40 D41:X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177</v>
      </c>
      <c r="C1" s="79" t="s" vm="1">
        <v>247</v>
      </c>
    </row>
    <row r="2" spans="2:78">
      <c r="B2" s="57" t="s">
        <v>176</v>
      </c>
      <c r="C2" s="79" t="s">
        <v>248</v>
      </c>
    </row>
    <row r="3" spans="2:78">
      <c r="B3" s="57" t="s">
        <v>178</v>
      </c>
      <c r="C3" s="79" t="s">
        <v>249</v>
      </c>
    </row>
    <row r="4" spans="2:78">
      <c r="B4" s="57" t="s">
        <v>179</v>
      </c>
      <c r="C4" s="79">
        <v>2144</v>
      </c>
    </row>
    <row r="6" spans="2:78" ht="26.25" customHeight="1">
      <c r="B6" s="207" t="s">
        <v>208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2:78" ht="26.25" customHeight="1">
      <c r="B7" s="207" t="s">
        <v>98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2:78" s="3" customFormat="1" ht="47.25">
      <c r="B8" s="22" t="s">
        <v>114</v>
      </c>
      <c r="C8" s="30" t="s">
        <v>44</v>
      </c>
      <c r="D8" s="30" t="s">
        <v>48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108</v>
      </c>
      <c r="O8" s="30" t="s">
        <v>56</v>
      </c>
      <c r="P8" s="30" t="s">
        <v>180</v>
      </c>
      <c r="Q8" s="31" t="s">
        <v>182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238</v>
      </c>
      <c r="M9" s="16"/>
      <c r="N9" s="16" t="s">
        <v>234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111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72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W81"/>
  <sheetViews>
    <sheetView rightToLeft="1" topLeftCell="D1" workbookViewId="0">
      <selection activeCell="D10" sqref="A10:XFD80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5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9" style="1" bestFit="1" customWidth="1"/>
    <col min="16" max="16" width="9.140625" style="1" bestFit="1" customWidth="1"/>
    <col min="17" max="17" width="10.42578125" style="1" bestFit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7" t="s">
        <v>177</v>
      </c>
      <c r="C1" s="79" t="s" vm="1">
        <v>247</v>
      </c>
    </row>
    <row r="2" spans="2:49">
      <c r="B2" s="57" t="s">
        <v>176</v>
      </c>
      <c r="C2" s="79" t="s">
        <v>248</v>
      </c>
    </row>
    <row r="3" spans="2:49">
      <c r="B3" s="57" t="s">
        <v>178</v>
      </c>
      <c r="C3" s="79" t="s">
        <v>249</v>
      </c>
    </row>
    <row r="4" spans="2:49">
      <c r="B4" s="57" t="s">
        <v>179</v>
      </c>
      <c r="C4" s="79">
        <v>2144</v>
      </c>
    </row>
    <row r="6" spans="2:49" ht="26.25" customHeight="1">
      <c r="B6" s="207" t="s">
        <v>209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2:49" s="3" customFormat="1" ht="63">
      <c r="B7" s="22" t="s">
        <v>114</v>
      </c>
      <c r="C7" s="30" t="s">
        <v>221</v>
      </c>
      <c r="D7" s="30" t="s">
        <v>44</v>
      </c>
      <c r="E7" s="30" t="s">
        <v>115</v>
      </c>
      <c r="F7" s="30" t="s">
        <v>15</v>
      </c>
      <c r="G7" s="30" t="s">
        <v>100</v>
      </c>
      <c r="H7" s="30" t="s">
        <v>61</v>
      </c>
      <c r="I7" s="30" t="s">
        <v>18</v>
      </c>
      <c r="J7" s="30" t="s">
        <v>99</v>
      </c>
      <c r="K7" s="13" t="s">
        <v>35</v>
      </c>
      <c r="L7" s="72" t="s">
        <v>19</v>
      </c>
      <c r="M7" s="30" t="s">
        <v>231</v>
      </c>
      <c r="N7" s="30" t="s">
        <v>230</v>
      </c>
      <c r="O7" s="30" t="s">
        <v>108</v>
      </c>
      <c r="P7" s="30" t="s">
        <v>180</v>
      </c>
      <c r="Q7" s="31" t="s">
        <v>182</v>
      </c>
      <c r="AV7" s="3" t="s">
        <v>160</v>
      </c>
      <c r="AW7" s="3" t="s">
        <v>162</v>
      </c>
    </row>
    <row r="8" spans="2:49" s="3" customFormat="1" ht="24" customHeight="1">
      <c r="B8" s="15"/>
      <c r="C8" s="71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238</v>
      </c>
      <c r="N8" s="16"/>
      <c r="O8" s="16" t="s">
        <v>234</v>
      </c>
      <c r="P8" s="32" t="s">
        <v>20</v>
      </c>
      <c r="Q8" s="17" t="s">
        <v>20</v>
      </c>
      <c r="AV8" s="3" t="s">
        <v>158</v>
      </c>
      <c r="AW8" s="3" t="s">
        <v>161</v>
      </c>
    </row>
    <row r="9" spans="2:49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111</v>
      </c>
      <c r="AV9" s="4" t="s">
        <v>159</v>
      </c>
      <c r="AW9" s="4" t="s">
        <v>163</v>
      </c>
    </row>
    <row r="10" spans="2:49" s="136" customFormat="1" ht="18" customHeight="1">
      <c r="B10" s="80" t="s">
        <v>40</v>
      </c>
      <c r="C10" s="81"/>
      <c r="D10" s="81"/>
      <c r="E10" s="81"/>
      <c r="F10" s="81"/>
      <c r="G10" s="81"/>
      <c r="H10" s="81"/>
      <c r="I10" s="89">
        <v>5.8017066724018136</v>
      </c>
      <c r="J10" s="81"/>
      <c r="K10" s="81"/>
      <c r="L10" s="104">
        <v>3.2488442027017998E-2</v>
      </c>
      <c r="M10" s="89"/>
      <c r="N10" s="91"/>
      <c r="O10" s="89">
        <f>O11+O72</f>
        <v>5514.5359999999982</v>
      </c>
      <c r="P10" s="90">
        <f>O10/$O$10</f>
        <v>1</v>
      </c>
      <c r="Q10" s="90">
        <f>O10/'סכום נכסי הקרן'!$C$42</f>
        <v>2.6378636122495077E-2</v>
      </c>
      <c r="AV10" s="137" t="s">
        <v>27</v>
      </c>
      <c r="AW10" s="136" t="s">
        <v>164</v>
      </c>
    </row>
    <row r="11" spans="2:49" s="137" customFormat="1" ht="21.75" customHeight="1">
      <c r="B11" s="82" t="s">
        <v>38</v>
      </c>
      <c r="C11" s="83"/>
      <c r="D11" s="83"/>
      <c r="E11" s="83"/>
      <c r="F11" s="83"/>
      <c r="G11" s="83"/>
      <c r="H11" s="83"/>
      <c r="I11" s="92">
        <v>5.745175515841316</v>
      </c>
      <c r="J11" s="83"/>
      <c r="K11" s="83"/>
      <c r="L11" s="105">
        <v>3.109752161497778E-2</v>
      </c>
      <c r="M11" s="92"/>
      <c r="N11" s="94"/>
      <c r="O11" s="92">
        <f>O12+O27</f>
        <v>5127.1930399999983</v>
      </c>
      <c r="P11" s="93">
        <f t="shared" ref="P11:P25" si="0">O11/$O$10</f>
        <v>0.92975964614248596</v>
      </c>
      <c r="Q11" s="93">
        <f>O11/'סכום נכסי הקרן'!$C$42</f>
        <v>2.4525791386972418E-2</v>
      </c>
      <c r="AW11" s="137" t="s">
        <v>170</v>
      </c>
    </row>
    <row r="12" spans="2:49" s="137" customFormat="1">
      <c r="B12" s="103" t="s">
        <v>36</v>
      </c>
      <c r="C12" s="83"/>
      <c r="D12" s="83"/>
      <c r="E12" s="83"/>
      <c r="F12" s="83"/>
      <c r="G12" s="83"/>
      <c r="H12" s="83"/>
      <c r="I12" s="92">
        <v>8.5594823046904391</v>
      </c>
      <c r="J12" s="83"/>
      <c r="K12" s="83"/>
      <c r="L12" s="105">
        <v>3.0700733012663416E-2</v>
      </c>
      <c r="M12" s="92"/>
      <c r="N12" s="94"/>
      <c r="O12" s="92">
        <f>SUM(O13:O25)</f>
        <v>2407.8181099999997</v>
      </c>
      <c r="P12" s="93">
        <f t="shared" si="0"/>
        <v>0.43663113451430918</v>
      </c>
      <c r="Q12" s="93">
        <f>O12/'סכום נכסי הקרן'!$C$42</f>
        <v>1.1517733817105162E-2</v>
      </c>
      <c r="AW12" s="137" t="s">
        <v>165</v>
      </c>
    </row>
    <row r="13" spans="2:49" s="137" customFormat="1">
      <c r="B13" s="144" t="s">
        <v>1095</v>
      </c>
      <c r="C13" s="98" t="s">
        <v>1037</v>
      </c>
      <c r="D13" s="85">
        <v>6028</v>
      </c>
      <c r="E13" s="85"/>
      <c r="F13" s="85" t="s">
        <v>1036</v>
      </c>
      <c r="G13" s="107">
        <v>43100</v>
      </c>
      <c r="H13" s="85"/>
      <c r="I13" s="95">
        <v>9.44</v>
      </c>
      <c r="J13" s="98" t="s">
        <v>162</v>
      </c>
      <c r="K13" s="99">
        <v>4.4400000000000002E-2</v>
      </c>
      <c r="L13" s="99">
        <v>4.4400000000000002E-2</v>
      </c>
      <c r="M13" s="95">
        <v>82207.64999999998</v>
      </c>
      <c r="N13" s="97">
        <v>102.13</v>
      </c>
      <c r="O13" s="95">
        <v>83.958669999999984</v>
      </c>
      <c r="P13" s="96">
        <f t="shared" si="0"/>
        <v>1.5224974503747915E-2</v>
      </c>
      <c r="Q13" s="96">
        <f>O13/'סכום נכסי הקרן'!$C$42</f>
        <v>4.0161406240863128E-4</v>
      </c>
      <c r="AW13" s="137" t="s">
        <v>166</v>
      </c>
    </row>
    <row r="14" spans="2:49" s="137" customFormat="1">
      <c r="B14" s="144" t="s">
        <v>1095</v>
      </c>
      <c r="C14" s="98" t="s">
        <v>1037</v>
      </c>
      <c r="D14" s="85">
        <v>5212</v>
      </c>
      <c r="E14" s="85"/>
      <c r="F14" s="85" t="s">
        <v>1036</v>
      </c>
      <c r="G14" s="107">
        <v>42643</v>
      </c>
      <c r="H14" s="85"/>
      <c r="I14" s="95">
        <v>8.49</v>
      </c>
      <c r="J14" s="98" t="s">
        <v>162</v>
      </c>
      <c r="K14" s="99">
        <v>3.1799999999999995E-2</v>
      </c>
      <c r="L14" s="99">
        <v>3.1799999999999995E-2</v>
      </c>
      <c r="M14" s="95">
        <v>188756.01999999996</v>
      </c>
      <c r="N14" s="97">
        <v>99.19</v>
      </c>
      <c r="O14" s="95">
        <v>187.22709999999998</v>
      </c>
      <c r="P14" s="96">
        <f t="shared" si="0"/>
        <v>3.3951560022457021E-2</v>
      </c>
      <c r="Q14" s="96">
        <f>O14/'סכום נכסי הקרן'!$C$42</f>
        <v>8.9559584762344442E-4</v>
      </c>
      <c r="AW14" s="137" t="s">
        <v>167</v>
      </c>
    </row>
    <row r="15" spans="2:49" s="137" customFormat="1">
      <c r="B15" s="144" t="s">
        <v>1095</v>
      </c>
      <c r="C15" s="98" t="s">
        <v>1037</v>
      </c>
      <c r="D15" s="85">
        <v>5211</v>
      </c>
      <c r="E15" s="85"/>
      <c r="F15" s="85" t="s">
        <v>1036</v>
      </c>
      <c r="G15" s="107">
        <v>42643</v>
      </c>
      <c r="H15" s="85"/>
      <c r="I15" s="95">
        <v>5.98</v>
      </c>
      <c r="J15" s="98" t="s">
        <v>162</v>
      </c>
      <c r="K15" s="99">
        <v>3.3700000000000001E-2</v>
      </c>
      <c r="L15" s="99">
        <v>3.3700000000000001E-2</v>
      </c>
      <c r="M15" s="95">
        <v>192515.87999999998</v>
      </c>
      <c r="N15" s="97">
        <v>102.84</v>
      </c>
      <c r="O15" s="95">
        <v>197.98332999999997</v>
      </c>
      <c r="P15" s="96">
        <f t="shared" si="0"/>
        <v>3.5902083148972107E-2</v>
      </c>
      <c r="Q15" s="96">
        <f>O15/'סכום נכסי הקרן'!$C$42</f>
        <v>9.4704798742629732E-4</v>
      </c>
      <c r="AW15" s="137" t="s">
        <v>169</v>
      </c>
    </row>
    <row r="16" spans="2:49" s="137" customFormat="1">
      <c r="B16" s="144" t="s">
        <v>1095</v>
      </c>
      <c r="C16" s="98" t="s">
        <v>1037</v>
      </c>
      <c r="D16" s="85">
        <v>6027</v>
      </c>
      <c r="E16" s="85"/>
      <c r="F16" s="85" t="s">
        <v>1036</v>
      </c>
      <c r="G16" s="107">
        <v>43100</v>
      </c>
      <c r="H16" s="85"/>
      <c r="I16" s="95">
        <v>9.8799999999999955</v>
      </c>
      <c r="J16" s="98" t="s">
        <v>162</v>
      </c>
      <c r="K16" s="99">
        <v>3.1699999999999992E-2</v>
      </c>
      <c r="L16" s="99">
        <v>3.1699999999999992E-2</v>
      </c>
      <c r="M16" s="95">
        <v>307763.80999999994</v>
      </c>
      <c r="N16" s="97">
        <v>100.84</v>
      </c>
      <c r="O16" s="95">
        <f>310.34903-0.0148</f>
        <v>310.33423000000005</v>
      </c>
      <c r="P16" s="96">
        <f t="shared" si="0"/>
        <v>5.6275673964228383E-2</v>
      </c>
      <c r="Q16" s="96">
        <f>O16/'סכום נכסי הקרן'!$C$42</f>
        <v>1.4844755260505506E-3</v>
      </c>
      <c r="AW16" s="137" t="s">
        <v>168</v>
      </c>
    </row>
    <row r="17" spans="2:49" s="137" customFormat="1">
      <c r="B17" s="144" t="s">
        <v>1095</v>
      </c>
      <c r="C17" s="98" t="s">
        <v>1037</v>
      </c>
      <c r="D17" s="85">
        <v>5025</v>
      </c>
      <c r="E17" s="85"/>
      <c r="F17" s="85" t="s">
        <v>1036</v>
      </c>
      <c r="G17" s="107">
        <v>42551</v>
      </c>
      <c r="H17" s="85"/>
      <c r="I17" s="95">
        <v>9.3899999999999988</v>
      </c>
      <c r="J17" s="98" t="s">
        <v>162</v>
      </c>
      <c r="K17" s="99">
        <v>3.4599999999999992E-2</v>
      </c>
      <c r="L17" s="99">
        <v>3.4599999999999992E-2</v>
      </c>
      <c r="M17" s="95">
        <v>178901.43999999997</v>
      </c>
      <c r="N17" s="97">
        <v>97.65</v>
      </c>
      <c r="O17" s="95">
        <f>174.69726-0.00454</f>
        <v>174.69272000000001</v>
      </c>
      <c r="P17" s="96">
        <f t="shared" si="0"/>
        <v>3.1678589096163313E-2</v>
      </c>
      <c r="Q17" s="96">
        <f>O17/'סכום נכסי הקרן'!$C$42</f>
        <v>8.356379746417322E-4</v>
      </c>
      <c r="AW17" s="137" t="s">
        <v>171</v>
      </c>
    </row>
    <row r="18" spans="2:49" s="137" customFormat="1">
      <c r="B18" s="144" t="s">
        <v>1095</v>
      </c>
      <c r="C18" s="98" t="s">
        <v>1037</v>
      </c>
      <c r="D18" s="85">
        <v>5024</v>
      </c>
      <c r="E18" s="85"/>
      <c r="F18" s="85" t="s">
        <v>1036</v>
      </c>
      <c r="G18" s="107">
        <v>42551</v>
      </c>
      <c r="H18" s="85"/>
      <c r="I18" s="95">
        <v>7.12</v>
      </c>
      <c r="J18" s="98" t="s">
        <v>162</v>
      </c>
      <c r="K18" s="99">
        <v>3.7400000000000003E-2</v>
      </c>
      <c r="L18" s="99">
        <v>3.7400000000000003E-2</v>
      </c>
      <c r="M18" s="95">
        <v>145312.18</v>
      </c>
      <c r="N18" s="97">
        <v>104.53</v>
      </c>
      <c r="O18" s="95">
        <v>151.89481999999998</v>
      </c>
      <c r="P18" s="96">
        <f t="shared" si="0"/>
        <v>2.7544442542400672E-2</v>
      </c>
      <c r="Q18" s="96">
        <f>O18/'סכום נכסי הקרן'!$C$42</f>
        <v>7.2658482702296049E-4</v>
      </c>
      <c r="AW18" s="137" t="s">
        <v>172</v>
      </c>
    </row>
    <row r="19" spans="2:49" s="137" customFormat="1">
      <c r="B19" s="144" t="s">
        <v>1095</v>
      </c>
      <c r="C19" s="98" t="s">
        <v>1037</v>
      </c>
      <c r="D19" s="85">
        <v>6026</v>
      </c>
      <c r="E19" s="85"/>
      <c r="F19" s="85" t="s">
        <v>1036</v>
      </c>
      <c r="G19" s="107">
        <v>43100</v>
      </c>
      <c r="H19" s="85"/>
      <c r="I19" s="95">
        <v>7.8800000000000008</v>
      </c>
      <c r="J19" s="98" t="s">
        <v>162</v>
      </c>
      <c r="K19" s="99">
        <v>3.4700000000000002E-2</v>
      </c>
      <c r="L19" s="99">
        <v>3.4700000000000002E-2</v>
      </c>
      <c r="M19" s="95">
        <v>424887.3299999999</v>
      </c>
      <c r="N19" s="97">
        <v>102.53</v>
      </c>
      <c r="O19" s="95">
        <f>435.63698-0.01333</f>
        <v>435.62365</v>
      </c>
      <c r="P19" s="96">
        <f t="shared" si="0"/>
        <v>7.8995522016720929E-2</v>
      </c>
      <c r="Q19" s="96">
        <f>O19/'סכום נכסי הקרן'!$C$42</f>
        <v>2.0837941305856295E-3</v>
      </c>
      <c r="AW19" s="137" t="s">
        <v>173</v>
      </c>
    </row>
    <row r="20" spans="2:49" s="137" customFormat="1">
      <c r="B20" s="144" t="s">
        <v>1095</v>
      </c>
      <c r="C20" s="98" t="s">
        <v>1037</v>
      </c>
      <c r="D20" s="85">
        <v>5023</v>
      </c>
      <c r="E20" s="85"/>
      <c r="F20" s="85" t="s">
        <v>1036</v>
      </c>
      <c r="G20" s="107">
        <v>42551</v>
      </c>
      <c r="H20" s="85"/>
      <c r="I20" s="95">
        <v>9.9</v>
      </c>
      <c r="J20" s="98" t="s">
        <v>162</v>
      </c>
      <c r="K20" s="99">
        <v>2.6000000000000002E-2</v>
      </c>
      <c r="L20" s="99">
        <v>2.6000000000000002E-2</v>
      </c>
      <c r="M20" s="95">
        <v>160341.42999999996</v>
      </c>
      <c r="N20" s="97">
        <v>97.57</v>
      </c>
      <c r="O20" s="95">
        <f>156.44506-0.005</f>
        <v>156.44006000000002</v>
      </c>
      <c r="P20" s="96">
        <f t="shared" si="0"/>
        <v>2.8368671453047015E-2</v>
      </c>
      <c r="Q20" s="96">
        <f>O20/'סכום נכסי הקרן'!$C$42</f>
        <v>7.4832686153854082E-4</v>
      </c>
      <c r="AW20" s="137" t="s">
        <v>174</v>
      </c>
    </row>
    <row r="21" spans="2:49" s="137" customFormat="1">
      <c r="B21" s="144" t="s">
        <v>1095</v>
      </c>
      <c r="C21" s="98" t="s">
        <v>1037</v>
      </c>
      <c r="D21" s="85">
        <v>5210</v>
      </c>
      <c r="E21" s="85"/>
      <c r="F21" s="85" t="s">
        <v>1036</v>
      </c>
      <c r="G21" s="107">
        <v>42643</v>
      </c>
      <c r="H21" s="85"/>
      <c r="I21" s="95">
        <v>9.120000000000001</v>
      </c>
      <c r="J21" s="98" t="s">
        <v>162</v>
      </c>
      <c r="K21" s="99">
        <v>1.8600000000000002E-2</v>
      </c>
      <c r="L21" s="99">
        <v>1.8600000000000002E-2</v>
      </c>
      <c r="M21" s="95">
        <v>137713.15</v>
      </c>
      <c r="N21" s="97">
        <v>103.77</v>
      </c>
      <c r="O21" s="95">
        <v>142.90487999999996</v>
      </c>
      <c r="P21" s="96">
        <f t="shared" si="0"/>
        <v>2.5914216536078467E-2</v>
      </c>
      <c r="Q21" s="96">
        <f>O21/'סכום נכסי הקרן'!$C$42</f>
        <v>6.8358168840475871E-4</v>
      </c>
      <c r="AW21" s="137" t="s">
        <v>175</v>
      </c>
    </row>
    <row r="22" spans="2:49" s="137" customFormat="1">
      <c r="B22" s="144" t="s">
        <v>1095</v>
      </c>
      <c r="C22" s="98" t="s">
        <v>1037</v>
      </c>
      <c r="D22" s="85">
        <v>6025</v>
      </c>
      <c r="E22" s="85"/>
      <c r="F22" s="85" t="s">
        <v>1036</v>
      </c>
      <c r="G22" s="107">
        <v>43100</v>
      </c>
      <c r="H22" s="85"/>
      <c r="I22" s="95">
        <v>9.9399999999999977</v>
      </c>
      <c r="J22" s="98" t="s">
        <v>162</v>
      </c>
      <c r="K22" s="99">
        <v>2.9799999999999997E-2</v>
      </c>
      <c r="L22" s="99">
        <v>2.9799999999999997E-2</v>
      </c>
      <c r="M22" s="95">
        <v>174762.12999999998</v>
      </c>
      <c r="N22" s="97">
        <v>106.07</v>
      </c>
      <c r="O22" s="95">
        <v>185.37017</v>
      </c>
      <c r="P22" s="96">
        <f t="shared" si="0"/>
        <v>3.3614826342597104E-2</v>
      </c>
      <c r="Q22" s="96">
        <f>O22/'סכום נכסי הקרן'!$C$42</f>
        <v>8.8671327241223092E-4</v>
      </c>
      <c r="AW22" s="137" t="s">
        <v>27</v>
      </c>
    </row>
    <row r="23" spans="2:49" s="137" customFormat="1">
      <c r="B23" s="144" t="s">
        <v>1095</v>
      </c>
      <c r="C23" s="98" t="s">
        <v>1037</v>
      </c>
      <c r="D23" s="85">
        <v>5022</v>
      </c>
      <c r="E23" s="85"/>
      <c r="F23" s="85" t="s">
        <v>1036</v>
      </c>
      <c r="G23" s="107">
        <v>42551</v>
      </c>
      <c r="H23" s="85"/>
      <c r="I23" s="95">
        <v>8.2899999999999991</v>
      </c>
      <c r="J23" s="98" t="s">
        <v>162</v>
      </c>
      <c r="K23" s="99">
        <v>2.5899999999999999E-2</v>
      </c>
      <c r="L23" s="99">
        <v>2.5899999999999999E-2</v>
      </c>
      <c r="M23" s="95">
        <v>119325.31999999998</v>
      </c>
      <c r="N23" s="97">
        <v>101.94</v>
      </c>
      <c r="O23" s="95">
        <f>121.6402-0.00503</f>
        <v>121.63516999999999</v>
      </c>
      <c r="P23" s="96">
        <f t="shared" si="0"/>
        <v>2.2057190305766437E-2</v>
      </c>
      <c r="Q23" s="96">
        <f>O23/'סכום נכסי הקרן'!$C$42</f>
        <v>5.8183859696043876E-4</v>
      </c>
    </row>
    <row r="24" spans="2:49" s="137" customFormat="1">
      <c r="B24" s="144" t="s">
        <v>1095</v>
      </c>
      <c r="C24" s="98" t="s">
        <v>1037</v>
      </c>
      <c r="D24" s="85">
        <v>6024</v>
      </c>
      <c r="E24" s="85"/>
      <c r="F24" s="85" t="s">
        <v>1036</v>
      </c>
      <c r="G24" s="107">
        <v>43100</v>
      </c>
      <c r="H24" s="85"/>
      <c r="I24" s="95">
        <v>9.0499999999999972</v>
      </c>
      <c r="J24" s="98" t="s">
        <v>162</v>
      </c>
      <c r="K24" s="99">
        <v>2.0399999999999995E-2</v>
      </c>
      <c r="L24" s="99">
        <v>2.0399999999999995E-2</v>
      </c>
      <c r="M24" s="95">
        <v>138021.27999999997</v>
      </c>
      <c r="N24" s="97">
        <v>107.02</v>
      </c>
      <c r="O24" s="95">
        <f>147.71039-0.0171</f>
        <v>147.69328999999999</v>
      </c>
      <c r="P24" s="96">
        <f t="shared" si="0"/>
        <v>2.6782541631789156E-2</v>
      </c>
      <c r="Q24" s="96">
        <f>O24/'סכום נכסי הקרן'!$C$42</f>
        <v>7.0648692014054154E-4</v>
      </c>
    </row>
    <row r="25" spans="2:49" s="137" customFormat="1">
      <c r="B25" s="144" t="s">
        <v>1095</v>
      </c>
      <c r="C25" s="98" t="s">
        <v>1037</v>
      </c>
      <c r="D25" s="85">
        <v>5209</v>
      </c>
      <c r="E25" s="85"/>
      <c r="F25" s="85" t="s">
        <v>1036</v>
      </c>
      <c r="G25" s="107">
        <v>42643</v>
      </c>
      <c r="H25" s="85"/>
      <c r="I25" s="95">
        <v>6.9900000000000011</v>
      </c>
      <c r="J25" s="98" t="s">
        <v>162</v>
      </c>
      <c r="K25" s="99">
        <v>2.2100000000000005E-2</v>
      </c>
      <c r="L25" s="99">
        <v>2.2100000000000005E-2</v>
      </c>
      <c r="M25" s="95">
        <v>108396.18999999999</v>
      </c>
      <c r="N25" s="97">
        <v>103.38</v>
      </c>
      <c r="O25" s="95">
        <v>112.06001999999998</v>
      </c>
      <c r="P25" s="96">
        <f t="shared" si="0"/>
        <v>2.0320842950340704E-2</v>
      </c>
      <c r="Q25" s="96">
        <f>O25/'סכום נכסי הקרן'!$C$42</f>
        <v>5.3603612188940671E-4</v>
      </c>
    </row>
    <row r="26" spans="2:49" s="137" customFormat="1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95"/>
      <c r="N26" s="97"/>
      <c r="O26" s="85"/>
      <c r="P26" s="96"/>
      <c r="Q26" s="85"/>
    </row>
    <row r="27" spans="2:49" s="137" customFormat="1">
      <c r="B27" s="103" t="s">
        <v>37</v>
      </c>
      <c r="C27" s="83"/>
      <c r="D27" s="83"/>
      <c r="E27" s="83"/>
      <c r="F27" s="83"/>
      <c r="G27" s="83"/>
      <c r="H27" s="83"/>
      <c r="I27" s="92">
        <v>3.2531851341186768</v>
      </c>
      <c r="J27" s="83"/>
      <c r="K27" s="83"/>
      <c r="L27" s="105">
        <v>3.1448860392019613E-2</v>
      </c>
      <c r="M27" s="92"/>
      <c r="N27" s="94"/>
      <c r="O27" s="92">
        <f>SUM(O28:O70)</f>
        <v>2719.374929999999</v>
      </c>
      <c r="P27" s="93">
        <f t="shared" ref="P27:P70" si="1">O27/$O$10</f>
        <v>0.49312851162817684</v>
      </c>
      <c r="Q27" s="93">
        <f>O27/'סכום נכסי הקרן'!$C$42</f>
        <v>1.3008057569867259E-2</v>
      </c>
    </row>
    <row r="28" spans="2:49" s="137" customFormat="1">
      <c r="B28" s="88" t="s">
        <v>1096</v>
      </c>
      <c r="C28" s="98" t="s">
        <v>1037</v>
      </c>
      <c r="D28" s="85" t="s">
        <v>1038</v>
      </c>
      <c r="E28" s="85"/>
      <c r="F28" s="85" t="s">
        <v>1039</v>
      </c>
      <c r="G28" s="107">
        <v>43185</v>
      </c>
      <c r="H28" s="85" t="s">
        <v>1035</v>
      </c>
      <c r="I28" s="95">
        <v>1.4500000000000002</v>
      </c>
      <c r="J28" s="98" t="s">
        <v>161</v>
      </c>
      <c r="K28" s="99">
        <v>3.4861000000000003E-2</v>
      </c>
      <c r="L28" s="99">
        <v>3.7400000000000003E-2</v>
      </c>
      <c r="M28" s="95">
        <v>167659.99999999997</v>
      </c>
      <c r="N28" s="97">
        <v>99.78</v>
      </c>
      <c r="O28" s="95">
        <v>606.76495999999986</v>
      </c>
      <c r="P28" s="96">
        <f t="shared" si="1"/>
        <v>0.11003010226064351</v>
      </c>
      <c r="Q28" s="96">
        <f>O28/'סכום נכסי הקרן'!$C$42</f>
        <v>2.9024440300544382E-3</v>
      </c>
    </row>
    <row r="29" spans="2:49" s="137" customFormat="1">
      <c r="B29" s="144" t="s">
        <v>1097</v>
      </c>
      <c r="C29" s="98" t="s">
        <v>1037</v>
      </c>
      <c r="D29" s="85" t="s">
        <v>1040</v>
      </c>
      <c r="E29" s="85"/>
      <c r="F29" s="85" t="s">
        <v>1039</v>
      </c>
      <c r="G29" s="107">
        <v>42723</v>
      </c>
      <c r="H29" s="85" t="s">
        <v>1035</v>
      </c>
      <c r="I29" s="95">
        <v>0.26000000000000006</v>
      </c>
      <c r="J29" s="98" t="s">
        <v>162</v>
      </c>
      <c r="K29" s="99">
        <v>2.0119999999999999E-2</v>
      </c>
      <c r="L29" s="99">
        <v>1.1899999999999999E-2</v>
      </c>
      <c r="M29" s="95">
        <v>418173.19999999995</v>
      </c>
      <c r="N29" s="97">
        <v>100.78</v>
      </c>
      <c r="O29" s="95">
        <v>421.43495999999993</v>
      </c>
      <c r="P29" s="96">
        <f t="shared" si="1"/>
        <v>7.642256030244432E-2</v>
      </c>
      <c r="Q29" s="96">
        <f>O29/'סכום נכסי הקרן'!$C$42</f>
        <v>2.0159229097676157E-3</v>
      </c>
    </row>
    <row r="30" spans="2:49" s="137" customFormat="1">
      <c r="B30" s="144" t="s">
        <v>1098</v>
      </c>
      <c r="C30" s="98" t="s">
        <v>1041</v>
      </c>
      <c r="D30" s="85" t="s">
        <v>1042</v>
      </c>
      <c r="E30" s="85"/>
      <c r="F30" s="85" t="s">
        <v>1043</v>
      </c>
      <c r="G30" s="107">
        <v>42732</v>
      </c>
      <c r="H30" s="85" t="s">
        <v>1035</v>
      </c>
      <c r="I30" s="95">
        <v>4.1199999999999992</v>
      </c>
      <c r="J30" s="98" t="s">
        <v>162</v>
      </c>
      <c r="K30" s="99">
        <v>2.1613000000000004E-2</v>
      </c>
      <c r="L30" s="99">
        <v>1.6000000000000004E-2</v>
      </c>
      <c r="M30" s="95">
        <v>109324.37999999998</v>
      </c>
      <c r="N30" s="97">
        <v>103.8</v>
      </c>
      <c r="O30" s="95">
        <v>113.47869999999999</v>
      </c>
      <c r="P30" s="96">
        <f t="shared" si="1"/>
        <v>2.0578104848712572E-2</v>
      </c>
      <c r="Q30" s="96">
        <f>O30/'סכום נכסי הקרן'!$C$42</f>
        <v>5.4282233989474049E-4</v>
      </c>
    </row>
    <row r="31" spans="2:49" s="137" customFormat="1">
      <c r="B31" s="88" t="s">
        <v>1099</v>
      </c>
      <c r="C31" s="98" t="s">
        <v>1041</v>
      </c>
      <c r="D31" s="85" t="s">
        <v>1044</v>
      </c>
      <c r="E31" s="85"/>
      <c r="F31" s="85" t="s">
        <v>534</v>
      </c>
      <c r="G31" s="107">
        <v>43011</v>
      </c>
      <c r="H31" s="85" t="s">
        <v>158</v>
      </c>
      <c r="I31" s="95">
        <v>9.6700000000000035</v>
      </c>
      <c r="J31" s="98" t="s">
        <v>162</v>
      </c>
      <c r="K31" s="99">
        <v>3.9E-2</v>
      </c>
      <c r="L31" s="99">
        <v>3.6600000000000001E-2</v>
      </c>
      <c r="M31" s="95">
        <v>9151.5999999999985</v>
      </c>
      <c r="N31" s="97">
        <v>104.08</v>
      </c>
      <c r="O31" s="95">
        <v>9.5249899999999972</v>
      </c>
      <c r="P31" s="96">
        <f t="shared" si="1"/>
        <v>1.727251395221647E-3</v>
      </c>
      <c r="Q31" s="96">
        <f>O31/'סכום נכסי הקרן'!$C$42</f>
        <v>4.5562536046623758E-5</v>
      </c>
    </row>
    <row r="32" spans="2:49" s="137" customFormat="1">
      <c r="B32" s="88" t="s">
        <v>1099</v>
      </c>
      <c r="C32" s="98" t="s">
        <v>1041</v>
      </c>
      <c r="D32" s="85" t="s">
        <v>1045</v>
      </c>
      <c r="E32" s="85"/>
      <c r="F32" s="85" t="s">
        <v>534</v>
      </c>
      <c r="G32" s="107">
        <v>43104</v>
      </c>
      <c r="H32" s="85" t="s">
        <v>158</v>
      </c>
      <c r="I32" s="95">
        <v>9.6800000000000015</v>
      </c>
      <c r="J32" s="98" t="s">
        <v>162</v>
      </c>
      <c r="K32" s="99">
        <v>3.8199999999999998E-2</v>
      </c>
      <c r="L32" s="99">
        <v>3.9399999999999998E-2</v>
      </c>
      <c r="M32" s="95">
        <v>16303.309999999998</v>
      </c>
      <c r="N32" s="97">
        <v>98.56</v>
      </c>
      <c r="O32" s="95">
        <v>16.068539999999999</v>
      </c>
      <c r="P32" s="96">
        <f t="shared" si="1"/>
        <v>2.913851682172354E-3</v>
      </c>
      <c r="Q32" s="96">
        <f>O32/'סכום נכסי הקרן'!$C$42</f>
        <v>7.6863433238944691E-5</v>
      </c>
    </row>
    <row r="33" spans="2:17" s="137" customFormat="1">
      <c r="B33" s="88" t="s">
        <v>1099</v>
      </c>
      <c r="C33" s="98" t="s">
        <v>1041</v>
      </c>
      <c r="D33" s="85" t="s">
        <v>1046</v>
      </c>
      <c r="E33" s="85"/>
      <c r="F33" s="85" t="s">
        <v>534</v>
      </c>
      <c r="G33" s="107">
        <v>43194</v>
      </c>
      <c r="H33" s="85" t="s">
        <v>158</v>
      </c>
      <c r="I33" s="95">
        <v>9.73</v>
      </c>
      <c r="J33" s="98" t="s">
        <v>162</v>
      </c>
      <c r="K33" s="99">
        <v>3.7900000000000003E-2</v>
      </c>
      <c r="L33" s="99">
        <v>3.5400000000000001E-2</v>
      </c>
      <c r="M33" s="95">
        <v>10529.009999999998</v>
      </c>
      <c r="N33" s="97">
        <v>102.33</v>
      </c>
      <c r="O33" s="95">
        <v>10.774339999999999</v>
      </c>
      <c r="P33" s="96">
        <f t="shared" si="1"/>
        <v>1.953807174347942E-3</v>
      </c>
      <c r="Q33" s="96">
        <f>O33/'סכום נכסי הקרן'!$C$42</f>
        <v>5.1538768505644654E-5</v>
      </c>
    </row>
    <row r="34" spans="2:17" s="137" customFormat="1">
      <c r="B34" s="88" t="s">
        <v>1099</v>
      </c>
      <c r="C34" s="98" t="s">
        <v>1041</v>
      </c>
      <c r="D34" s="85" t="s">
        <v>1047</v>
      </c>
      <c r="E34" s="85"/>
      <c r="F34" s="85" t="s">
        <v>534</v>
      </c>
      <c r="G34" s="107">
        <v>43285</v>
      </c>
      <c r="H34" s="85" t="s">
        <v>158</v>
      </c>
      <c r="I34" s="95">
        <v>9.7000000000000011</v>
      </c>
      <c r="J34" s="98" t="s">
        <v>162</v>
      </c>
      <c r="K34" s="99">
        <v>4.0099999999999997E-2</v>
      </c>
      <c r="L34" s="99">
        <v>3.5499999999999997E-2</v>
      </c>
      <c r="M34" s="95">
        <v>13947.319999999998</v>
      </c>
      <c r="N34" s="97">
        <v>103.19</v>
      </c>
      <c r="O34" s="95">
        <v>14.392239999999997</v>
      </c>
      <c r="P34" s="96">
        <f t="shared" si="1"/>
        <v>2.6098732513487994E-3</v>
      </c>
      <c r="Q34" s="96">
        <f>O34/'סכום נכסי הקרן'!$C$42</f>
        <v>6.8844896823163103E-5</v>
      </c>
    </row>
    <row r="35" spans="2:17" s="137" customFormat="1">
      <c r="B35" s="88" t="s">
        <v>1099</v>
      </c>
      <c r="C35" s="98" t="s">
        <v>1041</v>
      </c>
      <c r="D35" s="85" t="s">
        <v>1048</v>
      </c>
      <c r="E35" s="85"/>
      <c r="F35" s="85" t="s">
        <v>534</v>
      </c>
      <c r="G35" s="107">
        <v>42935</v>
      </c>
      <c r="H35" s="85" t="s">
        <v>158</v>
      </c>
      <c r="I35" s="95">
        <v>11.189999999999998</v>
      </c>
      <c r="J35" s="98" t="s">
        <v>162</v>
      </c>
      <c r="K35" s="99">
        <v>4.0800000000000003E-2</v>
      </c>
      <c r="L35" s="99">
        <v>3.3899999999999993E-2</v>
      </c>
      <c r="M35" s="95">
        <v>42618.789999999994</v>
      </c>
      <c r="N35" s="97">
        <v>107.27</v>
      </c>
      <c r="O35" s="95">
        <v>45.717160000000007</v>
      </c>
      <c r="P35" s="96">
        <f t="shared" si="1"/>
        <v>8.2903003988005555E-3</v>
      </c>
      <c r="Q35" s="96">
        <f>O35/'סכום נכסי הקרן'!$C$42</f>
        <v>2.1868681756613567E-4</v>
      </c>
    </row>
    <row r="36" spans="2:17" s="137" customFormat="1">
      <c r="B36" s="144" t="s">
        <v>1100</v>
      </c>
      <c r="C36" s="98" t="s">
        <v>1041</v>
      </c>
      <c r="D36" s="85" t="s">
        <v>1049</v>
      </c>
      <c r="E36" s="85"/>
      <c r="F36" s="85" t="s">
        <v>1043</v>
      </c>
      <c r="G36" s="107">
        <v>42680</v>
      </c>
      <c r="H36" s="85" t="s">
        <v>1035</v>
      </c>
      <c r="I36" s="95">
        <v>4.1999999999999993</v>
      </c>
      <c r="J36" s="98" t="s">
        <v>162</v>
      </c>
      <c r="K36" s="99">
        <v>2.3E-2</v>
      </c>
      <c r="L36" s="99">
        <v>2.2700000000000001E-2</v>
      </c>
      <c r="M36" s="95">
        <v>19289.659999999996</v>
      </c>
      <c r="N36" s="97">
        <v>102.14</v>
      </c>
      <c r="O36" s="95">
        <v>19.702449999999995</v>
      </c>
      <c r="P36" s="96">
        <f t="shared" si="1"/>
        <v>3.5728209952750334E-3</v>
      </c>
      <c r="Q36" s="96">
        <f>O36/'סכום נכסי הקרן'!$C$42</f>
        <v>9.42461449651708E-5</v>
      </c>
    </row>
    <row r="37" spans="2:17" s="137" customFormat="1">
      <c r="B37" s="144" t="s">
        <v>1100</v>
      </c>
      <c r="C37" s="98" t="s">
        <v>1041</v>
      </c>
      <c r="D37" s="85" t="s">
        <v>1050</v>
      </c>
      <c r="E37" s="85"/>
      <c r="F37" s="85" t="s">
        <v>1043</v>
      </c>
      <c r="G37" s="107">
        <v>42680</v>
      </c>
      <c r="H37" s="85" t="s">
        <v>1035</v>
      </c>
      <c r="I37" s="95">
        <v>3.0100000000000002</v>
      </c>
      <c r="J37" s="98" t="s">
        <v>162</v>
      </c>
      <c r="K37" s="99">
        <v>2.2000000000000002E-2</v>
      </c>
      <c r="L37" s="99">
        <v>2.1199999999999997E-2</v>
      </c>
      <c r="M37" s="95">
        <v>41111.939999999995</v>
      </c>
      <c r="N37" s="97">
        <v>100.37</v>
      </c>
      <c r="O37" s="95">
        <v>41.264049999999997</v>
      </c>
      <c r="P37" s="96">
        <f t="shared" si="1"/>
        <v>7.4827782428113646E-3</v>
      </c>
      <c r="Q37" s="96">
        <f>O37/'סכום נכסי הקרן'!$C$42</f>
        <v>1.973854844524441E-4</v>
      </c>
    </row>
    <row r="38" spans="2:17" s="137" customFormat="1">
      <c r="B38" s="144" t="s">
        <v>1100</v>
      </c>
      <c r="C38" s="98" t="s">
        <v>1041</v>
      </c>
      <c r="D38" s="85" t="s">
        <v>1051</v>
      </c>
      <c r="E38" s="85"/>
      <c r="F38" s="85" t="s">
        <v>1043</v>
      </c>
      <c r="G38" s="107">
        <v>42680</v>
      </c>
      <c r="H38" s="85" t="s">
        <v>1035</v>
      </c>
      <c r="I38" s="95">
        <v>4.1399999999999997</v>
      </c>
      <c r="J38" s="98" t="s">
        <v>162</v>
      </c>
      <c r="K38" s="99">
        <v>3.3700000000000001E-2</v>
      </c>
      <c r="L38" s="99">
        <v>3.3300000000000003E-2</v>
      </c>
      <c r="M38" s="95">
        <v>9785.8599999999988</v>
      </c>
      <c r="N38" s="97">
        <v>100.48</v>
      </c>
      <c r="O38" s="95">
        <v>9.8328299999999977</v>
      </c>
      <c r="P38" s="96">
        <f t="shared" si="1"/>
        <v>1.7830747682125933E-3</v>
      </c>
      <c r="Q38" s="96">
        <f>O38/'סכום נכסי הקרן'!$C$42</f>
        <v>4.7035080489882242E-5</v>
      </c>
    </row>
    <row r="39" spans="2:17" s="137" customFormat="1">
      <c r="B39" s="144" t="s">
        <v>1100</v>
      </c>
      <c r="C39" s="98" t="s">
        <v>1041</v>
      </c>
      <c r="D39" s="85" t="s">
        <v>1052</v>
      </c>
      <c r="E39" s="85"/>
      <c r="F39" s="85" t="s">
        <v>1043</v>
      </c>
      <c r="G39" s="107">
        <v>42717</v>
      </c>
      <c r="H39" s="85" t="s">
        <v>1035</v>
      </c>
      <c r="I39" s="95">
        <v>3.73</v>
      </c>
      <c r="J39" s="98" t="s">
        <v>162</v>
      </c>
      <c r="K39" s="99">
        <v>3.85E-2</v>
      </c>
      <c r="L39" s="99">
        <v>3.9000000000000007E-2</v>
      </c>
      <c r="M39" s="95">
        <v>2693.7499999999995</v>
      </c>
      <c r="N39" s="97">
        <v>100.19</v>
      </c>
      <c r="O39" s="95">
        <v>2.6988699999999994</v>
      </c>
      <c r="P39" s="96">
        <f t="shared" si="1"/>
        <v>4.8941016977675008E-4</v>
      </c>
      <c r="Q39" s="96">
        <f>O39/'סכום נכסי הקרן'!$C$42</f>
        <v>1.2909972783189428E-5</v>
      </c>
    </row>
    <row r="40" spans="2:17" s="137" customFormat="1">
      <c r="B40" s="144" t="s">
        <v>1100</v>
      </c>
      <c r="C40" s="98" t="s">
        <v>1041</v>
      </c>
      <c r="D40" s="85" t="s">
        <v>1053</v>
      </c>
      <c r="E40" s="85"/>
      <c r="F40" s="85" t="s">
        <v>1043</v>
      </c>
      <c r="G40" s="107">
        <v>42710</v>
      </c>
      <c r="H40" s="85" t="s">
        <v>1035</v>
      </c>
      <c r="I40" s="95">
        <v>3.7300000000000004</v>
      </c>
      <c r="J40" s="98" t="s">
        <v>162</v>
      </c>
      <c r="K40" s="99">
        <v>3.8399999999999997E-2</v>
      </c>
      <c r="L40" s="99">
        <v>3.8900000000000004E-2</v>
      </c>
      <c r="M40" s="95">
        <v>8053.5699999999988</v>
      </c>
      <c r="N40" s="97">
        <v>100.2</v>
      </c>
      <c r="O40" s="95">
        <v>8.0696799999999982</v>
      </c>
      <c r="P40" s="96">
        <f t="shared" si="1"/>
        <v>1.4633470522270597E-3</v>
      </c>
      <c r="Q40" s="96">
        <f>O40/'סכום נכסי הקרן'!$C$42</f>
        <v>3.8601099411623402E-5</v>
      </c>
    </row>
    <row r="41" spans="2:17" s="137" customFormat="1">
      <c r="B41" s="144" t="s">
        <v>1100</v>
      </c>
      <c r="C41" s="98" t="s">
        <v>1041</v>
      </c>
      <c r="D41" s="85" t="s">
        <v>1054</v>
      </c>
      <c r="E41" s="85"/>
      <c r="F41" s="85" t="s">
        <v>1043</v>
      </c>
      <c r="G41" s="107">
        <v>42680</v>
      </c>
      <c r="H41" s="85" t="s">
        <v>1035</v>
      </c>
      <c r="I41" s="95">
        <v>5.1000000000000005</v>
      </c>
      <c r="J41" s="98" t="s">
        <v>162</v>
      </c>
      <c r="K41" s="99">
        <v>3.6699999999999997E-2</v>
      </c>
      <c r="L41" s="99">
        <v>3.6600000000000001E-2</v>
      </c>
      <c r="M41" s="95">
        <v>32048.359999999997</v>
      </c>
      <c r="N41" s="97">
        <v>100.49</v>
      </c>
      <c r="O41" s="95">
        <v>32.205399999999997</v>
      </c>
      <c r="P41" s="96">
        <f t="shared" si="1"/>
        <v>5.8400924393276253E-3</v>
      </c>
      <c r="Q41" s="96">
        <f>O41/'סכום נכסי הקרן'!$C$42</f>
        <v>1.5405367337875808E-4</v>
      </c>
    </row>
    <row r="42" spans="2:17" s="137" customFormat="1">
      <c r="B42" s="144" t="s">
        <v>1100</v>
      </c>
      <c r="C42" s="98" t="s">
        <v>1041</v>
      </c>
      <c r="D42" s="85" t="s">
        <v>1055</v>
      </c>
      <c r="E42" s="85"/>
      <c r="F42" s="85" t="s">
        <v>1043</v>
      </c>
      <c r="G42" s="107">
        <v>42680</v>
      </c>
      <c r="H42" s="85" t="s">
        <v>1035</v>
      </c>
      <c r="I42" s="95">
        <v>2.98</v>
      </c>
      <c r="J42" s="98" t="s">
        <v>162</v>
      </c>
      <c r="K42" s="99">
        <v>3.1800000000000002E-2</v>
      </c>
      <c r="L42" s="99">
        <v>3.15E-2</v>
      </c>
      <c r="M42" s="95">
        <v>41682.87999999999</v>
      </c>
      <c r="N42" s="97">
        <v>100.35</v>
      </c>
      <c r="O42" s="95">
        <v>41.828769999999992</v>
      </c>
      <c r="P42" s="96">
        <f t="shared" si="1"/>
        <v>7.585183957453538E-3</v>
      </c>
      <c r="Q42" s="96">
        <f>O42/'סכום נכסי הקרן'!$C$42</f>
        <v>2.0008680753585406E-4</v>
      </c>
    </row>
    <row r="43" spans="2:17" s="137" customFormat="1">
      <c r="B43" s="144" t="s">
        <v>1101</v>
      </c>
      <c r="C43" s="98" t="s">
        <v>1037</v>
      </c>
      <c r="D43" s="85" t="s">
        <v>1056</v>
      </c>
      <c r="E43" s="85"/>
      <c r="F43" s="85" t="s">
        <v>1043</v>
      </c>
      <c r="G43" s="107">
        <v>42884</v>
      </c>
      <c r="H43" s="85" t="s">
        <v>1035</v>
      </c>
      <c r="I43" s="95">
        <v>1.39</v>
      </c>
      <c r="J43" s="98" t="s">
        <v>162</v>
      </c>
      <c r="K43" s="99">
        <v>2.2099999999999998E-2</v>
      </c>
      <c r="L43" s="99">
        <v>2.0300000000000002E-2</v>
      </c>
      <c r="M43" s="95">
        <v>35936.839999999989</v>
      </c>
      <c r="N43" s="97">
        <v>100.46</v>
      </c>
      <c r="O43" s="95">
        <v>36.102139999999991</v>
      </c>
      <c r="P43" s="96">
        <f t="shared" si="1"/>
        <v>6.5467230606527918E-3</v>
      </c>
      <c r="Q43" s="96">
        <f>O43/'סכום נכסי הקרן'!$C$42</f>
        <v>1.7269362541170725E-4</v>
      </c>
    </row>
    <row r="44" spans="2:17" s="137" customFormat="1">
      <c r="B44" s="144" t="s">
        <v>1101</v>
      </c>
      <c r="C44" s="98" t="s">
        <v>1037</v>
      </c>
      <c r="D44" s="85" t="s">
        <v>1057</v>
      </c>
      <c r="E44" s="85"/>
      <c r="F44" s="85" t="s">
        <v>1043</v>
      </c>
      <c r="G44" s="107">
        <v>43006</v>
      </c>
      <c r="H44" s="85" t="s">
        <v>1035</v>
      </c>
      <c r="I44" s="95">
        <v>1.5900000000000003</v>
      </c>
      <c r="J44" s="98" t="s">
        <v>162</v>
      </c>
      <c r="K44" s="99">
        <v>2.0799999999999999E-2</v>
      </c>
      <c r="L44" s="99">
        <v>2.2600000000000002E-2</v>
      </c>
      <c r="M44" s="95">
        <v>39203.819999999992</v>
      </c>
      <c r="N44" s="97">
        <v>99.75</v>
      </c>
      <c r="O44" s="95">
        <v>39.105809999999991</v>
      </c>
      <c r="P44" s="96">
        <f t="shared" si="1"/>
        <v>7.0914053331050889E-3</v>
      </c>
      <c r="Q44" s="96">
        <f>O44/'סכום נכסי הקרן'!$C$42</f>
        <v>1.8706160087910012E-4</v>
      </c>
    </row>
    <row r="45" spans="2:17" s="137" customFormat="1">
      <c r="B45" s="144" t="s">
        <v>1101</v>
      </c>
      <c r="C45" s="98" t="s">
        <v>1037</v>
      </c>
      <c r="D45" s="85" t="s">
        <v>1058</v>
      </c>
      <c r="E45" s="85"/>
      <c r="F45" s="85" t="s">
        <v>1043</v>
      </c>
      <c r="G45" s="107">
        <v>43321</v>
      </c>
      <c r="H45" s="85" t="s">
        <v>1035</v>
      </c>
      <c r="I45" s="95">
        <v>1.9200000000000002</v>
      </c>
      <c r="J45" s="98" t="s">
        <v>162</v>
      </c>
      <c r="K45" s="99">
        <v>2.4E-2</v>
      </c>
      <c r="L45" s="99">
        <v>2.2000000000000006E-2</v>
      </c>
      <c r="M45" s="95">
        <v>60526.51999999999</v>
      </c>
      <c r="N45" s="97">
        <v>100.77</v>
      </c>
      <c r="O45" s="95">
        <v>60.99257999999999</v>
      </c>
      <c r="P45" s="96">
        <f t="shared" si="1"/>
        <v>1.1060328557107979E-2</v>
      </c>
      <c r="Q45" s="96">
        <f>O45/'סכום נכסי הקרן'!$C$42</f>
        <v>2.9175638240319239E-4</v>
      </c>
    </row>
    <row r="46" spans="2:17" s="137" customFormat="1">
      <c r="B46" s="144" t="s">
        <v>1101</v>
      </c>
      <c r="C46" s="98" t="s">
        <v>1037</v>
      </c>
      <c r="D46" s="85" t="s">
        <v>1059</v>
      </c>
      <c r="E46" s="85"/>
      <c r="F46" s="85" t="s">
        <v>1043</v>
      </c>
      <c r="G46" s="107">
        <v>43343</v>
      </c>
      <c r="H46" s="85" t="s">
        <v>1035</v>
      </c>
      <c r="I46" s="95">
        <v>1.9799999999999998</v>
      </c>
      <c r="J46" s="98" t="s">
        <v>162</v>
      </c>
      <c r="K46" s="99">
        <v>2.3789999999999999E-2</v>
      </c>
      <c r="L46" s="99">
        <v>2.2799999999999997E-2</v>
      </c>
      <c r="M46" s="95">
        <v>60526.51999999999</v>
      </c>
      <c r="N46" s="97">
        <v>100.42</v>
      </c>
      <c r="O46" s="95">
        <v>60.780739999999987</v>
      </c>
      <c r="P46" s="96">
        <f t="shared" si="1"/>
        <v>1.1021913720392795E-2</v>
      </c>
      <c r="Q46" s="96">
        <f>O46/'סכום נכסי הקרן'!$C$42</f>
        <v>2.9074305140377749E-4</v>
      </c>
    </row>
    <row r="47" spans="2:17" s="137" customFormat="1">
      <c r="B47" s="144" t="s">
        <v>1101</v>
      </c>
      <c r="C47" s="98" t="s">
        <v>1037</v>
      </c>
      <c r="D47" s="85" t="s">
        <v>1060</v>
      </c>
      <c r="E47" s="85"/>
      <c r="F47" s="85" t="s">
        <v>1043</v>
      </c>
      <c r="G47" s="107">
        <v>42828</v>
      </c>
      <c r="H47" s="85" t="s">
        <v>1035</v>
      </c>
      <c r="I47" s="95">
        <v>1.2300000000000002</v>
      </c>
      <c r="J47" s="98" t="s">
        <v>162</v>
      </c>
      <c r="K47" s="99">
        <v>2.2700000000000001E-2</v>
      </c>
      <c r="L47" s="99">
        <v>1.9599999999999996E-2</v>
      </c>
      <c r="M47" s="95">
        <v>35936.839999999989</v>
      </c>
      <c r="N47" s="97">
        <v>100.96</v>
      </c>
      <c r="O47" s="95">
        <v>36.281829999999992</v>
      </c>
      <c r="P47" s="96">
        <f t="shared" si="1"/>
        <v>6.5793078511047903E-3</v>
      </c>
      <c r="Q47" s="96">
        <f>O47/'סכום נכסי הקרן'!$C$42</f>
        <v>1.7355316774216826E-4</v>
      </c>
    </row>
    <row r="48" spans="2:17" s="137" customFormat="1">
      <c r="B48" s="144" t="s">
        <v>1101</v>
      </c>
      <c r="C48" s="98" t="s">
        <v>1037</v>
      </c>
      <c r="D48" s="85" t="s">
        <v>1061</v>
      </c>
      <c r="E48" s="85"/>
      <c r="F48" s="85" t="s">
        <v>1043</v>
      </c>
      <c r="G48" s="107">
        <v>42859</v>
      </c>
      <c r="H48" s="85" t="s">
        <v>1035</v>
      </c>
      <c r="I48" s="95">
        <v>1.32</v>
      </c>
      <c r="J48" s="98" t="s">
        <v>162</v>
      </c>
      <c r="K48" s="99">
        <v>2.2799999999999997E-2</v>
      </c>
      <c r="L48" s="99">
        <v>1.9800000000000005E-2</v>
      </c>
      <c r="M48" s="95">
        <v>35936.839999999989</v>
      </c>
      <c r="N48" s="97">
        <v>100.77</v>
      </c>
      <c r="O48" s="95">
        <v>36.213559999999987</v>
      </c>
      <c r="P48" s="96">
        <f t="shared" si="1"/>
        <v>6.5669278430678484E-3</v>
      </c>
      <c r="Q48" s="96">
        <f>O48/'סכום נכסי הקרן'!$C$42</f>
        <v>1.732266000149682E-4</v>
      </c>
    </row>
    <row r="49" spans="2:17" s="137" customFormat="1">
      <c r="B49" s="144" t="s">
        <v>1102</v>
      </c>
      <c r="C49" s="98" t="s">
        <v>1037</v>
      </c>
      <c r="D49" s="85" t="s">
        <v>1062</v>
      </c>
      <c r="E49" s="85"/>
      <c r="F49" s="85" t="s">
        <v>534</v>
      </c>
      <c r="G49" s="107">
        <v>42759</v>
      </c>
      <c r="H49" s="85" t="s">
        <v>307</v>
      </c>
      <c r="I49" s="95">
        <v>4.6100000000000003</v>
      </c>
      <c r="J49" s="98" t="s">
        <v>162</v>
      </c>
      <c r="K49" s="99">
        <v>2.4E-2</v>
      </c>
      <c r="L49" s="99">
        <v>1.21E-2</v>
      </c>
      <c r="M49" s="95">
        <v>51757.179999999993</v>
      </c>
      <c r="N49" s="97">
        <v>106.04</v>
      </c>
      <c r="O49" s="95">
        <v>54.883309999999987</v>
      </c>
      <c r="P49" s="96">
        <f t="shared" si="1"/>
        <v>9.9524801361347542E-3</v>
      </c>
      <c r="Q49" s="96">
        <f>O49/'סכום נכסי הקרן'!$C$42</f>
        <v>2.6253285202745895E-4</v>
      </c>
    </row>
    <row r="50" spans="2:17" s="137" customFormat="1">
      <c r="B50" s="144" t="s">
        <v>1102</v>
      </c>
      <c r="C50" s="98" t="s">
        <v>1037</v>
      </c>
      <c r="D50" s="85" t="s">
        <v>1063</v>
      </c>
      <c r="E50" s="85"/>
      <c r="F50" s="85" t="s">
        <v>534</v>
      </c>
      <c r="G50" s="107">
        <v>42759</v>
      </c>
      <c r="H50" s="85" t="s">
        <v>307</v>
      </c>
      <c r="I50" s="95">
        <v>4.42</v>
      </c>
      <c r="J50" s="98" t="s">
        <v>162</v>
      </c>
      <c r="K50" s="99">
        <v>3.8800000000000001E-2</v>
      </c>
      <c r="L50" s="99">
        <v>3.0499999999999999E-2</v>
      </c>
      <c r="M50" s="95">
        <v>51757.179999999993</v>
      </c>
      <c r="N50" s="97">
        <v>104.48</v>
      </c>
      <c r="O50" s="95">
        <v>54.075899999999997</v>
      </c>
      <c r="P50" s="96">
        <f t="shared" si="1"/>
        <v>9.8060652791096149E-3</v>
      </c>
      <c r="Q50" s="96">
        <f>O50/'סכום נכסי הקרן'!$C$42</f>
        <v>2.5867062779106562E-4</v>
      </c>
    </row>
    <row r="51" spans="2:17" s="137" customFormat="1">
      <c r="B51" s="88" t="s">
        <v>1103</v>
      </c>
      <c r="C51" s="98" t="s">
        <v>1041</v>
      </c>
      <c r="D51" s="85" t="s">
        <v>1064</v>
      </c>
      <c r="E51" s="85"/>
      <c r="F51" s="85" t="s">
        <v>1065</v>
      </c>
      <c r="G51" s="107">
        <v>43093</v>
      </c>
      <c r="H51" s="85" t="s">
        <v>1035</v>
      </c>
      <c r="I51" s="95">
        <v>4.5600000000000014</v>
      </c>
      <c r="J51" s="98" t="s">
        <v>162</v>
      </c>
      <c r="K51" s="99">
        <v>2.6089999999999999E-2</v>
      </c>
      <c r="L51" s="99">
        <v>2.7699999999999999E-2</v>
      </c>
      <c r="M51" s="95">
        <v>56424.999999999993</v>
      </c>
      <c r="N51" s="97">
        <v>102.35</v>
      </c>
      <c r="O51" s="95">
        <v>57.751009999999987</v>
      </c>
      <c r="P51" s="96">
        <f t="shared" si="1"/>
        <v>1.0472505755697307E-2</v>
      </c>
      <c r="Q51" s="96">
        <f>O51/'סכום נכסי הקרן'!$C$42</f>
        <v>2.7625041862027459E-4</v>
      </c>
    </row>
    <row r="52" spans="2:17" s="137" customFormat="1">
      <c r="B52" s="88" t="s">
        <v>1103</v>
      </c>
      <c r="C52" s="98" t="s">
        <v>1041</v>
      </c>
      <c r="D52" s="85" t="s">
        <v>1066</v>
      </c>
      <c r="E52" s="85"/>
      <c r="F52" s="85" t="s">
        <v>1065</v>
      </c>
      <c r="G52" s="107">
        <v>43363</v>
      </c>
      <c r="H52" s="85" t="s">
        <v>1035</v>
      </c>
      <c r="I52" s="95">
        <v>4.6500000000000004</v>
      </c>
      <c r="J52" s="98" t="s">
        <v>162</v>
      </c>
      <c r="K52" s="99">
        <v>2.6849999999999999E-2</v>
      </c>
      <c r="L52" s="99">
        <v>2.3900000000000001E-2</v>
      </c>
      <c r="M52" s="95">
        <v>78994.999999999985</v>
      </c>
      <c r="N52" s="97">
        <v>101.41</v>
      </c>
      <c r="O52" s="95">
        <v>80.108829999999983</v>
      </c>
      <c r="P52" s="96">
        <f t="shared" si="1"/>
        <v>1.4526848677749137E-2</v>
      </c>
      <c r="Q52" s="96">
        <f>O52/'סכום נכסי הקרן'!$C$42</f>
        <v>3.8319845527689318E-4</v>
      </c>
    </row>
    <row r="53" spans="2:17" s="137" customFormat="1">
      <c r="B53" s="88" t="s">
        <v>1104</v>
      </c>
      <c r="C53" s="98" t="s">
        <v>1041</v>
      </c>
      <c r="D53" s="85" t="s">
        <v>1067</v>
      </c>
      <c r="E53" s="85"/>
      <c r="F53" s="85" t="s">
        <v>572</v>
      </c>
      <c r="G53" s="107">
        <v>43301</v>
      </c>
      <c r="H53" s="85" t="s">
        <v>307</v>
      </c>
      <c r="I53" s="95">
        <v>2.2100000000000004</v>
      </c>
      <c r="J53" s="98" t="s">
        <v>161</v>
      </c>
      <c r="K53" s="99">
        <v>6.0975000000000001E-2</v>
      </c>
      <c r="L53" s="99">
        <v>6.699999999999999E-2</v>
      </c>
      <c r="M53" s="95">
        <v>69310.039999999979</v>
      </c>
      <c r="N53" s="97">
        <v>101.17</v>
      </c>
      <c r="O53" s="95">
        <v>254.32871999999998</v>
      </c>
      <c r="P53" s="96">
        <f t="shared" si="1"/>
        <v>4.6119695292586728E-2</v>
      </c>
      <c r="Q53" s="96">
        <f>O53/'סכום נכסי הקרן'!$C$42</f>
        <v>1.2165746602034943E-3</v>
      </c>
    </row>
    <row r="54" spans="2:17" s="137" customFormat="1">
      <c r="B54" s="88" t="s">
        <v>1104</v>
      </c>
      <c r="C54" s="98" t="s">
        <v>1041</v>
      </c>
      <c r="D54" s="85" t="s">
        <v>1068</v>
      </c>
      <c r="E54" s="85"/>
      <c r="F54" s="85" t="s">
        <v>572</v>
      </c>
      <c r="G54" s="107">
        <v>43301</v>
      </c>
      <c r="H54" s="85" t="s">
        <v>307</v>
      </c>
      <c r="I54" s="95">
        <v>2.21</v>
      </c>
      <c r="J54" s="98" t="s">
        <v>161</v>
      </c>
      <c r="K54" s="99">
        <v>6.0975000000000001E-2</v>
      </c>
      <c r="L54" s="99">
        <v>6.7000000000000004E-2</v>
      </c>
      <c r="M54" s="95">
        <v>10404.659999999998</v>
      </c>
      <c r="N54" s="97">
        <v>101.17</v>
      </c>
      <c r="O54" s="95">
        <v>38.179249999999996</v>
      </c>
      <c r="P54" s="96">
        <f t="shared" si="1"/>
        <v>6.9233839438168519E-3</v>
      </c>
      <c r="Q54" s="96">
        <f>O54/'סכום נכסי הקרן'!$C$42</f>
        <v>1.8262942579026962E-4</v>
      </c>
    </row>
    <row r="55" spans="2:17" s="137" customFormat="1">
      <c r="B55" s="144" t="s">
        <v>1104</v>
      </c>
      <c r="C55" s="98" t="s">
        <v>1041</v>
      </c>
      <c r="D55" s="85" t="s">
        <v>1069</v>
      </c>
      <c r="E55" s="85"/>
      <c r="F55" s="85" t="s">
        <v>572</v>
      </c>
      <c r="G55" s="107">
        <v>43301</v>
      </c>
      <c r="H55" s="85" t="s">
        <v>307</v>
      </c>
      <c r="I55" s="95">
        <v>2.21</v>
      </c>
      <c r="J55" s="98" t="s">
        <v>161</v>
      </c>
      <c r="K55" s="99">
        <v>6.0975000000000001E-2</v>
      </c>
      <c r="L55" s="99">
        <v>6.6699999999999995E-2</v>
      </c>
      <c r="M55" s="95">
        <v>10373.519999999999</v>
      </c>
      <c r="N55" s="97">
        <v>101.22</v>
      </c>
      <c r="O55" s="95">
        <v>38.083749999999995</v>
      </c>
      <c r="P55" s="96">
        <f t="shared" si="1"/>
        <v>6.9060660770008586E-3</v>
      </c>
      <c r="Q55" s="96">
        <f>O55/'סכום נכסי הקרן'!$C$42</f>
        <v>1.8217260408311272E-4</v>
      </c>
    </row>
    <row r="56" spans="2:17" s="137" customFormat="1">
      <c r="B56" s="144" t="s">
        <v>1104</v>
      </c>
      <c r="C56" s="98" t="s">
        <v>1041</v>
      </c>
      <c r="D56" s="85" t="s">
        <v>1070</v>
      </c>
      <c r="E56" s="85"/>
      <c r="F56" s="85" t="s">
        <v>572</v>
      </c>
      <c r="G56" s="107">
        <v>43340</v>
      </c>
      <c r="H56" s="85" t="s">
        <v>307</v>
      </c>
      <c r="I56" s="95">
        <v>2.23</v>
      </c>
      <c r="J56" s="98" t="s">
        <v>161</v>
      </c>
      <c r="K56" s="99">
        <v>6.0975000000000001E-2</v>
      </c>
      <c r="L56" s="99">
        <v>6.6799999999999998E-2</v>
      </c>
      <c r="M56" s="95">
        <v>6061.6699999999992</v>
      </c>
      <c r="N56" s="97">
        <v>100.54</v>
      </c>
      <c r="O56" s="95">
        <v>22.104429999999997</v>
      </c>
      <c r="P56" s="96">
        <f t="shared" si="1"/>
        <v>4.0083934532297921E-3</v>
      </c>
      <c r="Q56" s="96">
        <f>O56/'סכום נכסי הקרן'!$C$42</f>
        <v>1.0573595233854017E-4</v>
      </c>
    </row>
    <row r="57" spans="2:17" s="137" customFormat="1">
      <c r="B57" s="144" t="s">
        <v>1104</v>
      </c>
      <c r="C57" s="98" t="s">
        <v>1041</v>
      </c>
      <c r="D57" s="85" t="s">
        <v>1071</v>
      </c>
      <c r="E57" s="85"/>
      <c r="F57" s="85" t="s">
        <v>572</v>
      </c>
      <c r="G57" s="107">
        <v>43360</v>
      </c>
      <c r="H57" s="85" t="s">
        <v>307</v>
      </c>
      <c r="I57" s="95">
        <v>2.23</v>
      </c>
      <c r="J57" s="98" t="s">
        <v>161</v>
      </c>
      <c r="K57" s="99">
        <v>6.0975000000000001E-2</v>
      </c>
      <c r="L57" s="99">
        <v>6.6699999999999995E-2</v>
      </c>
      <c r="M57" s="95">
        <v>3990.3999999999996</v>
      </c>
      <c r="N57" s="97">
        <v>100.22</v>
      </c>
      <c r="O57" s="95">
        <v>14.505019999999996</v>
      </c>
      <c r="P57" s="96">
        <f t="shared" si="1"/>
        <v>2.6303246546944296E-3</v>
      </c>
      <c r="Q57" s="96">
        <f>O57/'סכום נכסי הקרן'!$C$42</f>
        <v>6.938437695021186E-5</v>
      </c>
    </row>
    <row r="58" spans="2:17" s="137" customFormat="1">
      <c r="B58" s="145" t="s">
        <v>1105</v>
      </c>
      <c r="C58" s="98" t="s">
        <v>1037</v>
      </c>
      <c r="D58" s="85" t="s">
        <v>1072</v>
      </c>
      <c r="E58" s="85"/>
      <c r="F58" s="85" t="s">
        <v>1065</v>
      </c>
      <c r="G58" s="107">
        <v>42978</v>
      </c>
      <c r="H58" s="85" t="s">
        <v>1035</v>
      </c>
      <c r="I58" s="95">
        <v>3.5099999999999993</v>
      </c>
      <c r="J58" s="98" t="s">
        <v>162</v>
      </c>
      <c r="K58" s="99">
        <v>2.3E-2</v>
      </c>
      <c r="L58" s="99">
        <v>2.1099999999999997E-2</v>
      </c>
      <c r="M58" s="95">
        <v>18280.759999999995</v>
      </c>
      <c r="N58" s="97">
        <v>100.87</v>
      </c>
      <c r="O58" s="95">
        <v>18.439809999999998</v>
      </c>
      <c r="P58" s="96">
        <f t="shared" si="1"/>
        <v>3.3438552219080633E-3</v>
      </c>
      <c r="Q58" s="96">
        <f>O58/'סכום נכסי הקרן'!$C$42</f>
        <v>8.8206340145017826E-5</v>
      </c>
    </row>
    <row r="59" spans="2:17" s="137" customFormat="1">
      <c r="B59" s="145" t="s">
        <v>1105</v>
      </c>
      <c r="C59" s="98" t="s">
        <v>1037</v>
      </c>
      <c r="D59" s="85" t="s">
        <v>1073</v>
      </c>
      <c r="E59" s="85"/>
      <c r="F59" s="85" t="s">
        <v>1065</v>
      </c>
      <c r="G59" s="107">
        <v>42978</v>
      </c>
      <c r="H59" s="85" t="s">
        <v>1035</v>
      </c>
      <c r="I59" s="95">
        <v>3.4499999999999993</v>
      </c>
      <c r="J59" s="98" t="s">
        <v>162</v>
      </c>
      <c r="K59" s="99">
        <v>2.76E-2</v>
      </c>
      <c r="L59" s="99">
        <v>3.1300000000000001E-2</v>
      </c>
      <c r="M59" s="95">
        <v>42655.139999999992</v>
      </c>
      <c r="N59" s="97">
        <v>99.02</v>
      </c>
      <c r="O59" s="95">
        <v>42.237120000000004</v>
      </c>
      <c r="P59" s="96">
        <f t="shared" si="1"/>
        <v>7.6592337052473715E-3</v>
      </c>
      <c r="Q59" s="96">
        <f>O59/'סכום נכסי הקרן'!$C$42</f>
        <v>2.020401388878701E-4</v>
      </c>
    </row>
    <row r="60" spans="2:17" s="137" customFormat="1">
      <c r="B60" s="88" t="s">
        <v>1106</v>
      </c>
      <c r="C60" s="98" t="s">
        <v>1041</v>
      </c>
      <c r="D60" s="85" t="s">
        <v>1074</v>
      </c>
      <c r="E60" s="85"/>
      <c r="F60" s="85" t="s">
        <v>572</v>
      </c>
      <c r="G60" s="107">
        <v>43227</v>
      </c>
      <c r="H60" s="85" t="s">
        <v>158</v>
      </c>
      <c r="I60" s="95">
        <v>0.10000000000000002</v>
      </c>
      <c r="J60" s="98" t="s">
        <v>162</v>
      </c>
      <c r="K60" s="99">
        <v>2.6000000000000002E-2</v>
      </c>
      <c r="L60" s="99">
        <v>2.4700000000000003E-2</v>
      </c>
      <c r="M60" s="95">
        <v>262.17999999999995</v>
      </c>
      <c r="N60" s="97">
        <v>100.18</v>
      </c>
      <c r="O60" s="95">
        <v>0.26264999999999994</v>
      </c>
      <c r="P60" s="96">
        <f t="shared" si="1"/>
        <v>4.7628667216969844E-5</v>
      </c>
      <c r="Q60" s="96">
        <f>O60/'סכום נכסי הקרן'!$C$42</f>
        <v>1.2563792815158577E-6</v>
      </c>
    </row>
    <row r="61" spans="2:17" s="137" customFormat="1">
      <c r="B61" s="88" t="s">
        <v>1106</v>
      </c>
      <c r="C61" s="98" t="s">
        <v>1041</v>
      </c>
      <c r="D61" s="85" t="s">
        <v>1075</v>
      </c>
      <c r="E61" s="85"/>
      <c r="F61" s="85" t="s">
        <v>572</v>
      </c>
      <c r="G61" s="107">
        <v>43279</v>
      </c>
      <c r="H61" s="85" t="s">
        <v>158</v>
      </c>
      <c r="I61" s="95">
        <v>0.08</v>
      </c>
      <c r="J61" s="98" t="s">
        <v>162</v>
      </c>
      <c r="K61" s="99">
        <v>2.6000000000000002E-2</v>
      </c>
      <c r="L61" s="99">
        <v>2.5600000000000001E-2</v>
      </c>
      <c r="M61" s="95">
        <v>1133.04</v>
      </c>
      <c r="N61" s="97">
        <v>100.24</v>
      </c>
      <c r="O61" s="95">
        <v>1.1357599999999997</v>
      </c>
      <c r="P61" s="96">
        <f t="shared" si="1"/>
        <v>2.059574912558373E-4</v>
      </c>
      <c r="Q61" s="96">
        <f>O61/'סכום נכסי הקרן'!$C$42</f>
        <v>5.4328777185396938E-6</v>
      </c>
    </row>
    <row r="62" spans="2:17" s="137" customFormat="1">
      <c r="B62" s="88" t="s">
        <v>1106</v>
      </c>
      <c r="C62" s="98" t="s">
        <v>1041</v>
      </c>
      <c r="D62" s="85" t="s">
        <v>1076</v>
      </c>
      <c r="E62" s="85"/>
      <c r="F62" s="85" t="s">
        <v>572</v>
      </c>
      <c r="G62" s="107">
        <v>43321</v>
      </c>
      <c r="H62" s="85" t="s">
        <v>158</v>
      </c>
      <c r="I62" s="95">
        <v>0.03</v>
      </c>
      <c r="J62" s="98" t="s">
        <v>162</v>
      </c>
      <c r="K62" s="99">
        <v>2.6000000000000002E-2</v>
      </c>
      <c r="L62" s="146">
        <v>2.6800000000000001E-2</v>
      </c>
      <c r="M62" s="95">
        <v>5002.16</v>
      </c>
      <c r="N62" s="97">
        <v>100.36</v>
      </c>
      <c r="O62" s="95">
        <v>5.0201699999999994</v>
      </c>
      <c r="P62" s="96">
        <f t="shared" si="1"/>
        <v>9.1035220370308599E-4</v>
      </c>
      <c r="Q62" s="96">
        <f>O62/'סכום נכסי הקרן'!$C$42</f>
        <v>2.4013849524795218E-5</v>
      </c>
    </row>
    <row r="63" spans="2:17" s="137" customFormat="1">
      <c r="B63" s="88" t="s">
        <v>1106</v>
      </c>
      <c r="C63" s="98" t="s">
        <v>1041</v>
      </c>
      <c r="D63" s="85" t="s">
        <v>1077</v>
      </c>
      <c r="E63" s="85"/>
      <c r="F63" s="85" t="s">
        <v>572</v>
      </c>
      <c r="G63" s="107">
        <v>43138</v>
      </c>
      <c r="H63" s="85" t="s">
        <v>158</v>
      </c>
      <c r="I63" s="95">
        <v>2.0000000000000004E-2</v>
      </c>
      <c r="J63" s="98" t="s">
        <v>162</v>
      </c>
      <c r="K63" s="99">
        <v>2.6000000000000002E-2</v>
      </c>
      <c r="L63" s="99">
        <v>3.9199999999999999E-2</v>
      </c>
      <c r="M63" s="95">
        <v>1076.4599999999998</v>
      </c>
      <c r="N63" s="97">
        <v>100.36</v>
      </c>
      <c r="O63" s="95">
        <v>1.0803399999999996</v>
      </c>
      <c r="P63" s="96">
        <f t="shared" si="1"/>
        <v>1.9590768833497506E-4</v>
      </c>
      <c r="Q63" s="96">
        <f>O63/'סכום נכסי הקרן'!$C$42</f>
        <v>5.1677776241874798E-6</v>
      </c>
    </row>
    <row r="64" spans="2:17" s="137" customFormat="1">
      <c r="B64" s="88" t="s">
        <v>1106</v>
      </c>
      <c r="C64" s="98" t="s">
        <v>1041</v>
      </c>
      <c r="D64" s="85" t="s">
        <v>1078</v>
      </c>
      <c r="E64" s="85"/>
      <c r="F64" s="85" t="s">
        <v>572</v>
      </c>
      <c r="G64" s="107">
        <v>43227</v>
      </c>
      <c r="H64" s="85" t="s">
        <v>158</v>
      </c>
      <c r="I64" s="95">
        <v>9.9700000000000006</v>
      </c>
      <c r="J64" s="98" t="s">
        <v>162</v>
      </c>
      <c r="K64" s="99">
        <v>2.9805999999999999E-2</v>
      </c>
      <c r="L64" s="99">
        <v>2.86E-2</v>
      </c>
      <c r="M64" s="95">
        <v>5716.72</v>
      </c>
      <c r="N64" s="97">
        <v>101.2</v>
      </c>
      <c r="O64" s="95">
        <v>5.7853299999999992</v>
      </c>
      <c r="P64" s="96">
        <f t="shared" si="1"/>
        <v>1.0491054913776973E-3</v>
      </c>
      <c r="Q64" s="96">
        <f>O64/'סכום נכסי הקרן'!$C$42</f>
        <v>2.767397201116367E-5</v>
      </c>
    </row>
    <row r="65" spans="2:17" s="137" customFormat="1">
      <c r="B65" s="88" t="s">
        <v>1106</v>
      </c>
      <c r="C65" s="98" t="s">
        <v>1041</v>
      </c>
      <c r="D65" s="85" t="s">
        <v>1079</v>
      </c>
      <c r="E65" s="85"/>
      <c r="F65" s="85" t="s">
        <v>572</v>
      </c>
      <c r="G65" s="107">
        <v>43279</v>
      </c>
      <c r="H65" s="85" t="s">
        <v>158</v>
      </c>
      <c r="I65" s="95">
        <v>9.99</v>
      </c>
      <c r="J65" s="98" t="s">
        <v>162</v>
      </c>
      <c r="K65" s="99">
        <v>2.9796999999999997E-2</v>
      </c>
      <c r="L65" s="99">
        <v>2.75E-2</v>
      </c>
      <c r="M65" s="95">
        <v>6685.9399999999987</v>
      </c>
      <c r="N65" s="97">
        <v>101.32</v>
      </c>
      <c r="O65" s="95">
        <v>6.774189999999999</v>
      </c>
      <c r="P65" s="96">
        <f t="shared" si="1"/>
        <v>1.2284242953532268E-3</v>
      </c>
      <c r="Q65" s="96">
        <f>O65/'סכום נכסי הקרן'!$C$42</f>
        <v>3.2404157491155185E-5</v>
      </c>
    </row>
    <row r="66" spans="2:17" s="137" customFormat="1">
      <c r="B66" s="88" t="s">
        <v>1106</v>
      </c>
      <c r="C66" s="98" t="s">
        <v>1041</v>
      </c>
      <c r="D66" s="85" t="s">
        <v>1080</v>
      </c>
      <c r="E66" s="85"/>
      <c r="F66" s="85" t="s">
        <v>572</v>
      </c>
      <c r="G66" s="107">
        <v>43321</v>
      </c>
      <c r="H66" s="85" t="s">
        <v>158</v>
      </c>
      <c r="I66" s="95">
        <v>10</v>
      </c>
      <c r="J66" s="98" t="s">
        <v>162</v>
      </c>
      <c r="K66" s="99">
        <v>3.0529000000000001E-2</v>
      </c>
      <c r="L66" s="99">
        <v>2.6800000000000001E-2</v>
      </c>
      <c r="M66" s="95">
        <v>37426.679999999993</v>
      </c>
      <c r="N66" s="97">
        <v>102.64</v>
      </c>
      <c r="O66" s="95">
        <v>38.414749999999991</v>
      </c>
      <c r="P66" s="96">
        <f t="shared" si="1"/>
        <v>6.9660892593683315E-3</v>
      </c>
      <c r="Q66" s="96">
        <f>O66/'סכום נכסי הקרן'!$C$42</f>
        <v>1.8375593376969844E-4</v>
      </c>
    </row>
    <row r="67" spans="2:17" s="137" customFormat="1">
      <c r="B67" s="88" t="s">
        <v>1106</v>
      </c>
      <c r="C67" s="98" t="s">
        <v>1041</v>
      </c>
      <c r="D67" s="85" t="s">
        <v>1081</v>
      </c>
      <c r="E67" s="85"/>
      <c r="F67" s="85" t="s">
        <v>572</v>
      </c>
      <c r="G67" s="107">
        <v>43138</v>
      </c>
      <c r="H67" s="85" t="s">
        <v>158</v>
      </c>
      <c r="I67" s="95">
        <v>9.9300000000000015</v>
      </c>
      <c r="J67" s="98" t="s">
        <v>162</v>
      </c>
      <c r="K67" s="99">
        <v>2.8239999999999998E-2</v>
      </c>
      <c r="L67" s="99">
        <v>3.1100000000000003E-2</v>
      </c>
      <c r="M67" s="95">
        <v>35899.899999999994</v>
      </c>
      <c r="N67" s="97">
        <v>97.13</v>
      </c>
      <c r="O67" s="95">
        <v>34.869569999999996</v>
      </c>
      <c r="P67" s="96">
        <f t="shared" si="1"/>
        <v>6.3232101485963654E-3</v>
      </c>
      <c r="Q67" s="96">
        <f>O67/'סכום נכסי הקרן'!$C$42</f>
        <v>1.6679765963589153E-4</v>
      </c>
    </row>
    <row r="68" spans="2:17" s="137" customFormat="1">
      <c r="B68" s="144" t="s">
        <v>1107</v>
      </c>
      <c r="C68" s="98" t="s">
        <v>1041</v>
      </c>
      <c r="D68" s="85" t="s">
        <v>1082</v>
      </c>
      <c r="E68" s="85"/>
      <c r="F68" s="85" t="s">
        <v>597</v>
      </c>
      <c r="G68" s="107">
        <v>42825</v>
      </c>
      <c r="H68" s="85" t="s">
        <v>158</v>
      </c>
      <c r="I68" s="95">
        <v>7.3299999999999992</v>
      </c>
      <c r="J68" s="98" t="s">
        <v>162</v>
      </c>
      <c r="K68" s="99">
        <v>2.8999999999999998E-2</v>
      </c>
      <c r="L68" s="99">
        <v>2.29E-2</v>
      </c>
      <c r="M68" s="95">
        <v>211310.76999999996</v>
      </c>
      <c r="N68" s="97">
        <v>106.23</v>
      </c>
      <c r="O68" s="95">
        <v>224.47540999999998</v>
      </c>
      <c r="P68" s="96">
        <f t="shared" si="1"/>
        <v>4.0706128312518054E-2</v>
      </c>
      <c r="Q68" s="96">
        <f>O68/'סכום נכסי הקרן'!$C$42</f>
        <v>1.0737721467115081E-3</v>
      </c>
    </row>
    <row r="69" spans="2:17" s="137" customFormat="1">
      <c r="B69" s="88" t="s">
        <v>1108</v>
      </c>
      <c r="C69" s="98" t="s">
        <v>1041</v>
      </c>
      <c r="D69" s="85" t="s">
        <v>1025</v>
      </c>
      <c r="E69" s="85"/>
      <c r="F69" s="85" t="s">
        <v>1036</v>
      </c>
      <c r="G69" s="107">
        <v>43276</v>
      </c>
      <c r="H69" s="85"/>
      <c r="I69" s="95">
        <v>11.21</v>
      </c>
      <c r="J69" s="98" t="s">
        <v>162</v>
      </c>
      <c r="K69" s="99">
        <v>3.56E-2</v>
      </c>
      <c r="L69" s="99">
        <v>3.5799999999999998E-2</v>
      </c>
      <c r="M69" s="95">
        <v>10905.429999999998</v>
      </c>
      <c r="N69" s="97">
        <v>100.54</v>
      </c>
      <c r="O69" s="95">
        <v>10.964319999999997</v>
      </c>
      <c r="P69" s="96">
        <f t="shared" si="1"/>
        <v>1.9882579422819983E-3</v>
      </c>
      <c r="Q69" s="96">
        <f>O69/'סכום נכסי הקרן'!$C$42</f>
        <v>5.2447532777117645E-5</v>
      </c>
    </row>
    <row r="70" spans="2:17" s="137" customFormat="1">
      <c r="B70" s="88" t="s">
        <v>1108</v>
      </c>
      <c r="C70" s="98" t="s">
        <v>1041</v>
      </c>
      <c r="D70" s="85" t="s">
        <v>1024</v>
      </c>
      <c r="E70" s="85"/>
      <c r="F70" s="85" t="s">
        <v>1036</v>
      </c>
      <c r="G70" s="107">
        <v>43222</v>
      </c>
      <c r="H70" s="85"/>
      <c r="I70" s="95">
        <v>11.21</v>
      </c>
      <c r="J70" s="98" t="s">
        <v>162</v>
      </c>
      <c r="K70" s="99">
        <v>3.5200000000000002E-2</v>
      </c>
      <c r="L70" s="99">
        <v>3.5799999999999998E-2</v>
      </c>
      <c r="M70" s="95">
        <v>52159.94999999999</v>
      </c>
      <c r="N70" s="97">
        <v>100.96</v>
      </c>
      <c r="O70" s="95">
        <v>52.660689999999988</v>
      </c>
      <c r="P70" s="96">
        <f t="shared" si="1"/>
        <v>9.5494326267885465E-3</v>
      </c>
      <c r="Q70" s="96">
        <f>O70/'סכום נכסי הקרן'!$C$42</f>
        <v>2.5190100843833739E-4</v>
      </c>
    </row>
    <row r="71" spans="2:17" s="137" customFormat="1"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95"/>
      <c r="N71" s="97"/>
      <c r="O71" s="85"/>
      <c r="P71" s="96"/>
      <c r="Q71" s="85"/>
    </row>
    <row r="72" spans="2:17" s="137" customFormat="1">
      <c r="B72" s="82" t="s">
        <v>39</v>
      </c>
      <c r="C72" s="83"/>
      <c r="D72" s="83"/>
      <c r="E72" s="83"/>
      <c r="F72" s="83"/>
      <c r="G72" s="83"/>
      <c r="H72" s="83"/>
      <c r="I72" s="92">
        <f>I73</f>
        <v>6.549999999999998</v>
      </c>
      <c r="J72" s="83"/>
      <c r="K72" s="83"/>
      <c r="L72" s="105">
        <v>5.089999999999998E-2</v>
      </c>
      <c r="M72" s="92"/>
      <c r="N72" s="94"/>
      <c r="O72" s="92">
        <f>O73</f>
        <v>387.34296000000001</v>
      </c>
      <c r="P72" s="93">
        <f t="shared" ref="P72:P74" si="2">O72/$O$10</f>
        <v>7.0240353857514051E-2</v>
      </c>
      <c r="Q72" s="93">
        <f>O72/'סכום נכסי הקרן'!$C$42</f>
        <v>1.8528447355226566E-3</v>
      </c>
    </row>
    <row r="73" spans="2:17" s="137" customFormat="1">
      <c r="B73" s="103" t="s">
        <v>37</v>
      </c>
      <c r="C73" s="83"/>
      <c r="D73" s="83"/>
      <c r="E73" s="83"/>
      <c r="F73" s="83"/>
      <c r="G73" s="83"/>
      <c r="H73" s="83"/>
      <c r="I73" s="92">
        <f>I74</f>
        <v>6.549999999999998</v>
      </c>
      <c r="J73" s="83"/>
      <c r="K73" s="83"/>
      <c r="L73" s="105">
        <v>5.089999999999998E-2</v>
      </c>
      <c r="M73" s="92"/>
      <c r="N73" s="94"/>
      <c r="O73" s="92">
        <f>O74</f>
        <v>387.34296000000001</v>
      </c>
      <c r="P73" s="93">
        <f t="shared" si="2"/>
        <v>7.0240353857514051E-2</v>
      </c>
      <c r="Q73" s="93">
        <f>O73/'סכום נכסי הקרן'!$C$42</f>
        <v>1.8528447355226566E-3</v>
      </c>
    </row>
    <row r="74" spans="2:17" s="137" customFormat="1">
      <c r="B74" s="88" t="s">
        <v>1109</v>
      </c>
      <c r="C74" s="98" t="s">
        <v>1037</v>
      </c>
      <c r="D74" s="85" t="s">
        <v>1083</v>
      </c>
      <c r="E74" s="85"/>
      <c r="F74" s="85" t="s">
        <v>1084</v>
      </c>
      <c r="G74" s="107">
        <v>43186</v>
      </c>
      <c r="H74" s="85" t="s">
        <v>1035</v>
      </c>
      <c r="I74" s="95">
        <v>6.549999999999998</v>
      </c>
      <c r="J74" s="98" t="s">
        <v>161</v>
      </c>
      <c r="K74" s="99">
        <v>4.8000000000000001E-2</v>
      </c>
      <c r="L74" s="99">
        <v>5.089999999999998E-2</v>
      </c>
      <c r="M74" s="95">
        <v>108178.99999999999</v>
      </c>
      <c r="N74" s="97">
        <v>98.72</v>
      </c>
      <c r="O74" s="95">
        <v>387.34296000000001</v>
      </c>
      <c r="P74" s="96">
        <f t="shared" si="2"/>
        <v>7.0240353857514051E-2</v>
      </c>
      <c r="Q74" s="96">
        <f>O74/'סכום נכסי הקרן'!$C$42</f>
        <v>1.8528447355226566E-3</v>
      </c>
    </row>
    <row r="75" spans="2:17" s="137" customFormat="1">
      <c r="B75" s="139"/>
      <c r="C75" s="139"/>
      <c r="D75" s="139"/>
      <c r="E75" s="139"/>
    </row>
    <row r="76" spans="2:17" s="137" customFormat="1">
      <c r="B76" s="139"/>
      <c r="C76" s="139"/>
      <c r="D76" s="139"/>
      <c r="E76" s="139"/>
    </row>
    <row r="77" spans="2:17" s="137" customFormat="1">
      <c r="B77" s="139"/>
      <c r="C77" s="139"/>
      <c r="D77" s="139"/>
      <c r="E77" s="139"/>
    </row>
    <row r="78" spans="2:17" s="137" customFormat="1">
      <c r="B78" s="140" t="s">
        <v>246</v>
      </c>
      <c r="C78" s="139"/>
      <c r="D78" s="139"/>
      <c r="E78" s="139"/>
    </row>
    <row r="79" spans="2:17" s="137" customFormat="1">
      <c r="B79" s="140" t="s">
        <v>110</v>
      </c>
      <c r="C79" s="139"/>
      <c r="D79" s="139"/>
      <c r="E79" s="139"/>
    </row>
    <row r="80" spans="2:17" s="137" customFormat="1">
      <c r="B80" s="140" t="s">
        <v>229</v>
      </c>
      <c r="C80" s="139"/>
      <c r="D80" s="139"/>
      <c r="E80" s="139"/>
    </row>
    <row r="81" spans="2:2">
      <c r="B81" s="100" t="s">
        <v>237</v>
      </c>
    </row>
  </sheetData>
  <sheetProtection sheet="1" objects="1" scenarios="1"/>
  <mergeCells count="1">
    <mergeCell ref="B6:Q6"/>
  </mergeCells>
  <phoneticPr fontId="5" type="noConversion"/>
  <conditionalFormatting sqref="B71:B73">
    <cfRule type="cellIs" dxfId="71" priority="71" operator="equal">
      <formula>2958465</formula>
    </cfRule>
    <cfRule type="cellIs" dxfId="70" priority="72" operator="equal">
      <formula>"NR3"</formula>
    </cfRule>
    <cfRule type="cellIs" dxfId="69" priority="73" operator="equal">
      <formula>"דירוג פנימי"</formula>
    </cfRule>
  </conditionalFormatting>
  <conditionalFormatting sqref="B71:B73">
    <cfRule type="cellIs" dxfId="68" priority="70" operator="equal">
      <formula>2958465</formula>
    </cfRule>
  </conditionalFormatting>
  <conditionalFormatting sqref="B11:B12 B26:B27">
    <cfRule type="cellIs" dxfId="67" priority="69" operator="equal">
      <formula>"NR3"</formula>
    </cfRule>
  </conditionalFormatting>
  <conditionalFormatting sqref="B13:B25">
    <cfRule type="cellIs" dxfId="66" priority="63" operator="equal">
      <formula>"NR3"</formula>
    </cfRule>
  </conditionalFormatting>
  <conditionalFormatting sqref="B28">
    <cfRule type="cellIs" dxfId="65" priority="62" operator="equal">
      <formula>"NR3"</formula>
    </cfRule>
  </conditionalFormatting>
  <conditionalFormatting sqref="B29">
    <cfRule type="cellIs" dxfId="64" priority="61" operator="equal">
      <formula>"NR3"</formula>
    </cfRule>
  </conditionalFormatting>
  <conditionalFormatting sqref="B30">
    <cfRule type="cellIs" dxfId="63" priority="60" operator="equal">
      <formula>"NR3"</formula>
    </cfRule>
  </conditionalFormatting>
  <conditionalFormatting sqref="B31:B35">
    <cfRule type="cellIs" dxfId="62" priority="57" operator="equal">
      <formula>2958465</formula>
    </cfRule>
    <cfRule type="cellIs" dxfId="61" priority="58" operator="equal">
      <formula>"NR3"</formula>
    </cfRule>
    <cfRule type="cellIs" dxfId="60" priority="59" operator="equal">
      <formula>"דירוג פנימי"</formula>
    </cfRule>
  </conditionalFormatting>
  <conditionalFormatting sqref="B31:B35">
    <cfRule type="cellIs" dxfId="59" priority="56" operator="equal">
      <formula>2958465</formula>
    </cfRule>
  </conditionalFormatting>
  <conditionalFormatting sqref="B36">
    <cfRule type="cellIs" dxfId="58" priority="53" operator="equal">
      <formula>2958465</formula>
    </cfRule>
    <cfRule type="cellIs" dxfId="57" priority="54" operator="equal">
      <formula>"NR3"</formula>
    </cfRule>
    <cfRule type="cellIs" dxfId="56" priority="55" operator="equal">
      <formula>"דירוג פנימי"</formula>
    </cfRule>
  </conditionalFormatting>
  <conditionalFormatting sqref="B36">
    <cfRule type="cellIs" dxfId="55" priority="52" operator="equal">
      <formula>2958465</formula>
    </cfRule>
  </conditionalFormatting>
  <conditionalFormatting sqref="B37:B42">
    <cfRule type="cellIs" dxfId="54" priority="49" operator="equal">
      <formula>2958465</formula>
    </cfRule>
    <cfRule type="cellIs" dxfId="53" priority="50" operator="equal">
      <formula>"NR3"</formula>
    </cfRule>
    <cfRule type="cellIs" dxfId="52" priority="51" operator="equal">
      <formula>"דירוג פנימי"</formula>
    </cfRule>
  </conditionalFormatting>
  <conditionalFormatting sqref="B37:B42">
    <cfRule type="cellIs" dxfId="51" priority="48" operator="equal">
      <formula>2958465</formula>
    </cfRule>
  </conditionalFormatting>
  <conditionalFormatting sqref="B43:B47">
    <cfRule type="cellIs" dxfId="50" priority="45" operator="equal">
      <formula>2958465</formula>
    </cfRule>
    <cfRule type="cellIs" dxfId="49" priority="46" operator="equal">
      <formula>"NR3"</formula>
    </cfRule>
    <cfRule type="cellIs" dxfId="48" priority="47" operator="equal">
      <formula>"דירוג פנימי"</formula>
    </cfRule>
  </conditionalFormatting>
  <conditionalFormatting sqref="B43:B47">
    <cfRule type="cellIs" dxfId="47" priority="44" operator="equal">
      <formula>2958465</formula>
    </cfRule>
  </conditionalFormatting>
  <conditionalFormatting sqref="B48">
    <cfRule type="cellIs" dxfId="46" priority="41" operator="equal">
      <formula>2958465</formula>
    </cfRule>
    <cfRule type="cellIs" dxfId="45" priority="42" operator="equal">
      <formula>"NR3"</formula>
    </cfRule>
    <cfRule type="cellIs" dxfId="44" priority="43" operator="equal">
      <formula>"דירוג פנימי"</formula>
    </cfRule>
  </conditionalFormatting>
  <conditionalFormatting sqref="B48">
    <cfRule type="cellIs" dxfId="43" priority="40" operator="equal">
      <formula>2958465</formula>
    </cfRule>
  </conditionalFormatting>
  <conditionalFormatting sqref="B49:B50">
    <cfRule type="cellIs" dxfId="42" priority="37" operator="equal">
      <formula>2958465</formula>
    </cfRule>
    <cfRule type="cellIs" dxfId="41" priority="38" operator="equal">
      <formula>"NR3"</formula>
    </cfRule>
    <cfRule type="cellIs" dxfId="40" priority="39" operator="equal">
      <formula>"דירוג פנימי"</formula>
    </cfRule>
  </conditionalFormatting>
  <conditionalFormatting sqref="B49:B50">
    <cfRule type="cellIs" dxfId="39" priority="36" operator="equal">
      <formula>2958465</formula>
    </cfRule>
  </conditionalFormatting>
  <conditionalFormatting sqref="B51">
    <cfRule type="cellIs" dxfId="38" priority="33" operator="equal">
      <formula>2958465</formula>
    </cfRule>
    <cfRule type="cellIs" dxfId="37" priority="34" operator="equal">
      <formula>"NR3"</formula>
    </cfRule>
    <cfRule type="cellIs" dxfId="36" priority="35" operator="equal">
      <formula>"דירוג פנימי"</formula>
    </cfRule>
  </conditionalFormatting>
  <conditionalFormatting sqref="B51">
    <cfRule type="cellIs" dxfId="35" priority="32" operator="equal">
      <formula>2958465</formula>
    </cfRule>
  </conditionalFormatting>
  <conditionalFormatting sqref="B52">
    <cfRule type="cellIs" dxfId="34" priority="29" operator="equal">
      <formula>2958465</formula>
    </cfRule>
    <cfRule type="cellIs" dxfId="33" priority="30" operator="equal">
      <formula>"NR3"</formula>
    </cfRule>
    <cfRule type="cellIs" dxfId="32" priority="31" operator="equal">
      <formula>"דירוג פנימי"</formula>
    </cfRule>
  </conditionalFormatting>
  <conditionalFormatting sqref="B52">
    <cfRule type="cellIs" dxfId="31" priority="28" operator="equal">
      <formula>2958465</formula>
    </cfRule>
  </conditionalFormatting>
  <conditionalFormatting sqref="B55:B57">
    <cfRule type="cellIs" dxfId="30" priority="25" operator="equal">
      <formula>2958465</formula>
    </cfRule>
    <cfRule type="cellIs" dxfId="29" priority="26" operator="equal">
      <formula>"NR3"</formula>
    </cfRule>
    <cfRule type="cellIs" dxfId="28" priority="27" operator="equal">
      <formula>"דירוג פנימי"</formula>
    </cfRule>
  </conditionalFormatting>
  <conditionalFormatting sqref="B55:B57">
    <cfRule type="cellIs" dxfId="27" priority="24" operator="equal">
      <formula>2958465</formula>
    </cfRule>
  </conditionalFormatting>
  <conditionalFormatting sqref="B53">
    <cfRule type="cellIs" dxfId="26" priority="23" operator="equal">
      <formula>"NR3"</formula>
    </cfRule>
  </conditionalFormatting>
  <conditionalFormatting sqref="B54">
    <cfRule type="cellIs" dxfId="25" priority="22" operator="equal">
      <formula>"NR3"</formula>
    </cfRule>
  </conditionalFormatting>
  <conditionalFormatting sqref="B58:B59">
    <cfRule type="cellIs" dxfId="24" priority="19" operator="equal">
      <formula>2958465</formula>
    </cfRule>
    <cfRule type="cellIs" dxfId="23" priority="20" operator="equal">
      <formula>"NR3"</formula>
    </cfRule>
    <cfRule type="cellIs" dxfId="22" priority="21" operator="equal">
      <formula>"דירוג פנימי"</formula>
    </cfRule>
  </conditionalFormatting>
  <conditionalFormatting sqref="B58:B59">
    <cfRule type="cellIs" dxfId="21" priority="18" operator="equal">
      <formula>2958465</formula>
    </cfRule>
  </conditionalFormatting>
  <conditionalFormatting sqref="B60">
    <cfRule type="cellIs" dxfId="20" priority="15" operator="equal">
      <formula>2958465</formula>
    </cfRule>
    <cfRule type="cellIs" dxfId="19" priority="16" operator="equal">
      <formula>"NR3"</formula>
    </cfRule>
    <cfRule type="cellIs" dxfId="18" priority="17" operator="equal">
      <formula>"דירוג פנימי"</formula>
    </cfRule>
  </conditionalFormatting>
  <conditionalFormatting sqref="B60">
    <cfRule type="cellIs" dxfId="17" priority="14" operator="equal">
      <formula>2958465</formula>
    </cfRule>
  </conditionalFormatting>
  <conditionalFormatting sqref="B61:B67">
    <cfRule type="cellIs" dxfId="16" priority="11" operator="equal">
      <formula>2958465</formula>
    </cfRule>
    <cfRule type="cellIs" dxfId="15" priority="12" operator="equal">
      <formula>"NR3"</formula>
    </cfRule>
    <cfRule type="cellIs" dxfId="14" priority="13" operator="equal">
      <formula>"דירוג פנימי"</formula>
    </cfRule>
  </conditionalFormatting>
  <conditionalFormatting sqref="B61:B67">
    <cfRule type="cellIs" dxfId="13" priority="10" operator="equal">
      <formula>2958465</formula>
    </cfRule>
  </conditionalFormatting>
  <conditionalFormatting sqref="B68">
    <cfRule type="cellIs" dxfId="12" priority="7" operator="equal">
      <formula>2958465</formula>
    </cfRule>
    <cfRule type="cellIs" dxfId="11" priority="8" operator="equal">
      <formula>"NR3"</formula>
    </cfRule>
    <cfRule type="cellIs" dxfId="10" priority="9" operator="equal">
      <formula>"דירוג פנימי"</formula>
    </cfRule>
  </conditionalFormatting>
  <conditionalFormatting sqref="B68">
    <cfRule type="cellIs" dxfId="9" priority="6" operator="equal">
      <formula>2958465</formula>
    </cfRule>
  </conditionalFormatting>
  <conditionalFormatting sqref="B69:B70">
    <cfRule type="cellIs" dxfId="8" priority="5" operator="equal">
      <formula>"NR3"</formula>
    </cfRule>
  </conditionalFormatting>
  <conditionalFormatting sqref="B74">
    <cfRule type="cellIs" dxfId="7" priority="2" operator="equal">
      <formula>2958465</formula>
    </cfRule>
    <cfRule type="cellIs" dxfId="6" priority="3" operator="equal">
      <formula>"NR3"</formula>
    </cfRule>
    <cfRule type="cellIs" dxfId="5" priority="4" operator="equal">
      <formula>"דירוג פנימי"</formula>
    </cfRule>
  </conditionalFormatting>
  <conditionalFormatting sqref="B74">
    <cfRule type="cellIs" dxfId="4" priority="1" operator="equal">
      <formula>2958465</formula>
    </cfRule>
  </conditionalFormatting>
  <dataValidations count="1">
    <dataValidation allowBlank="1" showInputMessage="1" showErrorMessage="1" sqref="D1:Q9 C5:C9 B1:B9 B75:Q1048576 V53:XFD56 A1:A1048576 B53:B54 B69:B70 R53:T56 R57:XFD1048576 R1:XFD5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177</v>
      </c>
      <c r="C1" s="79" t="s" vm="1">
        <v>247</v>
      </c>
    </row>
    <row r="2" spans="2:64">
      <c r="B2" s="57" t="s">
        <v>176</v>
      </c>
      <c r="C2" s="79" t="s">
        <v>248</v>
      </c>
    </row>
    <row r="3" spans="2:64">
      <c r="B3" s="57" t="s">
        <v>178</v>
      </c>
      <c r="C3" s="79" t="s">
        <v>249</v>
      </c>
    </row>
    <row r="4" spans="2:64">
      <c r="B4" s="57" t="s">
        <v>179</v>
      </c>
      <c r="C4" s="79">
        <v>2144</v>
      </c>
    </row>
    <row r="6" spans="2:64" ht="26.25" customHeight="1">
      <c r="B6" s="207" t="s">
        <v>210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2:64" s="3" customFormat="1" ht="78.75">
      <c r="B7" s="60" t="s">
        <v>114</v>
      </c>
      <c r="C7" s="61" t="s">
        <v>44</v>
      </c>
      <c r="D7" s="61" t="s">
        <v>115</v>
      </c>
      <c r="E7" s="61" t="s">
        <v>15</v>
      </c>
      <c r="F7" s="61" t="s">
        <v>61</v>
      </c>
      <c r="G7" s="61" t="s">
        <v>18</v>
      </c>
      <c r="H7" s="61" t="s">
        <v>99</v>
      </c>
      <c r="I7" s="61" t="s">
        <v>50</v>
      </c>
      <c r="J7" s="61" t="s">
        <v>19</v>
      </c>
      <c r="K7" s="61" t="s">
        <v>231</v>
      </c>
      <c r="L7" s="61" t="s">
        <v>230</v>
      </c>
      <c r="M7" s="61" t="s">
        <v>108</v>
      </c>
      <c r="N7" s="61" t="s">
        <v>180</v>
      </c>
      <c r="O7" s="63" t="s">
        <v>182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238</v>
      </c>
      <c r="L8" s="32"/>
      <c r="M8" s="32" t="s">
        <v>234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"/>
      <c r="Q10" s="1"/>
      <c r="R10" s="1"/>
      <c r="S10" s="1"/>
      <c r="T10" s="1"/>
      <c r="U10" s="1"/>
      <c r="BL10" s="1"/>
    </row>
    <row r="11" spans="2:64" ht="20.25" customHeight="1">
      <c r="B11" s="100" t="s">
        <v>246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64">
      <c r="B12" s="100" t="s">
        <v>110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64">
      <c r="B13" s="100" t="s">
        <v>229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64">
      <c r="B14" s="100" t="s">
        <v>237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64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64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177</v>
      </c>
      <c r="C1" s="79" t="s" vm="1">
        <v>247</v>
      </c>
    </row>
    <row r="2" spans="2:56">
      <c r="B2" s="57" t="s">
        <v>176</v>
      </c>
      <c r="C2" s="79" t="s">
        <v>248</v>
      </c>
    </row>
    <row r="3" spans="2:56">
      <c r="B3" s="57" t="s">
        <v>178</v>
      </c>
      <c r="C3" s="79" t="s">
        <v>249</v>
      </c>
    </row>
    <row r="4" spans="2:56">
      <c r="B4" s="57" t="s">
        <v>179</v>
      </c>
      <c r="C4" s="79">
        <v>2144</v>
      </c>
    </row>
    <row r="6" spans="2:56" ht="26.25" customHeight="1">
      <c r="B6" s="207" t="s">
        <v>211</v>
      </c>
      <c r="C6" s="208"/>
      <c r="D6" s="208"/>
      <c r="E6" s="208"/>
      <c r="F6" s="208"/>
      <c r="G6" s="208"/>
      <c r="H6" s="208"/>
      <c r="I6" s="208"/>
      <c r="J6" s="209"/>
    </row>
    <row r="7" spans="2:56" s="3" customFormat="1" ht="78.75">
      <c r="B7" s="60" t="s">
        <v>114</v>
      </c>
      <c r="C7" s="62" t="s">
        <v>52</v>
      </c>
      <c r="D7" s="62" t="s">
        <v>83</v>
      </c>
      <c r="E7" s="62" t="s">
        <v>53</v>
      </c>
      <c r="F7" s="62" t="s">
        <v>99</v>
      </c>
      <c r="G7" s="62" t="s">
        <v>222</v>
      </c>
      <c r="H7" s="62" t="s">
        <v>180</v>
      </c>
      <c r="I7" s="64" t="s">
        <v>181</v>
      </c>
      <c r="J7" s="78" t="s">
        <v>241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235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7"/>
      <c r="C11" s="102"/>
      <c r="D11" s="102"/>
      <c r="E11" s="102"/>
      <c r="F11" s="102"/>
      <c r="G11" s="102"/>
      <c r="H11" s="102"/>
      <c r="I11" s="102"/>
      <c r="J11" s="102"/>
    </row>
    <row r="12" spans="2:56">
      <c r="B12" s="117"/>
      <c r="C12" s="102"/>
      <c r="D12" s="102"/>
      <c r="E12" s="102"/>
      <c r="F12" s="102"/>
      <c r="G12" s="102"/>
      <c r="H12" s="102"/>
      <c r="I12" s="102"/>
      <c r="J12" s="102"/>
    </row>
    <row r="13" spans="2:56">
      <c r="B13" s="102"/>
      <c r="C13" s="102"/>
      <c r="D13" s="102"/>
      <c r="E13" s="102"/>
      <c r="F13" s="102"/>
      <c r="G13" s="102"/>
      <c r="H13" s="102"/>
      <c r="I13" s="102"/>
      <c r="J13" s="102"/>
    </row>
    <row r="14" spans="2:56">
      <c r="B14" s="102"/>
      <c r="C14" s="102"/>
      <c r="D14" s="102"/>
      <c r="E14" s="102"/>
      <c r="F14" s="102"/>
      <c r="G14" s="102"/>
      <c r="H14" s="102"/>
      <c r="I14" s="102"/>
      <c r="J14" s="102"/>
    </row>
    <row r="15" spans="2:56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56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>
      <c r="B17" s="102"/>
      <c r="C17" s="102"/>
      <c r="D17" s="102"/>
      <c r="E17" s="102"/>
      <c r="F17" s="102"/>
      <c r="G17" s="102"/>
      <c r="H17" s="102"/>
      <c r="I17" s="102"/>
      <c r="J17" s="102"/>
    </row>
    <row r="18" spans="2:10">
      <c r="B18" s="102"/>
      <c r="C18" s="102"/>
      <c r="D18" s="102"/>
      <c r="E18" s="102"/>
      <c r="F18" s="102"/>
      <c r="G18" s="102"/>
      <c r="H18" s="102"/>
      <c r="I18" s="102"/>
      <c r="J18" s="102"/>
    </row>
    <row r="19" spans="2:10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>
      <c r="B28" s="102"/>
      <c r="C28" s="102"/>
      <c r="D28" s="102"/>
      <c r="E28" s="102"/>
      <c r="F28" s="102"/>
      <c r="G28" s="102"/>
      <c r="H28" s="102"/>
      <c r="I28" s="102"/>
      <c r="J28" s="102"/>
    </row>
    <row r="29" spans="2:10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2:10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2:10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2:10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>
      <c r="B38" s="102"/>
      <c r="C38" s="102"/>
      <c r="D38" s="102"/>
      <c r="E38" s="102"/>
      <c r="F38" s="102"/>
      <c r="G38" s="102"/>
      <c r="H38" s="102"/>
      <c r="I38" s="102"/>
      <c r="J38" s="102"/>
    </row>
    <row r="39" spans="2:10">
      <c r="B39" s="102"/>
      <c r="C39" s="102"/>
      <c r="D39" s="102"/>
      <c r="E39" s="102"/>
      <c r="F39" s="102"/>
      <c r="G39" s="102"/>
      <c r="H39" s="102"/>
      <c r="I39" s="102"/>
      <c r="J39" s="102"/>
    </row>
    <row r="40" spans="2:10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>
      <c r="B41" s="102"/>
      <c r="C41" s="102"/>
      <c r="D41" s="102"/>
      <c r="E41" s="102"/>
      <c r="F41" s="102"/>
      <c r="G41" s="102"/>
      <c r="H41" s="102"/>
      <c r="I41" s="102"/>
      <c r="J41" s="102"/>
    </row>
    <row r="42" spans="2:10">
      <c r="B42" s="102"/>
      <c r="C42" s="102"/>
      <c r="D42" s="102"/>
      <c r="E42" s="102"/>
      <c r="F42" s="102"/>
      <c r="G42" s="102"/>
      <c r="H42" s="102"/>
      <c r="I42" s="102"/>
      <c r="J42" s="102"/>
    </row>
    <row r="43" spans="2:10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>
      <c r="B44" s="102"/>
      <c r="C44" s="102"/>
      <c r="D44" s="102"/>
      <c r="E44" s="102"/>
      <c r="F44" s="102"/>
      <c r="G44" s="102"/>
      <c r="H44" s="102"/>
      <c r="I44" s="102"/>
      <c r="J44" s="102"/>
    </row>
    <row r="45" spans="2:10">
      <c r="B45" s="102"/>
      <c r="C45" s="102"/>
      <c r="D45" s="102"/>
      <c r="E45" s="102"/>
      <c r="F45" s="102"/>
      <c r="G45" s="102"/>
      <c r="H45" s="102"/>
      <c r="I45" s="102"/>
      <c r="J45" s="102"/>
    </row>
    <row r="46" spans="2:10">
      <c r="B46" s="102"/>
      <c r="C46" s="102"/>
      <c r="D46" s="102"/>
      <c r="E46" s="102"/>
      <c r="F46" s="102"/>
      <c r="G46" s="102"/>
      <c r="H46" s="102"/>
      <c r="I46" s="102"/>
      <c r="J46" s="102"/>
    </row>
    <row r="47" spans="2:10">
      <c r="B47" s="102"/>
      <c r="C47" s="102"/>
      <c r="D47" s="102"/>
      <c r="E47" s="102"/>
      <c r="F47" s="102"/>
      <c r="G47" s="102"/>
      <c r="H47" s="102"/>
      <c r="I47" s="102"/>
      <c r="J47" s="102"/>
    </row>
    <row r="48" spans="2:10">
      <c r="B48" s="102"/>
      <c r="C48" s="102"/>
      <c r="D48" s="102"/>
      <c r="E48" s="102"/>
      <c r="F48" s="102"/>
      <c r="G48" s="102"/>
      <c r="H48" s="102"/>
      <c r="I48" s="102"/>
      <c r="J48" s="102"/>
    </row>
    <row r="49" spans="2:10">
      <c r="B49" s="102"/>
      <c r="C49" s="102"/>
      <c r="D49" s="102"/>
      <c r="E49" s="102"/>
      <c r="F49" s="102"/>
      <c r="G49" s="102"/>
      <c r="H49" s="102"/>
      <c r="I49" s="102"/>
      <c r="J49" s="102"/>
    </row>
    <row r="50" spans="2:10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2:10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2:10">
      <c r="B52" s="102"/>
      <c r="C52" s="102"/>
      <c r="D52" s="102"/>
      <c r="E52" s="102"/>
      <c r="F52" s="102"/>
      <c r="G52" s="102"/>
      <c r="H52" s="102"/>
      <c r="I52" s="102"/>
      <c r="J52" s="102"/>
    </row>
    <row r="53" spans="2:10">
      <c r="B53" s="102"/>
      <c r="C53" s="102"/>
      <c r="D53" s="102"/>
      <c r="E53" s="102"/>
      <c r="F53" s="102"/>
      <c r="G53" s="102"/>
      <c r="H53" s="102"/>
      <c r="I53" s="102"/>
      <c r="J53" s="102"/>
    </row>
    <row r="54" spans="2:10">
      <c r="B54" s="102"/>
      <c r="C54" s="102"/>
      <c r="D54" s="102"/>
      <c r="E54" s="102"/>
      <c r="F54" s="102"/>
      <c r="G54" s="102"/>
      <c r="H54" s="102"/>
      <c r="I54" s="102"/>
      <c r="J54" s="102"/>
    </row>
    <row r="55" spans="2:10">
      <c r="B55" s="102"/>
      <c r="C55" s="102"/>
      <c r="D55" s="102"/>
      <c r="E55" s="102"/>
      <c r="F55" s="102"/>
      <c r="G55" s="102"/>
      <c r="H55" s="102"/>
      <c r="I55" s="102"/>
      <c r="J55" s="102"/>
    </row>
    <row r="56" spans="2:10">
      <c r="B56" s="102"/>
      <c r="C56" s="102"/>
      <c r="D56" s="102"/>
      <c r="E56" s="102"/>
      <c r="F56" s="102"/>
      <c r="G56" s="102"/>
      <c r="H56" s="102"/>
      <c r="I56" s="102"/>
      <c r="J56" s="102"/>
    </row>
    <row r="57" spans="2:10">
      <c r="B57" s="102"/>
      <c r="C57" s="102"/>
      <c r="D57" s="102"/>
      <c r="E57" s="102"/>
      <c r="F57" s="102"/>
      <c r="G57" s="102"/>
      <c r="H57" s="102"/>
      <c r="I57" s="102"/>
      <c r="J57" s="102"/>
    </row>
    <row r="58" spans="2:10">
      <c r="B58" s="102"/>
      <c r="C58" s="102"/>
      <c r="D58" s="102"/>
      <c r="E58" s="102"/>
      <c r="F58" s="102"/>
      <c r="G58" s="102"/>
      <c r="H58" s="102"/>
      <c r="I58" s="102"/>
      <c r="J58" s="102"/>
    </row>
    <row r="59" spans="2:10">
      <c r="B59" s="102"/>
      <c r="C59" s="102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1" spans="2:10">
      <c r="B61" s="102"/>
      <c r="C61" s="102"/>
      <c r="D61" s="102"/>
      <c r="E61" s="102"/>
      <c r="F61" s="102"/>
      <c r="G61" s="102"/>
      <c r="H61" s="102"/>
      <c r="I61" s="102"/>
      <c r="J61" s="102"/>
    </row>
    <row r="62" spans="2:10">
      <c r="B62" s="102"/>
      <c r="C62" s="102"/>
      <c r="D62" s="102"/>
      <c r="E62" s="102"/>
      <c r="F62" s="102"/>
      <c r="G62" s="102"/>
      <c r="H62" s="102"/>
      <c r="I62" s="102"/>
      <c r="J62" s="102"/>
    </row>
    <row r="63" spans="2:10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2:10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>
      <c r="B66" s="102"/>
      <c r="C66" s="102"/>
      <c r="D66" s="102"/>
      <c r="E66" s="102"/>
      <c r="F66" s="102"/>
      <c r="G66" s="102"/>
      <c r="H66" s="102"/>
      <c r="I66" s="102"/>
      <c r="J66" s="102"/>
    </row>
    <row r="67" spans="2:10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>
      <c r="B68" s="102"/>
      <c r="C68" s="102"/>
      <c r="D68" s="102"/>
      <c r="E68" s="102"/>
      <c r="F68" s="102"/>
      <c r="G68" s="102"/>
      <c r="H68" s="102"/>
      <c r="I68" s="102"/>
      <c r="J68" s="102"/>
    </row>
    <row r="69" spans="2:10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2:10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>
      <c r="B74" s="102"/>
      <c r="C74" s="102"/>
      <c r="D74" s="102"/>
      <c r="E74" s="102"/>
      <c r="F74" s="102"/>
      <c r="G74" s="102"/>
      <c r="H74" s="102"/>
      <c r="I74" s="102"/>
      <c r="J74" s="102"/>
    </row>
    <row r="75" spans="2:10">
      <c r="B75" s="102"/>
      <c r="C75" s="102"/>
      <c r="D75" s="102"/>
      <c r="E75" s="102"/>
      <c r="F75" s="102"/>
      <c r="G75" s="102"/>
      <c r="H75" s="102"/>
      <c r="I75" s="102"/>
      <c r="J75" s="102"/>
    </row>
    <row r="76" spans="2:10">
      <c r="B76" s="102"/>
      <c r="C76" s="102"/>
      <c r="D76" s="102"/>
      <c r="E76" s="102"/>
      <c r="F76" s="102"/>
      <c r="G76" s="102"/>
      <c r="H76" s="102"/>
      <c r="I76" s="102"/>
      <c r="J76" s="102"/>
    </row>
    <row r="77" spans="2:10">
      <c r="B77" s="102"/>
      <c r="C77" s="102"/>
      <c r="D77" s="102"/>
      <c r="E77" s="102"/>
      <c r="F77" s="102"/>
      <c r="G77" s="102"/>
      <c r="H77" s="102"/>
      <c r="I77" s="102"/>
      <c r="J77" s="102"/>
    </row>
    <row r="78" spans="2:10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0">
      <c r="B81" s="102"/>
      <c r="C81" s="102"/>
      <c r="D81" s="102"/>
      <c r="E81" s="102"/>
      <c r="F81" s="102"/>
      <c r="G81" s="102"/>
      <c r="H81" s="102"/>
      <c r="I81" s="102"/>
      <c r="J81" s="102"/>
    </row>
    <row r="82" spans="2:10">
      <c r="B82" s="102"/>
      <c r="C82" s="102"/>
      <c r="D82" s="102"/>
      <c r="E82" s="102"/>
      <c r="F82" s="102"/>
      <c r="G82" s="102"/>
      <c r="H82" s="102"/>
      <c r="I82" s="102"/>
      <c r="J82" s="102"/>
    </row>
    <row r="83" spans="2:10"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>
      <c r="B96" s="102"/>
      <c r="C96" s="102"/>
      <c r="D96" s="102"/>
      <c r="E96" s="102"/>
      <c r="F96" s="102"/>
      <c r="G96" s="102"/>
      <c r="H96" s="102"/>
      <c r="I96" s="102"/>
      <c r="J96" s="102"/>
    </row>
    <row r="97" spans="2:10">
      <c r="B97" s="102"/>
      <c r="C97" s="102"/>
      <c r="D97" s="102"/>
      <c r="E97" s="102"/>
      <c r="F97" s="102"/>
      <c r="G97" s="102"/>
      <c r="H97" s="102"/>
      <c r="I97" s="102"/>
      <c r="J97" s="102"/>
    </row>
    <row r="98" spans="2:10">
      <c r="B98" s="102"/>
      <c r="C98" s="102"/>
      <c r="D98" s="102"/>
      <c r="E98" s="102"/>
      <c r="F98" s="102"/>
      <c r="G98" s="102"/>
      <c r="H98" s="102"/>
      <c r="I98" s="102"/>
      <c r="J98" s="102"/>
    </row>
    <row r="99" spans="2:10"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2:10"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2:10"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2:10"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2:10"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2:10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177</v>
      </c>
      <c r="C1" s="79" t="s" vm="1">
        <v>247</v>
      </c>
    </row>
    <row r="2" spans="2:60">
      <c r="B2" s="57" t="s">
        <v>176</v>
      </c>
      <c r="C2" s="79" t="s">
        <v>248</v>
      </c>
    </row>
    <row r="3" spans="2:60">
      <c r="B3" s="57" t="s">
        <v>178</v>
      </c>
      <c r="C3" s="79" t="s">
        <v>249</v>
      </c>
    </row>
    <row r="4" spans="2:60">
      <c r="B4" s="57" t="s">
        <v>179</v>
      </c>
      <c r="C4" s="79">
        <v>2144</v>
      </c>
    </row>
    <row r="6" spans="2:60" ht="26.25" customHeight="1">
      <c r="B6" s="207" t="s">
        <v>212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2:60" s="3" customFormat="1" ht="66">
      <c r="B7" s="60" t="s">
        <v>114</v>
      </c>
      <c r="C7" s="60" t="s">
        <v>115</v>
      </c>
      <c r="D7" s="60" t="s">
        <v>15</v>
      </c>
      <c r="E7" s="60" t="s">
        <v>16</v>
      </c>
      <c r="F7" s="60" t="s">
        <v>54</v>
      </c>
      <c r="G7" s="60" t="s">
        <v>99</v>
      </c>
      <c r="H7" s="60" t="s">
        <v>51</v>
      </c>
      <c r="I7" s="60" t="s">
        <v>108</v>
      </c>
      <c r="J7" s="60" t="s">
        <v>180</v>
      </c>
      <c r="K7" s="60" t="s">
        <v>181</v>
      </c>
    </row>
    <row r="8" spans="2:60" s="3" customFormat="1" ht="21.75" customHeight="1">
      <c r="B8" s="15"/>
      <c r="C8" s="71"/>
      <c r="D8" s="16"/>
      <c r="E8" s="16"/>
      <c r="F8" s="16" t="s">
        <v>20</v>
      </c>
      <c r="G8" s="16"/>
      <c r="H8" s="16" t="s">
        <v>20</v>
      </c>
      <c r="I8" s="16" t="s">
        <v>234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7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A1:BH613"/>
  <sheetViews>
    <sheetView rightToLeft="1" workbookViewId="0">
      <selection activeCell="I18" sqref="I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0.28515625" style="1" customWidth="1"/>
    <col min="10" max="10" width="13.42578125" style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1:60">
      <c r="B1" s="57" t="s">
        <v>177</v>
      </c>
      <c r="C1" s="79" t="s" vm="1">
        <v>247</v>
      </c>
    </row>
    <row r="2" spans="1:60">
      <c r="B2" s="57" t="s">
        <v>176</v>
      </c>
      <c r="C2" s="79" t="s">
        <v>248</v>
      </c>
    </row>
    <row r="3" spans="1:60">
      <c r="B3" s="57" t="s">
        <v>178</v>
      </c>
      <c r="C3" s="79" t="s">
        <v>249</v>
      </c>
    </row>
    <row r="4" spans="1:60">
      <c r="B4" s="57" t="s">
        <v>179</v>
      </c>
      <c r="C4" s="79">
        <v>2144</v>
      </c>
    </row>
    <row r="6" spans="1:60" ht="26.25" customHeight="1">
      <c r="B6" s="207" t="s">
        <v>213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1:60" s="3" customFormat="1" ht="63">
      <c r="B7" s="60" t="s">
        <v>114</v>
      </c>
      <c r="C7" s="62" t="s">
        <v>44</v>
      </c>
      <c r="D7" s="62" t="s">
        <v>15</v>
      </c>
      <c r="E7" s="62" t="s">
        <v>16</v>
      </c>
      <c r="F7" s="62" t="s">
        <v>54</v>
      </c>
      <c r="G7" s="62" t="s">
        <v>99</v>
      </c>
      <c r="H7" s="62" t="s">
        <v>51</v>
      </c>
      <c r="I7" s="62" t="s">
        <v>108</v>
      </c>
      <c r="J7" s="62" t="s">
        <v>180</v>
      </c>
      <c r="K7" s="64" t="s">
        <v>181</v>
      </c>
    </row>
    <row r="8" spans="1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234</v>
      </c>
      <c r="J8" s="32" t="s">
        <v>20</v>
      </c>
      <c r="K8" s="17" t="s">
        <v>20</v>
      </c>
    </row>
    <row r="9" spans="1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60" s="4" customFormat="1" ht="18" customHeight="1">
      <c r="A10" s="152"/>
      <c r="B10" s="191" t="s">
        <v>1110</v>
      </c>
      <c r="C10" s="186"/>
      <c r="D10" s="186"/>
      <c r="E10" s="186"/>
      <c r="F10" s="186"/>
      <c r="G10" s="186"/>
      <c r="H10" s="188"/>
      <c r="I10" s="187">
        <v>181.34999999999997</v>
      </c>
      <c r="J10" s="188">
        <v>1</v>
      </c>
      <c r="K10" s="188">
        <v>8.682360762068325E-4</v>
      </c>
      <c r="L10" s="189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4"/>
    </row>
    <row r="11" spans="1:60" ht="21" customHeight="1">
      <c r="A11" s="150"/>
      <c r="B11" s="191" t="s">
        <v>228</v>
      </c>
      <c r="C11" s="186"/>
      <c r="D11" s="186"/>
      <c r="E11" s="186"/>
      <c r="F11" s="186"/>
      <c r="G11" s="186"/>
      <c r="H11" s="188"/>
      <c r="I11" s="187">
        <v>181.34999999999997</v>
      </c>
      <c r="J11" s="188">
        <v>1</v>
      </c>
      <c r="K11" s="188">
        <v>8.682360762068325E-4</v>
      </c>
      <c r="L11" s="189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</row>
    <row r="12" spans="1:60">
      <c r="A12" s="150"/>
      <c r="B12" s="190" t="s">
        <v>1111</v>
      </c>
      <c r="C12" s="185"/>
      <c r="D12" s="185"/>
      <c r="E12" s="185"/>
      <c r="F12" s="185"/>
      <c r="G12" s="185"/>
      <c r="H12" s="185"/>
      <c r="I12" s="192">
        <v>181.34999999999997</v>
      </c>
      <c r="J12" s="183">
        <v>1</v>
      </c>
      <c r="K12" s="183">
        <v>8.682360762068325E-4</v>
      </c>
      <c r="L12" s="189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</row>
    <row r="13" spans="1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N109"/>
  <sheetViews>
    <sheetView rightToLeft="1" topLeftCell="A4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1.7109375" style="1" bestFit="1" customWidth="1"/>
    <col min="4" max="4" width="11.85546875" style="1" customWidth="1"/>
    <col min="5" max="5" width="10" style="3" customWidth="1"/>
    <col min="6" max="6" width="9.5703125" style="3" customWidth="1"/>
    <col min="7" max="7" width="6.140625" style="3" customWidth="1"/>
    <col min="8" max="9" width="5.7109375" style="3" customWidth="1"/>
    <col min="10" max="10" width="6.85546875" style="3" customWidth="1"/>
    <col min="11" max="11" width="6.42578125" style="1" customWidth="1"/>
    <col min="12" max="12" width="6.7109375" style="1" customWidth="1"/>
    <col min="13" max="13" width="7.28515625" style="1" customWidth="1"/>
    <col min="14" max="25" width="5.7109375" style="1" customWidth="1"/>
    <col min="26" max="16384" width="9.140625" style="1"/>
  </cols>
  <sheetData>
    <row r="1" spans="2:40">
      <c r="B1" s="57" t="s">
        <v>177</v>
      </c>
      <c r="C1" s="79" t="s" vm="1">
        <v>247</v>
      </c>
    </row>
    <row r="2" spans="2:40">
      <c r="B2" s="57" t="s">
        <v>176</v>
      </c>
      <c r="C2" s="79" t="s">
        <v>248</v>
      </c>
    </row>
    <row r="3" spans="2:40">
      <c r="B3" s="57" t="s">
        <v>178</v>
      </c>
      <c r="C3" s="79" t="s">
        <v>249</v>
      </c>
    </row>
    <row r="4" spans="2:40">
      <c r="B4" s="57" t="s">
        <v>179</v>
      </c>
      <c r="C4" s="79">
        <v>2144</v>
      </c>
    </row>
    <row r="6" spans="2:40" ht="26.25" customHeight="1">
      <c r="B6" s="207" t="s">
        <v>214</v>
      </c>
      <c r="C6" s="208"/>
      <c r="D6" s="209"/>
    </row>
    <row r="7" spans="2:40" s="3" customFormat="1" ht="31.5">
      <c r="B7" s="60" t="s">
        <v>114</v>
      </c>
      <c r="C7" s="65" t="s">
        <v>105</v>
      </c>
      <c r="D7" s="66" t="s">
        <v>104</v>
      </c>
    </row>
    <row r="8" spans="2:40" s="3" customFormat="1">
      <c r="B8" s="15"/>
      <c r="C8" s="32" t="s">
        <v>234</v>
      </c>
      <c r="D8" s="17" t="s">
        <v>22</v>
      </c>
    </row>
    <row r="9" spans="2:40" s="4" customFormat="1" ht="18" customHeight="1">
      <c r="B9" s="148"/>
      <c r="C9" s="19" t="s">
        <v>1</v>
      </c>
      <c r="D9" s="20" t="s">
        <v>2</v>
      </c>
      <c r="E9" s="3"/>
      <c r="F9" s="3"/>
      <c r="G9" s="3"/>
      <c r="H9" s="3"/>
      <c r="I9" s="3"/>
      <c r="J9" s="3"/>
    </row>
    <row r="10" spans="2:40" s="4" customFormat="1" ht="18" customHeight="1">
      <c r="B10" s="130" t="s">
        <v>1087</v>
      </c>
      <c r="C10" s="134">
        <f>C11</f>
        <v>1310.205725812712</v>
      </c>
      <c r="D10" s="102"/>
      <c r="E10" s="3"/>
      <c r="F10" s="3"/>
      <c r="G10" s="3"/>
      <c r="H10" s="3"/>
      <c r="I10" s="3"/>
      <c r="J10" s="3"/>
    </row>
    <row r="11" spans="2:40">
      <c r="B11" s="130" t="s">
        <v>1088</v>
      </c>
      <c r="C11" s="134">
        <f>SUM(C12:C16)</f>
        <v>1310.205725812712</v>
      </c>
      <c r="D11" s="102"/>
    </row>
    <row r="12" spans="2:40">
      <c r="B12" s="147" t="s">
        <v>1094</v>
      </c>
      <c r="C12" s="133">
        <v>279.06157888444346</v>
      </c>
      <c r="D12" s="132">
        <v>44255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2:40">
      <c r="B13" s="147" t="s">
        <v>1090</v>
      </c>
      <c r="C13" s="133">
        <v>225.98733999999999</v>
      </c>
      <c r="D13" s="132">
        <v>44246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0">
      <c r="B14" s="147" t="s">
        <v>1091</v>
      </c>
      <c r="C14" s="133">
        <v>452.23501692826846</v>
      </c>
      <c r="D14" s="132">
        <v>46100</v>
      </c>
    </row>
    <row r="15" spans="2:40">
      <c r="B15" s="147" t="s">
        <v>1092</v>
      </c>
      <c r="C15" s="133">
        <v>116.718</v>
      </c>
      <c r="D15" s="132">
        <v>43800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2:40">
      <c r="B16" s="147" t="s">
        <v>1093</v>
      </c>
      <c r="C16" s="133">
        <v>236.20379</v>
      </c>
      <c r="D16" s="132">
        <v>44739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10">
      <c r="B17" s="102"/>
      <c r="C17" s="102"/>
      <c r="D17" s="102"/>
      <c r="H17" s="1"/>
      <c r="I17" s="1"/>
      <c r="J17" s="1"/>
    </row>
    <row r="18" spans="2:10">
      <c r="B18" s="102"/>
      <c r="C18" s="102"/>
      <c r="D18" s="102"/>
      <c r="H18" s="1"/>
      <c r="I18" s="1"/>
      <c r="J18" s="1"/>
    </row>
    <row r="19" spans="2:10">
      <c r="B19" s="102"/>
      <c r="C19" s="102"/>
      <c r="D19" s="102"/>
      <c r="H19" s="1"/>
      <c r="I19" s="1"/>
      <c r="J19" s="1"/>
    </row>
    <row r="20" spans="2:10">
      <c r="B20" s="102"/>
      <c r="C20" s="102"/>
      <c r="D20" s="102"/>
      <c r="H20" s="1"/>
      <c r="I20" s="1"/>
      <c r="J20" s="1"/>
    </row>
    <row r="21" spans="2:10">
      <c r="B21" s="102"/>
      <c r="C21" s="102"/>
      <c r="D21" s="102"/>
      <c r="H21" s="1"/>
      <c r="I21" s="1"/>
      <c r="J21" s="1"/>
    </row>
    <row r="22" spans="2:10">
      <c r="B22" s="102"/>
      <c r="C22" s="102"/>
      <c r="D22" s="102"/>
      <c r="H22" s="1"/>
      <c r="I22" s="1"/>
      <c r="J22" s="1"/>
    </row>
    <row r="23" spans="2:10">
      <c r="B23" s="102"/>
      <c r="C23" s="102"/>
      <c r="D23" s="102"/>
      <c r="H23" s="1"/>
      <c r="I23" s="1"/>
      <c r="J23" s="1"/>
    </row>
    <row r="24" spans="2:10">
      <c r="B24" s="102"/>
      <c r="C24" s="102"/>
      <c r="D24" s="102"/>
      <c r="H24" s="1"/>
      <c r="I24" s="1"/>
      <c r="J24" s="1"/>
    </row>
    <row r="25" spans="2:10">
      <c r="B25" s="102"/>
      <c r="C25" s="102"/>
      <c r="D25" s="102"/>
      <c r="H25" s="1"/>
      <c r="I25" s="1"/>
      <c r="J25" s="1"/>
    </row>
    <row r="26" spans="2:10">
      <c r="B26" s="102"/>
      <c r="C26" s="102"/>
      <c r="D26" s="102"/>
      <c r="H26" s="1"/>
      <c r="I26" s="1"/>
      <c r="J26" s="1"/>
    </row>
    <row r="27" spans="2:10">
      <c r="B27" s="102"/>
      <c r="C27" s="102"/>
      <c r="D27" s="102"/>
      <c r="H27" s="1"/>
      <c r="I27" s="1"/>
      <c r="J27" s="1"/>
    </row>
    <row r="28" spans="2:10">
      <c r="B28" s="102"/>
      <c r="C28" s="102"/>
      <c r="D28" s="102"/>
      <c r="H28" s="1"/>
      <c r="I28" s="1"/>
      <c r="J28" s="1"/>
    </row>
    <row r="29" spans="2:10">
      <c r="B29" s="102"/>
      <c r="C29" s="102"/>
      <c r="D29" s="102"/>
      <c r="H29" s="1"/>
      <c r="I29" s="1"/>
      <c r="J29" s="1"/>
    </row>
    <row r="30" spans="2:10">
      <c r="B30" s="102"/>
      <c r="C30" s="102"/>
      <c r="D30" s="102"/>
      <c r="H30" s="1"/>
      <c r="I30" s="1"/>
      <c r="J30" s="1"/>
    </row>
    <row r="31" spans="2:10">
      <c r="B31" s="102"/>
      <c r="C31" s="102"/>
      <c r="D31" s="102"/>
      <c r="H31" s="1"/>
      <c r="I31" s="1"/>
      <c r="J31" s="1"/>
    </row>
    <row r="32" spans="2:10">
      <c r="B32" s="102"/>
      <c r="C32" s="102"/>
      <c r="D32" s="102"/>
      <c r="H32" s="1"/>
      <c r="I32" s="1"/>
      <c r="J32" s="1"/>
    </row>
    <row r="33" spans="2:10">
      <c r="B33" s="102"/>
      <c r="C33" s="102"/>
      <c r="D33" s="102"/>
      <c r="H33" s="1"/>
      <c r="I33" s="1"/>
      <c r="J33" s="1"/>
    </row>
    <row r="34" spans="2:10">
      <c r="B34" s="102"/>
      <c r="C34" s="102"/>
      <c r="D34" s="102"/>
      <c r="H34" s="1"/>
      <c r="I34" s="1"/>
      <c r="J34" s="1"/>
    </row>
    <row r="35" spans="2:10">
      <c r="B35" s="102"/>
      <c r="C35" s="102"/>
      <c r="D35" s="102"/>
      <c r="H35" s="1"/>
      <c r="I35" s="1"/>
      <c r="J35" s="1"/>
    </row>
    <row r="36" spans="2:10">
      <c r="B36" s="102"/>
      <c r="C36" s="102"/>
      <c r="D36" s="102"/>
      <c r="H36" s="1"/>
      <c r="I36" s="1"/>
      <c r="J36" s="1"/>
    </row>
    <row r="37" spans="2:10">
      <c r="B37" s="102"/>
      <c r="C37" s="102"/>
      <c r="D37" s="102"/>
      <c r="H37" s="1"/>
      <c r="I37" s="1"/>
      <c r="J37" s="1"/>
    </row>
    <row r="38" spans="2:10">
      <c r="B38" s="102"/>
      <c r="C38" s="102"/>
      <c r="D38" s="102"/>
      <c r="H38" s="1"/>
      <c r="I38" s="1"/>
      <c r="J38" s="1"/>
    </row>
    <row r="39" spans="2:10">
      <c r="B39" s="102"/>
      <c r="C39" s="102"/>
      <c r="D39" s="102"/>
    </row>
    <row r="40" spans="2:10">
      <c r="B40" s="102"/>
      <c r="C40" s="102"/>
      <c r="D40" s="102"/>
    </row>
    <row r="41" spans="2:10">
      <c r="B41" s="102"/>
      <c r="C41" s="102"/>
      <c r="D41" s="102"/>
    </row>
    <row r="42" spans="2:10">
      <c r="B42" s="102"/>
      <c r="C42" s="102"/>
      <c r="D42" s="102"/>
    </row>
    <row r="43" spans="2:10">
      <c r="B43" s="102"/>
      <c r="C43" s="102"/>
      <c r="D43" s="102"/>
    </row>
    <row r="44" spans="2:10">
      <c r="B44" s="102"/>
      <c r="C44" s="102"/>
      <c r="D44" s="102"/>
    </row>
    <row r="45" spans="2:10">
      <c r="B45" s="102"/>
      <c r="C45" s="102"/>
      <c r="D45" s="102"/>
    </row>
    <row r="46" spans="2:10">
      <c r="B46" s="102"/>
      <c r="C46" s="102"/>
      <c r="D46" s="102"/>
    </row>
    <row r="47" spans="2:10">
      <c r="B47" s="102"/>
      <c r="C47" s="102"/>
      <c r="D47" s="102"/>
    </row>
    <row r="48" spans="2:10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</sheetData>
  <sheetProtection sheet="1" objects="1" scenarios="1"/>
  <mergeCells count="1">
    <mergeCell ref="B6:D6"/>
  </mergeCells>
  <phoneticPr fontId="5" type="noConversion"/>
  <conditionalFormatting sqref="B13">
    <cfRule type="cellIs" dxfId="3" priority="4" operator="equal">
      <formula>"NR3"</formula>
    </cfRule>
  </conditionalFormatting>
  <conditionalFormatting sqref="B14">
    <cfRule type="cellIs" dxfId="2" priority="3" operator="equal">
      <formula>"NR3"</formula>
    </cfRule>
  </conditionalFormatting>
  <conditionalFormatting sqref="B15">
    <cfRule type="cellIs" dxfId="1" priority="2" operator="equal">
      <formula>"NR3"</formula>
    </cfRule>
  </conditionalFormatting>
  <conditionalFormatting sqref="B12">
    <cfRule type="cellIs" dxfId="0" priority="1" operator="equal">
      <formula>"NR3"</formula>
    </cfRule>
  </conditionalFormatting>
  <dataValidations count="1">
    <dataValidation allowBlank="1" showInputMessage="1" showErrorMessage="1" sqref="C5:C1048576 X28:XFD29 D1:E1048576 A1:A1048576 B15:B1048576 B1:B13 F1:XFD16 F39:XFD1048576 E30:XFD38 E17:XFD27 E28:V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9" t="s" vm="1">
        <v>247</v>
      </c>
    </row>
    <row r="2" spans="2:18">
      <c r="B2" s="57" t="s">
        <v>176</v>
      </c>
      <c r="C2" s="79" t="s">
        <v>248</v>
      </c>
    </row>
    <row r="3" spans="2:18">
      <c r="B3" s="57" t="s">
        <v>178</v>
      </c>
      <c r="C3" s="79" t="s">
        <v>249</v>
      </c>
    </row>
    <row r="4" spans="2:18">
      <c r="B4" s="57" t="s">
        <v>179</v>
      </c>
      <c r="C4" s="79">
        <v>2144</v>
      </c>
    </row>
    <row r="6" spans="2:18" ht="26.25" customHeight="1">
      <c r="B6" s="207" t="s">
        <v>217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2" t="s">
        <v>114</v>
      </c>
      <c r="C7" s="30" t="s">
        <v>44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236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246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237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D515"/>
  <sheetViews>
    <sheetView rightToLeft="1" workbookViewId="0">
      <selection activeCell="L26" sqref="L26"/>
    </sheetView>
  </sheetViews>
  <sheetFormatPr defaultColWidth="9.140625" defaultRowHeight="18"/>
  <cols>
    <col min="1" max="1" width="6.28515625" style="1" customWidth="1"/>
    <col min="2" max="2" width="38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10" style="1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28" width="5.7109375" style="1" customWidth="1"/>
    <col min="29" max="29" width="3.42578125" style="1" customWidth="1"/>
    <col min="30" max="30" width="5.7109375" style="1" hidden="1" customWidth="1"/>
    <col min="31" max="31" width="10.140625" style="1" customWidth="1"/>
    <col min="32" max="32" width="13.85546875" style="1" customWidth="1"/>
    <col min="33" max="33" width="5.7109375" style="1" customWidth="1"/>
    <col min="34" max="16384" width="9.140625" style="1"/>
  </cols>
  <sheetData>
    <row r="1" spans="2:12">
      <c r="B1" s="159" t="s">
        <v>177</v>
      </c>
      <c r="C1" s="160" t="s" vm="1">
        <v>247</v>
      </c>
      <c r="D1" s="149"/>
      <c r="E1" s="149"/>
      <c r="F1" s="149"/>
      <c r="G1" s="149"/>
      <c r="H1" s="149"/>
      <c r="I1" s="149"/>
      <c r="J1" s="149"/>
      <c r="K1" s="149"/>
      <c r="L1" s="149"/>
    </row>
    <row r="2" spans="2:12">
      <c r="B2" s="159" t="s">
        <v>176</v>
      </c>
      <c r="C2" s="160" t="s">
        <v>248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2:12">
      <c r="B3" s="159" t="s">
        <v>178</v>
      </c>
      <c r="C3" s="160" t="s">
        <v>249</v>
      </c>
      <c r="D3" s="149"/>
      <c r="E3" s="149"/>
      <c r="F3" s="149"/>
      <c r="G3" s="149"/>
      <c r="H3" s="149"/>
      <c r="I3" s="149"/>
      <c r="J3" s="149"/>
      <c r="K3" s="149"/>
      <c r="L3" s="149"/>
    </row>
    <row r="4" spans="2:12">
      <c r="B4" s="159" t="s">
        <v>179</v>
      </c>
      <c r="C4" s="160">
        <v>2144</v>
      </c>
      <c r="D4" s="149"/>
      <c r="E4" s="149"/>
      <c r="F4" s="149"/>
      <c r="G4" s="149"/>
      <c r="H4" s="149"/>
      <c r="I4" s="149"/>
      <c r="J4" s="149"/>
      <c r="K4" s="149"/>
      <c r="L4" s="149"/>
    </row>
    <row r="6" spans="2:12" ht="26.25" customHeight="1">
      <c r="B6" s="196" t="s">
        <v>206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2:12" s="3" customFormat="1" ht="63">
      <c r="B7" s="153" t="s">
        <v>113</v>
      </c>
      <c r="C7" s="154" t="s">
        <v>44</v>
      </c>
      <c r="D7" s="154" t="s">
        <v>115</v>
      </c>
      <c r="E7" s="154" t="s">
        <v>15</v>
      </c>
      <c r="F7" s="154" t="s">
        <v>61</v>
      </c>
      <c r="G7" s="154" t="s">
        <v>99</v>
      </c>
      <c r="H7" s="154" t="s">
        <v>17</v>
      </c>
      <c r="I7" s="154" t="s">
        <v>19</v>
      </c>
      <c r="J7" s="154" t="s">
        <v>59</v>
      </c>
      <c r="K7" s="154" t="s">
        <v>180</v>
      </c>
      <c r="L7" s="154" t="s">
        <v>181</v>
      </c>
    </row>
    <row r="8" spans="2:12" s="3" customFormat="1" ht="28.5" customHeight="1">
      <c r="B8" s="155"/>
      <c r="C8" s="156"/>
      <c r="D8" s="156"/>
      <c r="E8" s="156"/>
      <c r="F8" s="156"/>
      <c r="G8" s="156"/>
      <c r="H8" s="156" t="s">
        <v>20</v>
      </c>
      <c r="I8" s="156" t="s">
        <v>20</v>
      </c>
      <c r="J8" s="156" t="s">
        <v>234</v>
      </c>
      <c r="K8" s="156" t="s">
        <v>20</v>
      </c>
      <c r="L8" s="156" t="s">
        <v>20</v>
      </c>
    </row>
    <row r="9" spans="2:12" s="4" customFormat="1" ht="18" customHeight="1">
      <c r="B9" s="157"/>
      <c r="C9" s="158" t="s">
        <v>1</v>
      </c>
      <c r="D9" s="158" t="s">
        <v>2</v>
      </c>
      <c r="E9" s="158" t="s">
        <v>3</v>
      </c>
      <c r="F9" s="158" t="s">
        <v>4</v>
      </c>
      <c r="G9" s="158" t="s">
        <v>5</v>
      </c>
      <c r="H9" s="158" t="s">
        <v>6</v>
      </c>
      <c r="I9" s="158" t="s">
        <v>7</v>
      </c>
      <c r="J9" s="158" t="s">
        <v>8</v>
      </c>
      <c r="K9" s="158" t="s">
        <v>9</v>
      </c>
      <c r="L9" s="158" t="s">
        <v>10</v>
      </c>
    </row>
    <row r="10" spans="2:12" s="4" customFormat="1" ht="18" customHeight="1">
      <c r="B10" s="175" t="s">
        <v>43</v>
      </c>
      <c r="C10" s="176"/>
      <c r="D10" s="176"/>
      <c r="E10" s="176"/>
      <c r="F10" s="176"/>
      <c r="G10" s="176"/>
      <c r="H10" s="176"/>
      <c r="I10" s="176"/>
      <c r="J10" s="177">
        <v>5397.2208283079999</v>
      </c>
      <c r="K10" s="178">
        <v>1</v>
      </c>
      <c r="L10" s="178">
        <v>2.5839877774424754E-2</v>
      </c>
    </row>
    <row r="11" spans="2:12" s="101" customFormat="1">
      <c r="B11" s="179" t="s">
        <v>228</v>
      </c>
      <c r="C11" s="176"/>
      <c r="D11" s="176"/>
      <c r="E11" s="176"/>
      <c r="F11" s="176"/>
      <c r="G11" s="176"/>
      <c r="H11" s="176"/>
      <c r="I11" s="176"/>
      <c r="J11" s="177">
        <v>5397.2208283079999</v>
      </c>
      <c r="K11" s="178">
        <v>1</v>
      </c>
      <c r="L11" s="178">
        <v>2.5839877774424754E-2</v>
      </c>
    </row>
    <row r="12" spans="2:12">
      <c r="B12" s="173" t="s">
        <v>41</v>
      </c>
      <c r="C12" s="161"/>
      <c r="D12" s="161"/>
      <c r="E12" s="161"/>
      <c r="F12" s="161"/>
      <c r="G12" s="161"/>
      <c r="H12" s="161"/>
      <c r="I12" s="161"/>
      <c r="J12" s="165">
        <v>3355.1637283079999</v>
      </c>
      <c r="K12" s="166">
        <v>0.62164655385424095</v>
      </c>
      <c r="L12" s="166">
        <v>1.6063270970485943E-2</v>
      </c>
    </row>
    <row r="13" spans="2:12">
      <c r="B13" s="164" t="s">
        <v>1026</v>
      </c>
      <c r="C13" s="163" t="s">
        <v>1027</v>
      </c>
      <c r="D13" s="163">
        <v>12</v>
      </c>
      <c r="E13" s="163" t="s">
        <v>306</v>
      </c>
      <c r="F13" s="163" t="s">
        <v>307</v>
      </c>
      <c r="G13" s="169" t="s">
        <v>162</v>
      </c>
      <c r="H13" s="170">
        <v>0</v>
      </c>
      <c r="I13" s="170">
        <v>0</v>
      </c>
      <c r="J13" s="167">
        <v>39.69372830799999</v>
      </c>
      <c r="K13" s="168">
        <v>7.3544754922402842E-3</v>
      </c>
      <c r="L13" s="168">
        <v>1.9003874781449125E-4</v>
      </c>
    </row>
    <row r="14" spans="2:12">
      <c r="B14" s="164" t="s">
        <v>1028</v>
      </c>
      <c r="C14" s="163" t="s">
        <v>1029</v>
      </c>
      <c r="D14" s="163">
        <v>10</v>
      </c>
      <c r="E14" s="163" t="s">
        <v>306</v>
      </c>
      <c r="F14" s="163" t="s">
        <v>307</v>
      </c>
      <c r="G14" s="169" t="s">
        <v>162</v>
      </c>
      <c r="H14" s="170">
        <v>0</v>
      </c>
      <c r="I14" s="170">
        <v>0</v>
      </c>
      <c r="J14" s="167">
        <v>3142.35</v>
      </c>
      <c r="K14" s="168">
        <v>0.58221631094259119</v>
      </c>
      <c r="L14" s="168">
        <v>1.5044398313033032E-2</v>
      </c>
    </row>
    <row r="15" spans="2:12">
      <c r="B15" s="164" t="s">
        <v>1030</v>
      </c>
      <c r="C15" s="163" t="s">
        <v>1031</v>
      </c>
      <c r="D15" s="163">
        <v>26</v>
      </c>
      <c r="E15" s="163" t="s">
        <v>339</v>
      </c>
      <c r="F15" s="163" t="s">
        <v>307</v>
      </c>
      <c r="G15" s="169" t="s">
        <v>162</v>
      </c>
      <c r="H15" s="170">
        <v>0</v>
      </c>
      <c r="I15" s="170">
        <v>0</v>
      </c>
      <c r="J15" s="167">
        <v>173.12</v>
      </c>
      <c r="K15" s="168">
        <v>3.2075767419409484E-2</v>
      </c>
      <c r="L15" s="168">
        <v>8.2883390963841674E-4</v>
      </c>
    </row>
    <row r="16" spans="2:12">
      <c r="B16" s="162"/>
      <c r="C16" s="163"/>
      <c r="D16" s="163"/>
      <c r="E16" s="163"/>
      <c r="F16" s="163"/>
      <c r="G16" s="163"/>
      <c r="H16" s="163"/>
      <c r="I16" s="163"/>
      <c r="J16" s="163"/>
      <c r="K16" s="168"/>
      <c r="L16" s="163"/>
    </row>
    <row r="17" spans="2:12">
      <c r="B17" s="173" t="s">
        <v>42</v>
      </c>
      <c r="C17" s="161"/>
      <c r="D17" s="161"/>
      <c r="E17" s="161"/>
      <c r="F17" s="161"/>
      <c r="G17" s="161"/>
      <c r="H17" s="161"/>
      <c r="I17" s="161"/>
      <c r="J17" s="165">
        <v>2042.0571</v>
      </c>
      <c r="K17" s="166">
        <v>0.37835344614575905</v>
      </c>
      <c r="L17" s="166">
        <v>9.7766068039388133E-3</v>
      </c>
    </row>
    <row r="18" spans="2:12">
      <c r="B18" s="164" t="s">
        <v>1028</v>
      </c>
      <c r="C18" s="163" t="s">
        <v>1032</v>
      </c>
      <c r="D18" s="163">
        <v>10</v>
      </c>
      <c r="E18" s="163" t="s">
        <v>306</v>
      </c>
      <c r="F18" s="163" t="s">
        <v>307</v>
      </c>
      <c r="G18" s="169" t="s">
        <v>164</v>
      </c>
      <c r="H18" s="170">
        <v>0</v>
      </c>
      <c r="I18" s="170">
        <v>0</v>
      </c>
      <c r="J18" s="167">
        <v>4.2599999999999999E-3</v>
      </c>
      <c r="K18" s="168">
        <v>7.8929510863380537E-7</v>
      </c>
      <c r="L18" s="168">
        <v>2.039528913504884E-8</v>
      </c>
    </row>
    <row r="19" spans="2:12">
      <c r="B19" s="164" t="s">
        <v>1028</v>
      </c>
      <c r="C19" s="163" t="s">
        <v>1033</v>
      </c>
      <c r="D19" s="163">
        <v>10</v>
      </c>
      <c r="E19" s="163" t="s">
        <v>306</v>
      </c>
      <c r="F19" s="163" t="s">
        <v>307</v>
      </c>
      <c r="G19" s="169" t="s">
        <v>161</v>
      </c>
      <c r="H19" s="170">
        <v>0</v>
      </c>
      <c r="I19" s="170">
        <v>0</v>
      </c>
      <c r="J19" s="167">
        <v>1907.43705</v>
      </c>
      <c r="K19" s="168">
        <v>0.35341097032673602</v>
      </c>
      <c r="L19" s="168">
        <v>9.1320962773837108E-3</v>
      </c>
    </row>
    <row r="20" spans="2:12">
      <c r="B20" s="164" t="s">
        <v>1028</v>
      </c>
      <c r="C20" s="163" t="s">
        <v>1034</v>
      </c>
      <c r="D20" s="163">
        <v>10</v>
      </c>
      <c r="E20" s="163" t="s">
        <v>306</v>
      </c>
      <c r="F20" s="163" t="s">
        <v>307</v>
      </c>
      <c r="G20" s="169" t="s">
        <v>163</v>
      </c>
      <c r="H20" s="170">
        <v>0</v>
      </c>
      <c r="I20" s="170">
        <v>0</v>
      </c>
      <c r="J20" s="167">
        <v>134.61579</v>
      </c>
      <c r="K20" s="168">
        <v>2.4941686523914444E-2</v>
      </c>
      <c r="L20" s="168">
        <v>6.4449013126596625E-4</v>
      </c>
    </row>
    <row r="21" spans="2:12">
      <c r="B21" s="162"/>
      <c r="C21" s="163"/>
      <c r="D21" s="163"/>
      <c r="E21" s="163"/>
      <c r="F21" s="163"/>
      <c r="G21" s="163"/>
      <c r="H21" s="163"/>
      <c r="I21" s="163"/>
      <c r="J21" s="163"/>
      <c r="K21" s="168"/>
      <c r="L21" s="163"/>
    </row>
    <row r="22" spans="2:12">
      <c r="B22" s="162"/>
      <c r="C22" s="163"/>
      <c r="D22" s="163"/>
      <c r="E22" s="163"/>
      <c r="F22" s="163"/>
      <c r="G22" s="163"/>
      <c r="H22" s="163"/>
      <c r="I22" s="163"/>
      <c r="J22" s="163"/>
      <c r="K22" s="168"/>
      <c r="L22" s="163"/>
    </row>
    <row r="23" spans="2:12" s="101" customFormat="1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2:12" s="101" customFormat="1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>
      <c r="B25" s="171" t="s">
        <v>246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>
      <c r="B26" s="174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2:12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2:12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2:12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2:12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2:12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2:12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2:12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2:12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2:12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</row>
    <row r="36" spans="2:12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</row>
    <row r="37" spans="2:12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</row>
    <row r="38" spans="2:12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2:12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</row>
    <row r="40" spans="2:12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</row>
    <row r="41" spans="2:12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</row>
    <row r="42" spans="2:12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</row>
    <row r="43" spans="2:12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</row>
    <row r="44" spans="2:12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</row>
    <row r="45" spans="2:12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2:12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2:12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</row>
    <row r="48" spans="2:12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2:12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</row>
    <row r="50" spans="2:12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</row>
    <row r="51" spans="2:12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</row>
    <row r="52" spans="2:12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  <row r="53" spans="2:12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</row>
    <row r="54" spans="2:12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</row>
    <row r="55" spans="2:12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</row>
    <row r="56" spans="2:12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</row>
    <row r="57" spans="2:12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</row>
    <row r="58" spans="2:12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</row>
    <row r="59" spans="2:12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</row>
    <row r="60" spans="2:12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</row>
    <row r="61" spans="2:12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</row>
    <row r="62" spans="2:12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</row>
    <row r="63" spans="2:12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</row>
    <row r="64" spans="2:12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</row>
    <row r="65" spans="2:12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2:12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2:12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2:12"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2:12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2:12"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2:12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</row>
    <row r="72" spans="2:12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</row>
    <row r="73" spans="2:12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</row>
    <row r="74" spans="2:12"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</row>
    <row r="75" spans="2:12"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</row>
    <row r="76" spans="2:12"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</row>
    <row r="77" spans="2:12"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</row>
    <row r="78" spans="2:12"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</row>
    <row r="79" spans="2:12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</row>
    <row r="80" spans="2:12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</row>
    <row r="81" spans="2:12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</row>
    <row r="82" spans="2:12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</row>
    <row r="83" spans="2:12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</row>
    <row r="84" spans="2:12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</row>
    <row r="85" spans="2:12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</row>
    <row r="86" spans="2:12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</row>
    <row r="87" spans="2:12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</row>
    <row r="88" spans="2:12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</row>
    <row r="89" spans="2:12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2:12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</row>
    <row r="91" spans="2:12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2:12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  <row r="93" spans="2:12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</row>
    <row r="94" spans="2:12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</row>
    <row r="95" spans="2:12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</row>
    <row r="96" spans="2:12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</row>
    <row r="97" spans="2:12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</row>
    <row r="98" spans="2:12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</row>
    <row r="99" spans="2:12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</row>
    <row r="100" spans="2:12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</row>
    <row r="101" spans="2:12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</row>
    <row r="102" spans="2:12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</row>
    <row r="103" spans="2:12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</row>
    <row r="104" spans="2:12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</row>
    <row r="105" spans="2:12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</row>
    <row r="106" spans="2:12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</row>
    <row r="107" spans="2:12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</row>
    <row r="108" spans="2:12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</row>
    <row r="109" spans="2:12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</row>
    <row r="110" spans="2:12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</row>
    <row r="111" spans="2:12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</row>
    <row r="112" spans="2:12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</row>
    <row r="113" spans="2:12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</row>
    <row r="114" spans="2:12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</row>
    <row r="115" spans="2:12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</row>
    <row r="116" spans="2:12"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</row>
    <row r="117" spans="2:12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</row>
    <row r="118" spans="2:12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</row>
    <row r="119" spans="2:12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</row>
    <row r="120" spans="2:12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</row>
    <row r="121" spans="2:12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</row>
    <row r="122" spans="2:12">
      <c r="B122" s="149"/>
      <c r="C122" s="149"/>
      <c r="D122" s="150"/>
      <c r="E122" s="149"/>
      <c r="F122" s="149"/>
      <c r="G122" s="149"/>
      <c r="H122" s="149"/>
      <c r="I122" s="149"/>
      <c r="J122" s="149"/>
      <c r="K122" s="149"/>
      <c r="L122" s="149"/>
    </row>
    <row r="123" spans="2:12">
      <c r="B123" s="149"/>
      <c r="C123" s="149"/>
      <c r="D123" s="150"/>
      <c r="E123" s="149"/>
      <c r="F123" s="149"/>
      <c r="G123" s="149"/>
      <c r="H123" s="149"/>
      <c r="I123" s="149"/>
      <c r="J123" s="149"/>
      <c r="K123" s="149"/>
      <c r="L123" s="149"/>
    </row>
    <row r="124" spans="2:12">
      <c r="B124" s="149"/>
      <c r="C124" s="149"/>
      <c r="D124" s="150"/>
      <c r="E124" s="149"/>
      <c r="F124" s="149"/>
      <c r="G124" s="149"/>
      <c r="H124" s="149"/>
      <c r="I124" s="149"/>
      <c r="J124" s="149"/>
      <c r="K124" s="149"/>
      <c r="L124" s="149"/>
    </row>
    <row r="125" spans="2:12">
      <c r="B125" s="149"/>
      <c r="C125" s="149"/>
      <c r="D125" s="150"/>
      <c r="E125" s="149"/>
      <c r="F125" s="149"/>
      <c r="G125" s="149"/>
      <c r="H125" s="149"/>
      <c r="I125" s="149"/>
      <c r="J125" s="149"/>
      <c r="K125" s="149"/>
      <c r="L125" s="149"/>
    </row>
    <row r="126" spans="2:12">
      <c r="B126" s="149"/>
      <c r="C126" s="149"/>
      <c r="D126" s="150"/>
      <c r="E126" s="149"/>
      <c r="F126" s="149"/>
      <c r="G126" s="149"/>
      <c r="H126" s="149"/>
      <c r="I126" s="149"/>
      <c r="J126" s="149"/>
      <c r="K126" s="149"/>
      <c r="L126" s="149"/>
    </row>
    <row r="127" spans="2:12">
      <c r="B127" s="149"/>
      <c r="C127" s="149"/>
      <c r="D127" s="150"/>
      <c r="E127" s="149"/>
      <c r="F127" s="149"/>
      <c r="G127" s="149"/>
      <c r="H127" s="149"/>
      <c r="I127" s="149"/>
      <c r="J127" s="149"/>
      <c r="K127" s="149"/>
      <c r="L127" s="149"/>
    </row>
    <row r="128" spans="2:12">
      <c r="B128" s="149"/>
      <c r="C128" s="149"/>
      <c r="D128" s="150"/>
      <c r="E128" s="149"/>
      <c r="F128" s="149"/>
      <c r="G128" s="149"/>
      <c r="H128" s="149"/>
      <c r="I128" s="149"/>
      <c r="J128" s="149"/>
      <c r="K128" s="149"/>
      <c r="L128" s="149"/>
    </row>
    <row r="129" spans="4:4">
      <c r="D129" s="150"/>
    </row>
    <row r="130" spans="4:4">
      <c r="D130" s="150"/>
    </row>
    <row r="131" spans="4:4">
      <c r="D131" s="150"/>
    </row>
    <row r="132" spans="4:4">
      <c r="D132" s="150"/>
    </row>
    <row r="133" spans="4:4">
      <c r="D133" s="150"/>
    </row>
    <row r="134" spans="4:4">
      <c r="D134" s="150"/>
    </row>
    <row r="135" spans="4:4">
      <c r="D135" s="150"/>
    </row>
    <row r="136" spans="4:4">
      <c r="D136" s="150"/>
    </row>
    <row r="137" spans="4:4">
      <c r="D137" s="150"/>
    </row>
    <row r="138" spans="4:4">
      <c r="D138" s="150"/>
    </row>
    <row r="139" spans="4:4">
      <c r="D139" s="150"/>
    </row>
    <row r="140" spans="4:4">
      <c r="D140" s="150"/>
    </row>
    <row r="141" spans="4:4">
      <c r="D141" s="150"/>
    </row>
    <row r="142" spans="4:4">
      <c r="D142" s="150"/>
    </row>
    <row r="143" spans="4:4">
      <c r="D143" s="150"/>
    </row>
    <row r="144" spans="4:4">
      <c r="D144" s="150"/>
    </row>
    <row r="145" spans="4:4">
      <c r="D145" s="150"/>
    </row>
    <row r="146" spans="4:4">
      <c r="D146" s="150"/>
    </row>
    <row r="147" spans="4:4">
      <c r="D147" s="150"/>
    </row>
    <row r="148" spans="4:4">
      <c r="D148" s="150"/>
    </row>
    <row r="149" spans="4:4">
      <c r="D149" s="150"/>
    </row>
    <row r="150" spans="4:4">
      <c r="D150" s="150"/>
    </row>
    <row r="151" spans="4:4">
      <c r="D151" s="150"/>
    </row>
    <row r="152" spans="4:4">
      <c r="D152" s="150"/>
    </row>
    <row r="153" spans="4:4">
      <c r="D153" s="150"/>
    </row>
    <row r="154" spans="4:4">
      <c r="D154" s="150"/>
    </row>
    <row r="155" spans="4:4">
      <c r="D155" s="150"/>
    </row>
    <row r="156" spans="4:4">
      <c r="D156" s="150"/>
    </row>
    <row r="157" spans="4:4">
      <c r="D157" s="150"/>
    </row>
    <row r="158" spans="4:4">
      <c r="D158" s="150"/>
    </row>
    <row r="159" spans="4:4">
      <c r="D159" s="150"/>
    </row>
    <row r="160" spans="4:4">
      <c r="D160" s="150"/>
    </row>
    <row r="161" spans="4:4">
      <c r="D161" s="150"/>
    </row>
    <row r="162" spans="4:4">
      <c r="D162" s="150"/>
    </row>
    <row r="163" spans="4:4">
      <c r="D163" s="150"/>
    </row>
    <row r="164" spans="4:4">
      <c r="D164" s="150"/>
    </row>
    <row r="165" spans="4:4">
      <c r="D165" s="150"/>
    </row>
    <row r="166" spans="4:4">
      <c r="D166" s="150"/>
    </row>
    <row r="167" spans="4:4">
      <c r="D167" s="150"/>
    </row>
    <row r="168" spans="4:4">
      <c r="D168" s="150"/>
    </row>
    <row r="169" spans="4:4">
      <c r="D169" s="150"/>
    </row>
    <row r="170" spans="4:4">
      <c r="D170" s="150"/>
    </row>
    <row r="171" spans="4:4">
      <c r="D171" s="150"/>
    </row>
    <row r="172" spans="4:4">
      <c r="D172" s="150"/>
    </row>
    <row r="173" spans="4:4">
      <c r="D173" s="150"/>
    </row>
    <row r="174" spans="4:4">
      <c r="D174" s="150"/>
    </row>
    <row r="175" spans="4:4">
      <c r="D175" s="150"/>
    </row>
    <row r="176" spans="4:4">
      <c r="D176" s="150"/>
    </row>
    <row r="177" spans="4:4">
      <c r="D177" s="150"/>
    </row>
    <row r="178" spans="4:4">
      <c r="D178" s="150"/>
    </row>
    <row r="179" spans="4:4">
      <c r="D179" s="150"/>
    </row>
    <row r="180" spans="4:4">
      <c r="D180" s="150"/>
    </row>
    <row r="181" spans="4:4">
      <c r="D181" s="150"/>
    </row>
    <row r="182" spans="4:4">
      <c r="D182" s="150"/>
    </row>
    <row r="183" spans="4:4">
      <c r="D183" s="150"/>
    </row>
    <row r="184" spans="4:4">
      <c r="D184" s="150"/>
    </row>
    <row r="185" spans="4:4">
      <c r="D185" s="150"/>
    </row>
    <row r="186" spans="4:4">
      <c r="D186" s="150"/>
    </row>
    <row r="187" spans="4:4">
      <c r="D187" s="150"/>
    </row>
    <row r="188" spans="4:4">
      <c r="D188" s="150"/>
    </row>
    <row r="189" spans="4:4">
      <c r="D189" s="150"/>
    </row>
    <row r="190" spans="4:4">
      <c r="D190" s="150"/>
    </row>
    <row r="191" spans="4:4">
      <c r="D191" s="150"/>
    </row>
    <row r="192" spans="4:4">
      <c r="D192" s="150"/>
    </row>
    <row r="193" spans="4:4">
      <c r="D193" s="150"/>
    </row>
    <row r="194" spans="4:4">
      <c r="D194" s="150"/>
    </row>
    <row r="195" spans="4:4">
      <c r="D195" s="150"/>
    </row>
    <row r="196" spans="4:4">
      <c r="D196" s="150"/>
    </row>
    <row r="197" spans="4:4">
      <c r="D197" s="150"/>
    </row>
    <row r="198" spans="4:4">
      <c r="D198" s="150"/>
    </row>
    <row r="199" spans="4:4">
      <c r="D199" s="150"/>
    </row>
    <row r="200" spans="4:4">
      <c r="D200" s="150"/>
    </row>
    <row r="201" spans="4:4">
      <c r="D201" s="150"/>
    </row>
    <row r="202" spans="4:4">
      <c r="D202" s="150"/>
    </row>
    <row r="203" spans="4:4">
      <c r="D203" s="150"/>
    </row>
    <row r="204" spans="4:4">
      <c r="D204" s="150"/>
    </row>
    <row r="205" spans="4:4">
      <c r="D205" s="150"/>
    </row>
    <row r="206" spans="4:4">
      <c r="D206" s="150"/>
    </row>
    <row r="207" spans="4:4">
      <c r="D207" s="150"/>
    </row>
    <row r="208" spans="4:4">
      <c r="D208" s="150"/>
    </row>
    <row r="209" spans="4:4">
      <c r="D209" s="150"/>
    </row>
    <row r="210" spans="4:4">
      <c r="D210" s="150"/>
    </row>
    <row r="211" spans="4:4">
      <c r="D211" s="150"/>
    </row>
    <row r="212" spans="4:4">
      <c r="D212" s="150"/>
    </row>
    <row r="213" spans="4:4">
      <c r="D213" s="150"/>
    </row>
    <row r="214" spans="4:4">
      <c r="D214" s="150"/>
    </row>
    <row r="215" spans="4:4">
      <c r="D215" s="150"/>
    </row>
    <row r="216" spans="4:4">
      <c r="D216" s="150"/>
    </row>
    <row r="217" spans="4:4">
      <c r="D217" s="150"/>
    </row>
    <row r="218" spans="4:4">
      <c r="D218" s="150"/>
    </row>
    <row r="219" spans="4:4">
      <c r="D219" s="150"/>
    </row>
    <row r="220" spans="4:4">
      <c r="D220" s="150"/>
    </row>
    <row r="221" spans="4:4">
      <c r="D221" s="150"/>
    </row>
    <row r="222" spans="4:4">
      <c r="D222" s="150"/>
    </row>
    <row r="223" spans="4:4">
      <c r="D223" s="150"/>
    </row>
    <row r="224" spans="4:4">
      <c r="D224" s="150"/>
    </row>
    <row r="225" spans="4:4">
      <c r="D225" s="150"/>
    </row>
    <row r="226" spans="4:4">
      <c r="D226" s="150"/>
    </row>
    <row r="227" spans="4:4">
      <c r="D227" s="150"/>
    </row>
    <row r="228" spans="4:4">
      <c r="D228" s="150"/>
    </row>
    <row r="229" spans="4:4">
      <c r="D229" s="150"/>
    </row>
    <row r="230" spans="4:4">
      <c r="D230" s="150"/>
    </row>
    <row r="231" spans="4:4">
      <c r="D231" s="150"/>
    </row>
    <row r="232" spans="4:4">
      <c r="D232" s="150"/>
    </row>
    <row r="233" spans="4:4">
      <c r="D233" s="150"/>
    </row>
    <row r="234" spans="4:4">
      <c r="D234" s="150"/>
    </row>
    <row r="235" spans="4:4">
      <c r="D235" s="150"/>
    </row>
    <row r="236" spans="4:4">
      <c r="D236" s="150"/>
    </row>
    <row r="237" spans="4:4">
      <c r="D237" s="150"/>
    </row>
    <row r="238" spans="4:4">
      <c r="D238" s="150"/>
    </row>
    <row r="239" spans="4:4">
      <c r="D239" s="150"/>
    </row>
    <row r="240" spans="4:4">
      <c r="D240" s="150"/>
    </row>
    <row r="241" spans="4:4">
      <c r="D241" s="150"/>
    </row>
    <row r="242" spans="4:4">
      <c r="D242" s="150"/>
    </row>
    <row r="243" spans="4:4">
      <c r="D243" s="150"/>
    </row>
    <row r="244" spans="4:4">
      <c r="D244" s="150"/>
    </row>
    <row r="245" spans="4:4">
      <c r="D245" s="150"/>
    </row>
    <row r="246" spans="4:4">
      <c r="D246" s="150"/>
    </row>
    <row r="247" spans="4:4">
      <c r="D247" s="150"/>
    </row>
    <row r="248" spans="4:4">
      <c r="D248" s="150"/>
    </row>
    <row r="249" spans="4:4">
      <c r="D249" s="150"/>
    </row>
    <row r="250" spans="4:4">
      <c r="D250" s="150"/>
    </row>
    <row r="251" spans="4:4">
      <c r="D251" s="150"/>
    </row>
    <row r="252" spans="4:4">
      <c r="D252" s="150"/>
    </row>
    <row r="253" spans="4:4">
      <c r="D253" s="150"/>
    </row>
    <row r="254" spans="4:4">
      <c r="D254" s="150"/>
    </row>
    <row r="255" spans="4:4">
      <c r="D255" s="150"/>
    </row>
    <row r="256" spans="4:4">
      <c r="D256" s="150"/>
    </row>
    <row r="257" spans="4:4">
      <c r="D257" s="150"/>
    </row>
    <row r="258" spans="4:4">
      <c r="D258" s="150"/>
    </row>
    <row r="259" spans="4:4">
      <c r="D259" s="150"/>
    </row>
    <row r="260" spans="4:4">
      <c r="D260" s="150"/>
    </row>
    <row r="261" spans="4:4">
      <c r="D261" s="150"/>
    </row>
    <row r="262" spans="4:4">
      <c r="D262" s="150"/>
    </row>
    <row r="263" spans="4:4">
      <c r="D263" s="150"/>
    </row>
    <row r="264" spans="4:4">
      <c r="D264" s="150"/>
    </row>
    <row r="265" spans="4:4">
      <c r="D265" s="150"/>
    </row>
    <row r="266" spans="4:4">
      <c r="D266" s="150"/>
    </row>
    <row r="267" spans="4:4">
      <c r="D267" s="150"/>
    </row>
    <row r="268" spans="4:4">
      <c r="D268" s="150"/>
    </row>
    <row r="269" spans="4:4">
      <c r="D269" s="150"/>
    </row>
    <row r="270" spans="4:4">
      <c r="D270" s="150"/>
    </row>
    <row r="271" spans="4:4">
      <c r="D271" s="150"/>
    </row>
    <row r="272" spans="4:4">
      <c r="D272" s="150"/>
    </row>
    <row r="273" spans="4:4">
      <c r="D273" s="150"/>
    </row>
    <row r="274" spans="4:4">
      <c r="D274" s="150"/>
    </row>
    <row r="275" spans="4:4">
      <c r="D275" s="150"/>
    </row>
    <row r="276" spans="4:4">
      <c r="D276" s="150"/>
    </row>
    <row r="277" spans="4:4">
      <c r="D277" s="150"/>
    </row>
    <row r="278" spans="4:4">
      <c r="D278" s="150"/>
    </row>
    <row r="279" spans="4:4">
      <c r="D279" s="150"/>
    </row>
    <row r="280" spans="4:4">
      <c r="D280" s="150"/>
    </row>
    <row r="281" spans="4:4">
      <c r="D281" s="150"/>
    </row>
    <row r="282" spans="4:4">
      <c r="D282" s="150"/>
    </row>
    <row r="283" spans="4:4">
      <c r="D283" s="150"/>
    </row>
    <row r="284" spans="4:4">
      <c r="D284" s="150"/>
    </row>
    <row r="285" spans="4:4">
      <c r="D285" s="150"/>
    </row>
    <row r="286" spans="4:4">
      <c r="D286" s="150"/>
    </row>
    <row r="287" spans="4:4">
      <c r="D287" s="150"/>
    </row>
    <row r="288" spans="4:4">
      <c r="D288" s="150"/>
    </row>
    <row r="289" spans="4:4">
      <c r="D289" s="150"/>
    </row>
    <row r="290" spans="4:4">
      <c r="D290" s="150"/>
    </row>
    <row r="291" spans="4:4">
      <c r="D291" s="150"/>
    </row>
    <row r="292" spans="4:4">
      <c r="D292" s="150"/>
    </row>
    <row r="293" spans="4:4">
      <c r="D293" s="150"/>
    </row>
    <row r="294" spans="4:4">
      <c r="D294" s="150"/>
    </row>
    <row r="295" spans="4:4">
      <c r="D295" s="150"/>
    </row>
    <row r="296" spans="4:4">
      <c r="D296" s="150"/>
    </row>
    <row r="297" spans="4:4">
      <c r="D297" s="150"/>
    </row>
    <row r="298" spans="4:4">
      <c r="D298" s="150"/>
    </row>
    <row r="299" spans="4:4">
      <c r="D299" s="150"/>
    </row>
    <row r="300" spans="4:4">
      <c r="D300" s="150"/>
    </row>
    <row r="301" spans="4:4">
      <c r="D301" s="150"/>
    </row>
    <row r="302" spans="4:4">
      <c r="D302" s="150"/>
    </row>
    <row r="303" spans="4:4">
      <c r="D303" s="150"/>
    </row>
    <row r="304" spans="4:4">
      <c r="D304" s="150"/>
    </row>
    <row r="305" spans="4:4">
      <c r="D305" s="150"/>
    </row>
    <row r="306" spans="4:4">
      <c r="D306" s="150"/>
    </row>
    <row r="307" spans="4:4">
      <c r="D307" s="150"/>
    </row>
    <row r="308" spans="4:4">
      <c r="D308" s="150"/>
    </row>
    <row r="309" spans="4:4">
      <c r="D309" s="150"/>
    </row>
    <row r="310" spans="4:4">
      <c r="D310" s="150"/>
    </row>
    <row r="311" spans="4:4">
      <c r="D311" s="150"/>
    </row>
    <row r="312" spans="4:4">
      <c r="D312" s="150"/>
    </row>
    <row r="313" spans="4:4">
      <c r="D313" s="150"/>
    </row>
    <row r="314" spans="4:4">
      <c r="D314" s="150"/>
    </row>
    <row r="315" spans="4:4">
      <c r="D315" s="150"/>
    </row>
    <row r="316" spans="4:4">
      <c r="D316" s="150"/>
    </row>
    <row r="317" spans="4:4">
      <c r="D317" s="150"/>
    </row>
    <row r="318" spans="4:4">
      <c r="D318" s="150"/>
    </row>
    <row r="319" spans="4:4">
      <c r="D319" s="150"/>
    </row>
    <row r="320" spans="4:4">
      <c r="D320" s="150"/>
    </row>
    <row r="321" spans="4:4">
      <c r="D321" s="150"/>
    </row>
    <row r="322" spans="4:4">
      <c r="D322" s="150"/>
    </row>
    <row r="323" spans="4:4">
      <c r="D323" s="150"/>
    </row>
    <row r="324" spans="4:4">
      <c r="D324" s="150"/>
    </row>
    <row r="325" spans="4:4">
      <c r="D325" s="150"/>
    </row>
    <row r="326" spans="4:4">
      <c r="D326" s="150"/>
    </row>
    <row r="327" spans="4:4">
      <c r="D327" s="150"/>
    </row>
    <row r="328" spans="4:4">
      <c r="D328" s="150"/>
    </row>
    <row r="329" spans="4:4">
      <c r="D329" s="150"/>
    </row>
    <row r="330" spans="4:4">
      <c r="D330" s="150"/>
    </row>
    <row r="331" spans="4:4">
      <c r="D331" s="150"/>
    </row>
    <row r="332" spans="4:4">
      <c r="D332" s="150"/>
    </row>
    <row r="333" spans="4:4">
      <c r="D333" s="150"/>
    </row>
    <row r="334" spans="4:4">
      <c r="D334" s="150"/>
    </row>
    <row r="335" spans="4:4">
      <c r="D335" s="150"/>
    </row>
    <row r="336" spans="4:4">
      <c r="D336" s="150"/>
    </row>
    <row r="337" spans="4:4">
      <c r="D337" s="150"/>
    </row>
    <row r="338" spans="4:4">
      <c r="D338" s="150"/>
    </row>
    <row r="339" spans="4:4">
      <c r="D339" s="150"/>
    </row>
    <row r="340" spans="4:4">
      <c r="D340" s="150"/>
    </row>
    <row r="341" spans="4:4">
      <c r="D341" s="150"/>
    </row>
    <row r="342" spans="4:4">
      <c r="D342" s="150"/>
    </row>
    <row r="343" spans="4:4">
      <c r="D343" s="150"/>
    </row>
    <row r="344" spans="4:4">
      <c r="D344" s="150"/>
    </row>
    <row r="345" spans="4:4">
      <c r="D345" s="150"/>
    </row>
    <row r="346" spans="4:4">
      <c r="D346" s="150"/>
    </row>
    <row r="347" spans="4:4">
      <c r="D347" s="150"/>
    </row>
    <row r="348" spans="4:4">
      <c r="D348" s="150"/>
    </row>
    <row r="349" spans="4:4">
      <c r="D349" s="150"/>
    </row>
    <row r="350" spans="4:4">
      <c r="D350" s="150"/>
    </row>
    <row r="351" spans="4:4">
      <c r="D351" s="150"/>
    </row>
    <row r="352" spans="4:4">
      <c r="D352" s="150"/>
    </row>
    <row r="353" spans="4:4">
      <c r="D353" s="150"/>
    </row>
    <row r="354" spans="4:4">
      <c r="D354" s="150"/>
    </row>
    <row r="355" spans="4:4">
      <c r="D355" s="150"/>
    </row>
    <row r="356" spans="4:4">
      <c r="D356" s="150"/>
    </row>
    <row r="357" spans="4:4">
      <c r="D357" s="150"/>
    </row>
    <row r="358" spans="4:4">
      <c r="D358" s="150"/>
    </row>
    <row r="359" spans="4:4">
      <c r="D359" s="150"/>
    </row>
    <row r="360" spans="4:4">
      <c r="D360" s="150"/>
    </row>
    <row r="361" spans="4:4">
      <c r="D361" s="150"/>
    </row>
    <row r="362" spans="4:4">
      <c r="D362" s="150"/>
    </row>
    <row r="363" spans="4:4">
      <c r="D363" s="150"/>
    </row>
    <row r="364" spans="4:4">
      <c r="D364" s="150"/>
    </row>
    <row r="365" spans="4:4">
      <c r="D365" s="150"/>
    </row>
    <row r="366" spans="4:4">
      <c r="D366" s="150"/>
    </row>
    <row r="367" spans="4:4">
      <c r="D367" s="150"/>
    </row>
    <row r="368" spans="4:4">
      <c r="D368" s="150"/>
    </row>
    <row r="369" spans="4:4">
      <c r="D369" s="150"/>
    </row>
    <row r="370" spans="4:4">
      <c r="D370" s="150"/>
    </row>
    <row r="371" spans="4:4">
      <c r="D371" s="150"/>
    </row>
    <row r="372" spans="4:4">
      <c r="D372" s="150"/>
    </row>
    <row r="373" spans="4:4">
      <c r="D373" s="150"/>
    </row>
    <row r="374" spans="4:4">
      <c r="D374" s="150"/>
    </row>
    <row r="375" spans="4:4">
      <c r="D375" s="150"/>
    </row>
    <row r="376" spans="4:4">
      <c r="D376" s="150"/>
    </row>
    <row r="377" spans="4:4">
      <c r="D377" s="150"/>
    </row>
    <row r="378" spans="4:4">
      <c r="D378" s="150"/>
    </row>
    <row r="379" spans="4:4">
      <c r="D379" s="150"/>
    </row>
    <row r="380" spans="4:4">
      <c r="D380" s="150"/>
    </row>
    <row r="381" spans="4:4">
      <c r="D381" s="150"/>
    </row>
    <row r="382" spans="4:4">
      <c r="D382" s="150"/>
    </row>
    <row r="383" spans="4:4">
      <c r="D383" s="150"/>
    </row>
    <row r="384" spans="4:4">
      <c r="D384" s="150"/>
    </row>
    <row r="385" spans="4:4">
      <c r="D385" s="150"/>
    </row>
    <row r="386" spans="4:4">
      <c r="D386" s="150"/>
    </row>
    <row r="387" spans="4:4">
      <c r="D387" s="150"/>
    </row>
    <row r="388" spans="4:4">
      <c r="D388" s="150"/>
    </row>
    <row r="389" spans="4:4">
      <c r="D389" s="150"/>
    </row>
    <row r="390" spans="4:4">
      <c r="D390" s="150"/>
    </row>
    <row r="391" spans="4:4">
      <c r="D391" s="150"/>
    </row>
    <row r="392" spans="4:4">
      <c r="D392" s="150"/>
    </row>
    <row r="393" spans="4:4">
      <c r="D393" s="150"/>
    </row>
    <row r="394" spans="4:4">
      <c r="D394" s="150"/>
    </row>
    <row r="395" spans="4:4">
      <c r="D395" s="150"/>
    </row>
    <row r="396" spans="4:4">
      <c r="D396" s="150"/>
    </row>
    <row r="397" spans="4:4">
      <c r="D397" s="150"/>
    </row>
    <row r="398" spans="4:4">
      <c r="D398" s="150"/>
    </row>
    <row r="399" spans="4:4">
      <c r="D399" s="150"/>
    </row>
    <row r="400" spans="4:4">
      <c r="D400" s="150"/>
    </row>
    <row r="401" spans="4:4">
      <c r="D401" s="150"/>
    </row>
    <row r="402" spans="4:4">
      <c r="D402" s="150"/>
    </row>
    <row r="403" spans="4:4">
      <c r="D403" s="150"/>
    </row>
    <row r="404" spans="4:4">
      <c r="D404" s="150"/>
    </row>
    <row r="405" spans="4:4">
      <c r="D405" s="150"/>
    </row>
    <row r="406" spans="4:4">
      <c r="D406" s="150"/>
    </row>
    <row r="407" spans="4:4">
      <c r="D407" s="150"/>
    </row>
    <row r="408" spans="4:4">
      <c r="D408" s="150"/>
    </row>
    <row r="409" spans="4:4">
      <c r="D409" s="150"/>
    </row>
    <row r="410" spans="4:4">
      <c r="D410" s="150"/>
    </row>
    <row r="411" spans="4:4">
      <c r="D411" s="150"/>
    </row>
    <row r="412" spans="4:4">
      <c r="D412" s="150"/>
    </row>
    <row r="413" spans="4:4">
      <c r="D413" s="150"/>
    </row>
    <row r="414" spans="4:4">
      <c r="D414" s="150"/>
    </row>
    <row r="415" spans="4:4">
      <c r="D415" s="150"/>
    </row>
    <row r="416" spans="4:4">
      <c r="D416" s="150"/>
    </row>
    <row r="417" spans="4:4">
      <c r="D417" s="150"/>
    </row>
    <row r="418" spans="4:4">
      <c r="D418" s="150"/>
    </row>
    <row r="419" spans="4:4">
      <c r="D419" s="150"/>
    </row>
    <row r="420" spans="4:4">
      <c r="D420" s="150"/>
    </row>
    <row r="421" spans="4:4">
      <c r="D421" s="150"/>
    </row>
    <row r="422" spans="4:4">
      <c r="D422" s="150"/>
    </row>
    <row r="423" spans="4:4">
      <c r="D423" s="150"/>
    </row>
    <row r="424" spans="4:4">
      <c r="D424" s="150"/>
    </row>
    <row r="425" spans="4:4">
      <c r="D425" s="150"/>
    </row>
    <row r="426" spans="4:4">
      <c r="D426" s="150"/>
    </row>
    <row r="427" spans="4:4">
      <c r="D427" s="150"/>
    </row>
    <row r="428" spans="4:4">
      <c r="D428" s="150"/>
    </row>
    <row r="429" spans="4:4">
      <c r="D429" s="150"/>
    </row>
    <row r="430" spans="4:4">
      <c r="D430" s="150"/>
    </row>
    <row r="431" spans="4:4">
      <c r="D431" s="150"/>
    </row>
    <row r="432" spans="4:4">
      <c r="D432" s="150"/>
    </row>
    <row r="433" spans="4:4">
      <c r="D433" s="150"/>
    </row>
    <row r="434" spans="4:4">
      <c r="D434" s="150"/>
    </row>
    <row r="435" spans="4:4">
      <c r="D435" s="150"/>
    </row>
    <row r="436" spans="4:4">
      <c r="D436" s="150"/>
    </row>
    <row r="437" spans="4:4">
      <c r="D437" s="150"/>
    </row>
    <row r="438" spans="4:4">
      <c r="D438" s="150"/>
    </row>
    <row r="439" spans="4:4">
      <c r="D439" s="150"/>
    </row>
    <row r="440" spans="4:4">
      <c r="D440" s="150"/>
    </row>
    <row r="441" spans="4:4">
      <c r="D441" s="150"/>
    </row>
    <row r="442" spans="4:4">
      <c r="D442" s="150"/>
    </row>
    <row r="443" spans="4:4">
      <c r="D443" s="150"/>
    </row>
    <row r="444" spans="4:4">
      <c r="D444" s="150"/>
    </row>
    <row r="445" spans="4:4">
      <c r="D445" s="150"/>
    </row>
    <row r="446" spans="4:4">
      <c r="D446" s="150"/>
    </row>
    <row r="447" spans="4:4">
      <c r="D447" s="150"/>
    </row>
    <row r="448" spans="4:4">
      <c r="D448" s="150"/>
    </row>
    <row r="449" spans="4:4">
      <c r="D449" s="150"/>
    </row>
    <row r="450" spans="4:4">
      <c r="D450" s="150"/>
    </row>
    <row r="451" spans="4:4">
      <c r="D451" s="150"/>
    </row>
    <row r="452" spans="4:4">
      <c r="D452" s="150"/>
    </row>
    <row r="453" spans="4:4">
      <c r="D453" s="150"/>
    </row>
    <row r="454" spans="4:4">
      <c r="D454" s="150"/>
    </row>
    <row r="455" spans="4:4">
      <c r="D455" s="150"/>
    </row>
    <row r="456" spans="4:4">
      <c r="D456" s="150"/>
    </row>
    <row r="457" spans="4:4">
      <c r="D457" s="150"/>
    </row>
    <row r="458" spans="4:4">
      <c r="D458" s="150"/>
    </row>
    <row r="459" spans="4:4">
      <c r="D459" s="150"/>
    </row>
    <row r="460" spans="4:4">
      <c r="D460" s="150"/>
    </row>
    <row r="461" spans="4:4">
      <c r="D461" s="150"/>
    </row>
    <row r="462" spans="4:4">
      <c r="D462" s="150"/>
    </row>
    <row r="463" spans="4:4">
      <c r="D463" s="150"/>
    </row>
    <row r="464" spans="4:4">
      <c r="D464" s="150"/>
    </row>
    <row r="465" spans="4:4">
      <c r="D465" s="150"/>
    </row>
    <row r="466" spans="4:4">
      <c r="D466" s="150"/>
    </row>
    <row r="467" spans="4:4">
      <c r="D467" s="150"/>
    </row>
    <row r="468" spans="4:4">
      <c r="D468" s="150"/>
    </row>
    <row r="469" spans="4:4">
      <c r="D469" s="150"/>
    </row>
    <row r="470" spans="4:4">
      <c r="D470" s="150"/>
    </row>
    <row r="471" spans="4:4">
      <c r="D471" s="150"/>
    </row>
    <row r="472" spans="4:4">
      <c r="D472" s="150"/>
    </row>
    <row r="473" spans="4:4">
      <c r="D473" s="150"/>
    </row>
    <row r="474" spans="4:4">
      <c r="D474" s="150"/>
    </row>
    <row r="475" spans="4:4">
      <c r="D475" s="150"/>
    </row>
    <row r="476" spans="4:4">
      <c r="D476" s="150"/>
    </row>
    <row r="477" spans="4:4">
      <c r="D477" s="150"/>
    </row>
    <row r="478" spans="4:4">
      <c r="D478" s="150"/>
    </row>
    <row r="479" spans="4:4">
      <c r="D479" s="150"/>
    </row>
    <row r="480" spans="4:4">
      <c r="D480" s="150"/>
    </row>
    <row r="481" spans="4:4">
      <c r="D481" s="150"/>
    </row>
    <row r="482" spans="4:4">
      <c r="D482" s="150"/>
    </row>
    <row r="483" spans="4:4">
      <c r="D483" s="150"/>
    </row>
    <row r="484" spans="4:4">
      <c r="D484" s="150"/>
    </row>
    <row r="485" spans="4:4">
      <c r="D485" s="150"/>
    </row>
    <row r="486" spans="4:4">
      <c r="D486" s="150"/>
    </row>
    <row r="487" spans="4:4">
      <c r="D487" s="150"/>
    </row>
    <row r="488" spans="4:4">
      <c r="D488" s="150"/>
    </row>
    <row r="489" spans="4:4">
      <c r="D489" s="150"/>
    </row>
    <row r="490" spans="4:4">
      <c r="D490" s="150"/>
    </row>
    <row r="491" spans="4:4">
      <c r="D491" s="150"/>
    </row>
    <row r="492" spans="4:4">
      <c r="D492" s="150"/>
    </row>
    <row r="493" spans="4:4">
      <c r="D493" s="150"/>
    </row>
    <row r="494" spans="4:4">
      <c r="D494" s="150"/>
    </row>
    <row r="495" spans="4:4">
      <c r="D495" s="150"/>
    </row>
    <row r="496" spans="4:4">
      <c r="D496" s="150"/>
    </row>
    <row r="497" spans="4:5">
      <c r="D497" s="150"/>
      <c r="E497" s="149"/>
    </row>
    <row r="498" spans="4:5">
      <c r="D498" s="150"/>
      <c r="E498" s="149"/>
    </row>
    <row r="499" spans="4:5">
      <c r="D499" s="150"/>
      <c r="E499" s="149"/>
    </row>
    <row r="500" spans="4:5">
      <c r="D500" s="150"/>
      <c r="E500" s="149"/>
    </row>
    <row r="501" spans="4:5">
      <c r="D501" s="150"/>
      <c r="E501" s="149"/>
    </row>
    <row r="502" spans="4:5">
      <c r="D502" s="150"/>
      <c r="E502" s="149"/>
    </row>
    <row r="503" spans="4:5">
      <c r="D503" s="150"/>
      <c r="E503" s="149"/>
    </row>
    <row r="504" spans="4:5">
      <c r="D504" s="150"/>
      <c r="E504" s="149"/>
    </row>
    <row r="505" spans="4:5">
      <c r="D505" s="150"/>
      <c r="E505" s="149"/>
    </row>
    <row r="506" spans="4:5">
      <c r="D506" s="150"/>
      <c r="E506" s="149"/>
    </row>
    <row r="507" spans="4:5">
      <c r="D507" s="150"/>
      <c r="E507" s="149"/>
    </row>
    <row r="508" spans="4:5">
      <c r="D508" s="150"/>
      <c r="E508" s="149"/>
    </row>
    <row r="509" spans="4:5">
      <c r="D509" s="150"/>
      <c r="E509" s="149"/>
    </row>
    <row r="510" spans="4:5">
      <c r="D510" s="150"/>
      <c r="E510" s="149"/>
    </row>
    <row r="511" spans="4:5">
      <c r="D511" s="149"/>
      <c r="E511" s="151"/>
    </row>
    <row r="512" spans="4:5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9" t="s" vm="1">
        <v>247</v>
      </c>
    </row>
    <row r="2" spans="2:18">
      <c r="B2" s="57" t="s">
        <v>176</v>
      </c>
      <c r="C2" s="79" t="s">
        <v>248</v>
      </c>
    </row>
    <row r="3" spans="2:18">
      <c r="B3" s="57" t="s">
        <v>178</v>
      </c>
      <c r="C3" s="79" t="s">
        <v>249</v>
      </c>
    </row>
    <row r="4" spans="2:18">
      <c r="B4" s="57" t="s">
        <v>179</v>
      </c>
      <c r="C4" s="79">
        <v>2144</v>
      </c>
    </row>
    <row r="6" spans="2:18" ht="26.25" customHeight="1">
      <c r="B6" s="207" t="s">
        <v>218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2" t="s">
        <v>114</v>
      </c>
      <c r="C7" s="30" t="s">
        <v>44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231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246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237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9" t="s" vm="1">
        <v>247</v>
      </c>
    </row>
    <row r="2" spans="2:18">
      <c r="B2" s="57" t="s">
        <v>176</v>
      </c>
      <c r="C2" s="79" t="s">
        <v>248</v>
      </c>
    </row>
    <row r="3" spans="2:18">
      <c r="B3" s="57" t="s">
        <v>178</v>
      </c>
      <c r="C3" s="79" t="s">
        <v>249</v>
      </c>
    </row>
    <row r="4" spans="2:18">
      <c r="B4" s="57" t="s">
        <v>179</v>
      </c>
      <c r="C4" s="79">
        <v>2144</v>
      </c>
    </row>
    <row r="6" spans="2:18" ht="26.25" customHeight="1">
      <c r="B6" s="207" t="s">
        <v>220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2:18" s="3" customFormat="1" ht="78.75">
      <c r="B7" s="22" t="s">
        <v>114</v>
      </c>
      <c r="C7" s="30" t="s">
        <v>44</v>
      </c>
      <c r="D7" s="30" t="s">
        <v>60</v>
      </c>
      <c r="E7" s="30" t="s">
        <v>15</v>
      </c>
      <c r="F7" s="30" t="s">
        <v>61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231</v>
      </c>
      <c r="M7" s="30" t="s">
        <v>216</v>
      </c>
      <c r="N7" s="30" t="s">
        <v>56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238</v>
      </c>
      <c r="M8" s="32" t="s">
        <v>234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246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237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0" workbookViewId="0">
      <selection activeCell="C41" sqref="C4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177</v>
      </c>
      <c r="C1" s="79" t="s" vm="1">
        <v>247</v>
      </c>
    </row>
    <row r="2" spans="2:53">
      <c r="B2" s="57" t="s">
        <v>176</v>
      </c>
      <c r="C2" s="79" t="s">
        <v>248</v>
      </c>
    </row>
    <row r="3" spans="2:53">
      <c r="B3" s="57" t="s">
        <v>178</v>
      </c>
      <c r="C3" s="79" t="s">
        <v>249</v>
      </c>
    </row>
    <row r="4" spans="2:53">
      <c r="B4" s="57" t="s">
        <v>179</v>
      </c>
      <c r="C4" s="79">
        <v>2144</v>
      </c>
    </row>
    <row r="6" spans="2:53" ht="21.75" customHeight="1">
      <c r="B6" s="198" t="s">
        <v>207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00"/>
    </row>
    <row r="7" spans="2:53" ht="27.75" customHeight="1">
      <c r="B7" s="201" t="s">
        <v>84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AU7" s="3"/>
      <c r="AV7" s="3"/>
    </row>
    <row r="8" spans="2:53" s="3" customFormat="1" ht="66" customHeight="1">
      <c r="B8" s="22" t="s">
        <v>113</v>
      </c>
      <c r="C8" s="30" t="s">
        <v>44</v>
      </c>
      <c r="D8" s="30" t="s">
        <v>117</v>
      </c>
      <c r="E8" s="30" t="s">
        <v>15</v>
      </c>
      <c r="F8" s="30" t="s">
        <v>61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231</v>
      </c>
      <c r="M8" s="30" t="s">
        <v>230</v>
      </c>
      <c r="N8" s="30" t="s">
        <v>245</v>
      </c>
      <c r="O8" s="30" t="s">
        <v>59</v>
      </c>
      <c r="P8" s="30" t="s">
        <v>233</v>
      </c>
      <c r="Q8" s="30" t="s">
        <v>180</v>
      </c>
      <c r="R8" s="73" t="s">
        <v>182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238</v>
      </c>
      <c r="M9" s="32"/>
      <c r="N9" s="16" t="s">
        <v>234</v>
      </c>
      <c r="O9" s="32" t="s">
        <v>239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0" t="s">
        <v>26</v>
      </c>
      <c r="C11" s="81"/>
      <c r="D11" s="81"/>
      <c r="E11" s="81"/>
      <c r="F11" s="81"/>
      <c r="G11" s="81"/>
      <c r="H11" s="89">
        <v>5.6033151365337428</v>
      </c>
      <c r="I11" s="81"/>
      <c r="J11" s="81"/>
      <c r="K11" s="90">
        <v>7.3681831865442171E-3</v>
      </c>
      <c r="L11" s="89"/>
      <c r="M11" s="91"/>
      <c r="N11" s="81"/>
      <c r="O11" s="89">
        <v>62579.888963649995</v>
      </c>
      <c r="P11" s="81"/>
      <c r="Q11" s="90">
        <f>O11/$O$11</f>
        <v>1</v>
      </c>
      <c r="R11" s="90">
        <f>O11/'סכום נכסי הקרן'!$C$42</f>
        <v>0.29934923256612511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2" t="s">
        <v>228</v>
      </c>
      <c r="C12" s="83"/>
      <c r="D12" s="83"/>
      <c r="E12" s="83"/>
      <c r="F12" s="83"/>
      <c r="G12" s="83"/>
      <c r="H12" s="92">
        <v>5.6033151365337428</v>
      </c>
      <c r="I12" s="83"/>
      <c r="J12" s="83"/>
      <c r="K12" s="93">
        <v>7.3681831865442162E-3</v>
      </c>
      <c r="L12" s="92"/>
      <c r="M12" s="94"/>
      <c r="N12" s="83"/>
      <c r="O12" s="92">
        <v>62579.888963649995</v>
      </c>
      <c r="P12" s="83"/>
      <c r="Q12" s="93">
        <f t="shared" ref="Q12:Q25" si="0">O12/$O$11</f>
        <v>1</v>
      </c>
      <c r="R12" s="93">
        <f>O12/'סכום נכסי הקרן'!$C$42</f>
        <v>0.29934923256612511</v>
      </c>
      <c r="AW12" s="4"/>
    </row>
    <row r="13" spans="2:53" s="101" customFormat="1">
      <c r="B13" s="131" t="s">
        <v>25</v>
      </c>
      <c r="C13" s="123"/>
      <c r="D13" s="123"/>
      <c r="E13" s="123"/>
      <c r="F13" s="123"/>
      <c r="G13" s="123"/>
      <c r="H13" s="124">
        <v>5.4439601650004983</v>
      </c>
      <c r="I13" s="123"/>
      <c r="J13" s="123"/>
      <c r="K13" s="125">
        <v>-1.755176341850519E-3</v>
      </c>
      <c r="L13" s="124"/>
      <c r="M13" s="127"/>
      <c r="N13" s="123"/>
      <c r="O13" s="124">
        <v>24900.769223649997</v>
      </c>
      <c r="P13" s="123"/>
      <c r="Q13" s="125">
        <f t="shared" si="0"/>
        <v>0.3979036977536633</v>
      </c>
      <c r="R13" s="125">
        <f>O13/'סכום נכסי הקרן'!$C$42</f>
        <v>0.11911216655778251</v>
      </c>
    </row>
    <row r="14" spans="2:53">
      <c r="B14" s="86" t="s">
        <v>24</v>
      </c>
      <c r="C14" s="83"/>
      <c r="D14" s="83"/>
      <c r="E14" s="83"/>
      <c r="F14" s="83"/>
      <c r="G14" s="83"/>
      <c r="H14" s="92">
        <v>5.4439601650004983</v>
      </c>
      <c r="I14" s="83"/>
      <c r="J14" s="83"/>
      <c r="K14" s="93">
        <v>-1.755176341850519E-3</v>
      </c>
      <c r="L14" s="92"/>
      <c r="M14" s="94"/>
      <c r="N14" s="83"/>
      <c r="O14" s="92">
        <v>24900.769223649997</v>
      </c>
      <c r="P14" s="83"/>
      <c r="Q14" s="93">
        <f t="shared" si="0"/>
        <v>0.3979036977536633</v>
      </c>
      <c r="R14" s="93">
        <f>O14/'סכום נכסי הקרן'!$C$42</f>
        <v>0.11911216655778251</v>
      </c>
    </row>
    <row r="15" spans="2:53">
      <c r="B15" s="87" t="s">
        <v>250</v>
      </c>
      <c r="C15" s="85" t="s">
        <v>251</v>
      </c>
      <c r="D15" s="98" t="s">
        <v>118</v>
      </c>
      <c r="E15" s="85" t="s">
        <v>252</v>
      </c>
      <c r="F15" s="85"/>
      <c r="G15" s="85"/>
      <c r="H15" s="95">
        <v>2.7299999999997291</v>
      </c>
      <c r="I15" s="98" t="s">
        <v>162</v>
      </c>
      <c r="J15" s="99">
        <v>0.04</v>
      </c>
      <c r="K15" s="96">
        <v>-5.799999999999853E-3</v>
      </c>
      <c r="L15" s="95">
        <v>2743373.785954</v>
      </c>
      <c r="M15" s="97">
        <v>148.85</v>
      </c>
      <c r="N15" s="85"/>
      <c r="O15" s="95">
        <v>4083.5117184069991</v>
      </c>
      <c r="P15" s="96">
        <v>1.7644763573113558E-4</v>
      </c>
      <c r="Q15" s="96">
        <f t="shared" si="0"/>
        <v>6.5252779863175181E-2</v>
      </c>
      <c r="R15" s="96">
        <f>O15/'סכום נכסי הקרן'!$C$42</f>
        <v>1.9533369574847793E-2</v>
      </c>
    </row>
    <row r="16" spans="2:53" ht="20.25">
      <c r="B16" s="87" t="s">
        <v>253</v>
      </c>
      <c r="C16" s="85" t="s">
        <v>254</v>
      </c>
      <c r="D16" s="98" t="s">
        <v>118</v>
      </c>
      <c r="E16" s="85" t="s">
        <v>252</v>
      </c>
      <c r="F16" s="85"/>
      <c r="G16" s="85"/>
      <c r="H16" s="95">
        <v>5.3600000000000554</v>
      </c>
      <c r="I16" s="98" t="s">
        <v>162</v>
      </c>
      <c r="J16" s="99">
        <v>0.04</v>
      </c>
      <c r="K16" s="96">
        <v>-2.9999999999889121E-4</v>
      </c>
      <c r="L16" s="95">
        <v>938431.01862199989</v>
      </c>
      <c r="M16" s="97">
        <v>153.77000000000001</v>
      </c>
      <c r="N16" s="85"/>
      <c r="O16" s="95">
        <v>1443.025349972</v>
      </c>
      <c r="P16" s="96">
        <v>8.8763235171288263E-5</v>
      </c>
      <c r="Q16" s="96">
        <f t="shared" si="0"/>
        <v>2.3058931133773539E-2</v>
      </c>
      <c r="R16" s="96">
        <f>O16/'סכום נכסי הקרן'!$C$42</f>
        <v>6.902673338690238E-3</v>
      </c>
      <c r="AU16" s="4"/>
    </row>
    <row r="17" spans="2:48" ht="20.25">
      <c r="B17" s="87" t="s">
        <v>255</v>
      </c>
      <c r="C17" s="85" t="s">
        <v>256</v>
      </c>
      <c r="D17" s="98" t="s">
        <v>118</v>
      </c>
      <c r="E17" s="85" t="s">
        <v>252</v>
      </c>
      <c r="F17" s="85"/>
      <c r="G17" s="85"/>
      <c r="H17" s="95">
        <v>8.4199999999999129</v>
      </c>
      <c r="I17" s="98" t="s">
        <v>162</v>
      </c>
      <c r="J17" s="99">
        <v>7.4999999999999997E-3</v>
      </c>
      <c r="K17" s="96">
        <v>4.099999999998773E-3</v>
      </c>
      <c r="L17" s="95">
        <v>2419454.0969679994</v>
      </c>
      <c r="M17" s="97">
        <v>104.47</v>
      </c>
      <c r="N17" s="85"/>
      <c r="O17" s="95">
        <v>2527.6037513909996</v>
      </c>
      <c r="P17" s="96">
        <v>2.282009788416564E-4</v>
      </c>
      <c r="Q17" s="96">
        <f t="shared" si="0"/>
        <v>4.0390032536797522E-2</v>
      </c>
      <c r="R17" s="96">
        <f>O17/'סכום נכסי הקרן'!$C$42</f>
        <v>1.2090725243211161E-2</v>
      </c>
      <c r="AV17" s="4"/>
    </row>
    <row r="18" spans="2:48">
      <c r="B18" s="87" t="s">
        <v>257</v>
      </c>
      <c r="C18" s="85" t="s">
        <v>258</v>
      </c>
      <c r="D18" s="98" t="s">
        <v>118</v>
      </c>
      <c r="E18" s="85" t="s">
        <v>252</v>
      </c>
      <c r="F18" s="85"/>
      <c r="G18" s="85"/>
      <c r="H18" s="95">
        <v>13.810000000001699</v>
      </c>
      <c r="I18" s="98" t="s">
        <v>162</v>
      </c>
      <c r="J18" s="99">
        <v>0.04</v>
      </c>
      <c r="K18" s="96">
        <v>1.0500000000002219E-2</v>
      </c>
      <c r="L18" s="95">
        <v>1906912.5786349997</v>
      </c>
      <c r="M18" s="97">
        <v>177.18</v>
      </c>
      <c r="N18" s="85"/>
      <c r="O18" s="95">
        <v>3378.6676658249999</v>
      </c>
      <c r="P18" s="96">
        <v>1.1755389270930867E-4</v>
      </c>
      <c r="Q18" s="96">
        <f t="shared" si="0"/>
        <v>5.3989671790365824E-2</v>
      </c>
      <c r="R18" s="96">
        <f>O18/'סכום נכסי הקרן'!$C$42</f>
        <v>1.6161766816942983E-2</v>
      </c>
      <c r="AU18" s="3"/>
    </row>
    <row r="19" spans="2:48">
      <c r="B19" s="87" t="s">
        <v>259</v>
      </c>
      <c r="C19" s="85" t="s">
        <v>260</v>
      </c>
      <c r="D19" s="98" t="s">
        <v>118</v>
      </c>
      <c r="E19" s="85" t="s">
        <v>252</v>
      </c>
      <c r="F19" s="85"/>
      <c r="G19" s="85"/>
      <c r="H19" s="95">
        <v>18.039999999989224</v>
      </c>
      <c r="I19" s="98" t="s">
        <v>162</v>
      </c>
      <c r="J19" s="99">
        <v>2.75E-2</v>
      </c>
      <c r="K19" s="96">
        <v>1.2999999999992722E-2</v>
      </c>
      <c r="L19" s="95">
        <v>397402.19344999996</v>
      </c>
      <c r="M19" s="97">
        <v>138.25</v>
      </c>
      <c r="N19" s="85"/>
      <c r="O19" s="95">
        <v>549.40855549799994</v>
      </c>
      <c r="P19" s="96">
        <v>2.248377295825809E-5</v>
      </c>
      <c r="Q19" s="96">
        <f t="shared" si="0"/>
        <v>8.7793149619860792E-3</v>
      </c>
      <c r="R19" s="96">
        <f>O19/'סכום נכסי הקרן'!$C$42</f>
        <v>2.6280811963268328E-3</v>
      </c>
      <c r="AV19" s="3"/>
    </row>
    <row r="20" spans="2:48">
      <c r="B20" s="87" t="s">
        <v>261</v>
      </c>
      <c r="C20" s="85" t="s">
        <v>262</v>
      </c>
      <c r="D20" s="98" t="s">
        <v>118</v>
      </c>
      <c r="E20" s="85" t="s">
        <v>252</v>
      </c>
      <c r="F20" s="85"/>
      <c r="G20" s="85"/>
      <c r="H20" s="95">
        <v>4.8500000000025434</v>
      </c>
      <c r="I20" s="98" t="s">
        <v>162</v>
      </c>
      <c r="J20" s="99">
        <v>1.7500000000000002E-2</v>
      </c>
      <c r="K20" s="96">
        <v>-1.7000000000010173E-3</v>
      </c>
      <c r="L20" s="95">
        <v>879082.24505299982</v>
      </c>
      <c r="M20" s="97">
        <v>111.8</v>
      </c>
      <c r="N20" s="85"/>
      <c r="O20" s="95">
        <v>982.81394326999998</v>
      </c>
      <c r="P20" s="96">
        <v>6.1383795429744117E-5</v>
      </c>
      <c r="Q20" s="96">
        <f t="shared" si="0"/>
        <v>1.5704948659159095E-2</v>
      </c>
      <c r="R20" s="96">
        <f>O20/'סכום נכסי הקרן'!$C$42</f>
        <v>4.70126432860967E-3</v>
      </c>
    </row>
    <row r="21" spans="2:48">
      <c r="B21" s="87" t="s">
        <v>263</v>
      </c>
      <c r="C21" s="85" t="s">
        <v>264</v>
      </c>
      <c r="D21" s="98" t="s">
        <v>118</v>
      </c>
      <c r="E21" s="85" t="s">
        <v>252</v>
      </c>
      <c r="F21" s="85"/>
      <c r="G21" s="85"/>
      <c r="H21" s="95">
        <v>1.0600000000001679</v>
      </c>
      <c r="I21" s="98" t="s">
        <v>162</v>
      </c>
      <c r="J21" s="99">
        <v>0.03</v>
      </c>
      <c r="K21" s="96">
        <v>-8.9000000000013166E-3</v>
      </c>
      <c r="L21" s="95">
        <v>3532785.2976089995</v>
      </c>
      <c r="M21" s="97">
        <v>118.16</v>
      </c>
      <c r="N21" s="85"/>
      <c r="O21" s="95">
        <v>4174.3389765049997</v>
      </c>
      <c r="P21" s="96">
        <v>2.3044524542011974E-4</v>
      </c>
      <c r="Q21" s="96">
        <f t="shared" si="0"/>
        <v>6.6704160803636073E-2</v>
      </c>
      <c r="R21" s="96">
        <f>O21/'סכום נכסי הקרן'!$C$42</f>
        <v>1.9967839345535861E-2</v>
      </c>
    </row>
    <row r="22" spans="2:48">
      <c r="B22" s="87" t="s">
        <v>265</v>
      </c>
      <c r="C22" s="85" t="s">
        <v>266</v>
      </c>
      <c r="D22" s="98" t="s">
        <v>118</v>
      </c>
      <c r="E22" s="85" t="s">
        <v>252</v>
      </c>
      <c r="F22" s="85"/>
      <c r="G22" s="85"/>
      <c r="H22" s="95">
        <v>2.0900000000000336</v>
      </c>
      <c r="I22" s="98" t="s">
        <v>162</v>
      </c>
      <c r="J22" s="99">
        <v>1E-3</v>
      </c>
      <c r="K22" s="96">
        <v>-6.9000000000003373E-3</v>
      </c>
      <c r="L22" s="95">
        <v>4332998.9200779991</v>
      </c>
      <c r="M22" s="97">
        <v>102.87</v>
      </c>
      <c r="N22" s="85"/>
      <c r="O22" s="95">
        <v>4457.3559581649988</v>
      </c>
      <c r="P22" s="96">
        <v>2.8590388705190258E-4</v>
      </c>
      <c r="Q22" s="96">
        <f t="shared" si="0"/>
        <v>7.1226651756350803E-2</v>
      </c>
      <c r="R22" s="96">
        <f>O22/'סכום נכסי הקרן'!$C$42</f>
        <v>2.1321643541518259E-2</v>
      </c>
    </row>
    <row r="23" spans="2:48">
      <c r="B23" s="87" t="s">
        <v>267</v>
      </c>
      <c r="C23" s="85" t="s">
        <v>268</v>
      </c>
      <c r="D23" s="98" t="s">
        <v>118</v>
      </c>
      <c r="E23" s="85" t="s">
        <v>252</v>
      </c>
      <c r="F23" s="85"/>
      <c r="G23" s="85"/>
      <c r="H23" s="95">
        <v>6.9000000000023611</v>
      </c>
      <c r="I23" s="98" t="s">
        <v>162</v>
      </c>
      <c r="J23" s="99">
        <v>7.4999999999999997E-3</v>
      </c>
      <c r="K23" s="96">
        <v>1.8000000000074992E-3</v>
      </c>
      <c r="L23" s="95">
        <v>683210.31591399992</v>
      </c>
      <c r="M23" s="97">
        <v>105.4</v>
      </c>
      <c r="N23" s="85"/>
      <c r="O23" s="95">
        <v>720.10366754699987</v>
      </c>
      <c r="P23" s="96">
        <v>4.9020502767837177E-5</v>
      </c>
      <c r="Q23" s="96">
        <f t="shared" si="0"/>
        <v>1.150695022749685E-2</v>
      </c>
      <c r="R23" s="96">
        <f>O23/'סכום נכסי הקרן'!$C$42</f>
        <v>3.4445967197777802E-3</v>
      </c>
    </row>
    <row r="24" spans="2:48">
      <c r="B24" s="87" t="s">
        <v>269</v>
      </c>
      <c r="C24" s="85" t="s">
        <v>270</v>
      </c>
      <c r="D24" s="98" t="s">
        <v>118</v>
      </c>
      <c r="E24" s="85" t="s">
        <v>252</v>
      </c>
      <c r="F24" s="85"/>
      <c r="G24" s="85"/>
      <c r="H24" s="95">
        <v>23.220000000000866</v>
      </c>
      <c r="I24" s="98" t="s">
        <v>162</v>
      </c>
      <c r="J24" s="99">
        <v>0.01</v>
      </c>
      <c r="K24" s="96">
        <v>1.5299999999991354E-2</v>
      </c>
      <c r="L24" s="95">
        <v>309019.84852399991</v>
      </c>
      <c r="M24" s="97">
        <v>89.81</v>
      </c>
      <c r="N24" s="85"/>
      <c r="O24" s="95">
        <v>277.53074760799996</v>
      </c>
      <c r="P24" s="96">
        <v>2.9497978422803347E-5</v>
      </c>
      <c r="Q24" s="96">
        <f t="shared" si="0"/>
        <v>4.4348232667719466E-3</v>
      </c>
      <c r="R24" s="96">
        <f>O24/'סכום נכסי הקרן'!$C$42</f>
        <v>1.327560941474578E-3</v>
      </c>
    </row>
    <row r="25" spans="2:48">
      <c r="B25" s="87" t="s">
        <v>271</v>
      </c>
      <c r="C25" s="85" t="s">
        <v>272</v>
      </c>
      <c r="D25" s="98" t="s">
        <v>118</v>
      </c>
      <c r="E25" s="85" t="s">
        <v>252</v>
      </c>
      <c r="F25" s="85"/>
      <c r="G25" s="85"/>
      <c r="H25" s="95">
        <v>3.8600000000007282</v>
      </c>
      <c r="I25" s="98" t="s">
        <v>162</v>
      </c>
      <c r="J25" s="99">
        <v>2.75E-2</v>
      </c>
      <c r="K25" s="96">
        <v>-3.7000000000002599E-3</v>
      </c>
      <c r="L25" s="95">
        <v>1971626.6869589998</v>
      </c>
      <c r="M25" s="97">
        <v>116.98</v>
      </c>
      <c r="N25" s="85"/>
      <c r="O25" s="95">
        <v>2306.4088894619999</v>
      </c>
      <c r="P25" s="96">
        <v>1.1890707130220658E-4</v>
      </c>
      <c r="Q25" s="96">
        <f t="shared" si="0"/>
        <v>3.6855432754150382E-2</v>
      </c>
      <c r="R25" s="96">
        <f>O25/'סכום נכסי הקרן'!$C$42</f>
        <v>1.1032645510847346E-2</v>
      </c>
    </row>
    <row r="26" spans="2:48">
      <c r="B26" s="88"/>
      <c r="C26" s="85"/>
      <c r="D26" s="85"/>
      <c r="E26" s="85"/>
      <c r="F26" s="85"/>
      <c r="G26" s="85"/>
      <c r="H26" s="85"/>
      <c r="I26" s="85"/>
      <c r="J26" s="85"/>
      <c r="K26" s="96"/>
      <c r="L26" s="95"/>
      <c r="M26" s="97"/>
      <c r="N26" s="85"/>
      <c r="O26" s="85"/>
      <c r="P26" s="85"/>
      <c r="Q26" s="96"/>
      <c r="R26" s="85"/>
    </row>
    <row r="27" spans="2:48" s="101" customFormat="1">
      <c r="B27" s="131" t="s">
        <v>45</v>
      </c>
      <c r="C27" s="123"/>
      <c r="D27" s="123"/>
      <c r="E27" s="123"/>
      <c r="F27" s="123"/>
      <c r="G27" s="123"/>
      <c r="H27" s="124">
        <v>5.7086270811378563</v>
      </c>
      <c r="I27" s="123"/>
      <c r="J27" s="123"/>
      <c r="K27" s="125">
        <v>1.339748195277239E-2</v>
      </c>
      <c r="L27" s="124"/>
      <c r="M27" s="127"/>
      <c r="N27" s="123"/>
      <c r="O27" s="124">
        <v>37679.119739999995</v>
      </c>
      <c r="P27" s="123"/>
      <c r="Q27" s="125">
        <f t="shared" ref="Q27:Q43" si="1">O27/$O$11</f>
        <v>0.6020963022463367</v>
      </c>
      <c r="R27" s="125">
        <f>O27/'סכום נכסי הקרן'!$C$42</f>
        <v>0.18023706600834258</v>
      </c>
    </row>
    <row r="28" spans="2:48">
      <c r="B28" s="86" t="s">
        <v>23</v>
      </c>
      <c r="C28" s="83"/>
      <c r="D28" s="83"/>
      <c r="E28" s="83"/>
      <c r="F28" s="83"/>
      <c r="G28" s="83"/>
      <c r="H28" s="92">
        <v>5.7086270811378563</v>
      </c>
      <c r="I28" s="83"/>
      <c r="J28" s="83"/>
      <c r="K28" s="93">
        <v>1.339748195277239E-2</v>
      </c>
      <c r="L28" s="92"/>
      <c r="M28" s="94"/>
      <c r="N28" s="83"/>
      <c r="O28" s="92">
        <v>37679.119739999995</v>
      </c>
      <c r="P28" s="83"/>
      <c r="Q28" s="93">
        <f t="shared" si="1"/>
        <v>0.6020963022463367</v>
      </c>
      <c r="R28" s="93">
        <f>O28/'סכום נכסי הקרן'!$C$42</f>
        <v>0.18023706600834258</v>
      </c>
    </row>
    <row r="29" spans="2:48">
      <c r="B29" s="87" t="s">
        <v>273</v>
      </c>
      <c r="C29" s="85" t="s">
        <v>274</v>
      </c>
      <c r="D29" s="98" t="s">
        <v>118</v>
      </c>
      <c r="E29" s="85" t="s">
        <v>252</v>
      </c>
      <c r="F29" s="85"/>
      <c r="G29" s="85"/>
      <c r="H29" s="95">
        <v>0.42</v>
      </c>
      <c r="I29" s="98" t="s">
        <v>162</v>
      </c>
      <c r="J29" s="99">
        <v>0.06</v>
      </c>
      <c r="K29" s="96">
        <v>1.3999999999999998E-3</v>
      </c>
      <c r="L29" s="95">
        <v>21.999999999999996</v>
      </c>
      <c r="M29" s="97">
        <v>105.94</v>
      </c>
      <c r="N29" s="85"/>
      <c r="O29" s="95">
        <v>2.3299999999999998E-2</v>
      </c>
      <c r="P29" s="96">
        <v>1.5469746011378638E-9</v>
      </c>
      <c r="Q29" s="96">
        <f t="shared" si="1"/>
        <v>3.7232408663323102E-7</v>
      </c>
      <c r="R29" s="96">
        <f>O29/'סכום נכסי הקרן'!$C$42</f>
        <v>1.1145492959954118E-7</v>
      </c>
    </row>
    <row r="30" spans="2:48">
      <c r="B30" s="87" t="s">
        <v>275</v>
      </c>
      <c r="C30" s="85" t="s">
        <v>276</v>
      </c>
      <c r="D30" s="98" t="s">
        <v>118</v>
      </c>
      <c r="E30" s="85" t="s">
        <v>252</v>
      </c>
      <c r="F30" s="85"/>
      <c r="G30" s="85"/>
      <c r="H30" s="95">
        <v>6.5299999999999985</v>
      </c>
      <c r="I30" s="98" t="s">
        <v>162</v>
      </c>
      <c r="J30" s="99">
        <v>6.25E-2</v>
      </c>
      <c r="K30" s="96">
        <v>1.8999999999999996E-2</v>
      </c>
      <c r="L30" s="95">
        <v>787630.99999999988</v>
      </c>
      <c r="M30" s="97">
        <v>138.05000000000001</v>
      </c>
      <c r="N30" s="85"/>
      <c r="O30" s="95">
        <v>1087.3246100000001</v>
      </c>
      <c r="P30" s="96">
        <v>4.6433961091612423E-5</v>
      </c>
      <c r="Q30" s="96">
        <f t="shared" si="1"/>
        <v>1.7374984647728936E-2</v>
      </c>
      <c r="R30" s="96">
        <f>O30/'סכום נכסי הקרן'!$C$42</f>
        <v>5.2011883201458619E-3</v>
      </c>
    </row>
    <row r="31" spans="2:48">
      <c r="B31" s="87" t="s">
        <v>277</v>
      </c>
      <c r="C31" s="85" t="s">
        <v>278</v>
      </c>
      <c r="D31" s="98" t="s">
        <v>118</v>
      </c>
      <c r="E31" s="85" t="s">
        <v>252</v>
      </c>
      <c r="F31" s="85"/>
      <c r="G31" s="85"/>
      <c r="H31" s="95">
        <v>5.0299999999999994</v>
      </c>
      <c r="I31" s="98" t="s">
        <v>162</v>
      </c>
      <c r="J31" s="99">
        <v>3.7499999999999999E-2</v>
      </c>
      <c r="K31" s="96">
        <v>1.4400000000000001E-2</v>
      </c>
      <c r="L31" s="95">
        <v>418477.99999999994</v>
      </c>
      <c r="M31" s="97">
        <v>114.03</v>
      </c>
      <c r="N31" s="85"/>
      <c r="O31" s="95">
        <v>477.19045999999992</v>
      </c>
      <c r="P31" s="96">
        <v>2.6642794486478817E-5</v>
      </c>
      <c r="Q31" s="96">
        <f t="shared" si="1"/>
        <v>7.6253005223000572E-3</v>
      </c>
      <c r="R31" s="96">
        <f>O31/'סכום נכסי הקרן'!$C$42</f>
        <v>2.282627859436595E-3</v>
      </c>
    </row>
    <row r="32" spans="2:48">
      <c r="B32" s="87" t="s">
        <v>279</v>
      </c>
      <c r="C32" s="85" t="s">
        <v>280</v>
      </c>
      <c r="D32" s="98" t="s">
        <v>118</v>
      </c>
      <c r="E32" s="85" t="s">
        <v>252</v>
      </c>
      <c r="F32" s="85"/>
      <c r="G32" s="85"/>
      <c r="H32" s="95">
        <v>18.2</v>
      </c>
      <c r="I32" s="98" t="s">
        <v>162</v>
      </c>
      <c r="J32" s="99">
        <v>3.7499999999999999E-2</v>
      </c>
      <c r="K32" s="96">
        <v>3.2099999999999997E-2</v>
      </c>
      <c r="L32" s="95">
        <v>1170667.9999999998</v>
      </c>
      <c r="M32" s="97">
        <v>111.75</v>
      </c>
      <c r="N32" s="85"/>
      <c r="O32" s="95">
        <v>1308.2215099999999</v>
      </c>
      <c r="P32" s="96">
        <v>1.5443398732886406E-4</v>
      </c>
      <c r="Q32" s="96">
        <f t="shared" si="1"/>
        <v>2.0904823125523445E-2</v>
      </c>
      <c r="R32" s="96">
        <f>O32/'סכום נכסי הקרן'!$C$42</f>
        <v>6.2578427595560279E-3</v>
      </c>
    </row>
    <row r="33" spans="2:18">
      <c r="B33" s="87" t="s">
        <v>281</v>
      </c>
      <c r="C33" s="85" t="s">
        <v>282</v>
      </c>
      <c r="D33" s="98" t="s">
        <v>118</v>
      </c>
      <c r="E33" s="85" t="s">
        <v>252</v>
      </c>
      <c r="F33" s="85"/>
      <c r="G33" s="85"/>
      <c r="H33" s="95">
        <v>0.67</v>
      </c>
      <c r="I33" s="98" t="s">
        <v>162</v>
      </c>
      <c r="J33" s="99">
        <v>2.2499999999999999E-2</v>
      </c>
      <c r="K33" s="96">
        <v>1.8E-3</v>
      </c>
      <c r="L33" s="95">
        <v>1136500.9999999998</v>
      </c>
      <c r="M33" s="97">
        <v>102.13</v>
      </c>
      <c r="N33" s="85"/>
      <c r="O33" s="95">
        <v>1160.7085299999999</v>
      </c>
      <c r="P33" s="96">
        <v>5.9119753679180542E-5</v>
      </c>
      <c r="Q33" s="96">
        <f t="shared" si="1"/>
        <v>1.8547628466937777E-2</v>
      </c>
      <c r="R33" s="96">
        <f>O33/'סכום נכסי הקרן'!$C$42</f>
        <v>5.5522183474994392E-3</v>
      </c>
    </row>
    <row r="34" spans="2:18">
      <c r="B34" s="87" t="s">
        <v>283</v>
      </c>
      <c r="C34" s="85" t="s">
        <v>284</v>
      </c>
      <c r="D34" s="98" t="s">
        <v>118</v>
      </c>
      <c r="E34" s="85" t="s">
        <v>252</v>
      </c>
      <c r="F34" s="85"/>
      <c r="G34" s="85"/>
      <c r="H34" s="95">
        <v>4.0499999999999989</v>
      </c>
      <c r="I34" s="98" t="s">
        <v>162</v>
      </c>
      <c r="J34" s="99">
        <v>1.2500000000000001E-2</v>
      </c>
      <c r="K34" s="96">
        <v>1.1499999999999996E-2</v>
      </c>
      <c r="L34" s="95">
        <v>7059670.9999999991</v>
      </c>
      <c r="M34" s="97">
        <v>101.44</v>
      </c>
      <c r="N34" s="85"/>
      <c r="O34" s="95">
        <v>7161.3299800000004</v>
      </c>
      <c r="P34" s="96">
        <v>5.5735638127795296E-4</v>
      </c>
      <c r="Q34" s="96">
        <f t="shared" si="1"/>
        <v>0.11443500617522209</v>
      </c>
      <c r="R34" s="96">
        <f>O34/'סכום נכסי הקרן'!$C$42</f>
        <v>3.4256031277252519E-2</v>
      </c>
    </row>
    <row r="35" spans="2:18">
      <c r="B35" s="87" t="s">
        <v>285</v>
      </c>
      <c r="C35" s="85" t="s">
        <v>286</v>
      </c>
      <c r="D35" s="98" t="s">
        <v>118</v>
      </c>
      <c r="E35" s="85" t="s">
        <v>252</v>
      </c>
      <c r="F35" s="85"/>
      <c r="G35" s="85"/>
      <c r="H35" s="95">
        <v>2.33</v>
      </c>
      <c r="I35" s="98" t="s">
        <v>162</v>
      </c>
      <c r="J35" s="99">
        <v>5.0000000000000001E-3</v>
      </c>
      <c r="K35" s="96">
        <v>6.1000000000000013E-3</v>
      </c>
      <c r="L35" s="95">
        <v>5349255.9999999991</v>
      </c>
      <c r="M35" s="97">
        <v>100.08</v>
      </c>
      <c r="N35" s="85"/>
      <c r="O35" s="95">
        <v>5353.5352399999992</v>
      </c>
      <c r="P35" s="96">
        <v>6.7628122546559263E-4</v>
      </c>
      <c r="Q35" s="96">
        <f t="shared" si="1"/>
        <v>8.554721538591481E-2</v>
      </c>
      <c r="R35" s="96">
        <f>O35/'סכום נכסי הקרן'!$C$42</f>
        <v>2.5608493273942608E-2</v>
      </c>
    </row>
    <row r="36" spans="2:18">
      <c r="B36" s="87" t="s">
        <v>287</v>
      </c>
      <c r="C36" s="85" t="s">
        <v>288</v>
      </c>
      <c r="D36" s="98" t="s">
        <v>118</v>
      </c>
      <c r="E36" s="85" t="s">
        <v>252</v>
      </c>
      <c r="F36" s="85"/>
      <c r="G36" s="85"/>
      <c r="H36" s="95">
        <v>3.069999999999999</v>
      </c>
      <c r="I36" s="98" t="s">
        <v>162</v>
      </c>
      <c r="J36" s="99">
        <v>5.5E-2</v>
      </c>
      <c r="K36" s="96">
        <v>8.8999999999999982E-3</v>
      </c>
      <c r="L36" s="95">
        <v>2018478.9999999998</v>
      </c>
      <c r="M36" s="97">
        <v>118.75</v>
      </c>
      <c r="N36" s="85"/>
      <c r="O36" s="95">
        <v>2396.9437200000002</v>
      </c>
      <c r="P36" s="96">
        <v>1.1240434533560294E-4</v>
      </c>
      <c r="Q36" s="96">
        <f t="shared" si="1"/>
        <v>3.8302140826620562E-2</v>
      </c>
      <c r="R36" s="96">
        <f>O36/'סכום נכסי הקרן'!$C$42</f>
        <v>1.1465716462088514E-2</v>
      </c>
    </row>
    <row r="37" spans="2:18">
      <c r="B37" s="87" t="s">
        <v>289</v>
      </c>
      <c r="C37" s="85" t="s">
        <v>290</v>
      </c>
      <c r="D37" s="98" t="s">
        <v>118</v>
      </c>
      <c r="E37" s="85" t="s">
        <v>252</v>
      </c>
      <c r="F37" s="85"/>
      <c r="G37" s="85"/>
      <c r="H37" s="95">
        <v>14.930000000000001</v>
      </c>
      <c r="I37" s="98" t="s">
        <v>162</v>
      </c>
      <c r="J37" s="99">
        <v>5.5E-2</v>
      </c>
      <c r="K37" s="96">
        <v>2.9700000000000001E-2</v>
      </c>
      <c r="L37" s="95">
        <v>3458221.9999999995</v>
      </c>
      <c r="M37" s="97">
        <v>145.85</v>
      </c>
      <c r="N37" s="85"/>
      <c r="O37" s="95">
        <v>5043.8169199999993</v>
      </c>
      <c r="P37" s="96">
        <v>1.8914311635996053E-4</v>
      </c>
      <c r="Q37" s="96">
        <f t="shared" si="1"/>
        <v>8.0598048407048775E-2</v>
      </c>
      <c r="R37" s="96">
        <f>O37/'סכום נכסי הקרן'!$C$42</f>
        <v>2.4126963936977448E-2</v>
      </c>
    </row>
    <row r="38" spans="2:18">
      <c r="B38" s="87" t="s">
        <v>291</v>
      </c>
      <c r="C38" s="85" t="s">
        <v>292</v>
      </c>
      <c r="D38" s="98" t="s">
        <v>118</v>
      </c>
      <c r="E38" s="85" t="s">
        <v>252</v>
      </c>
      <c r="F38" s="85"/>
      <c r="G38" s="85"/>
      <c r="H38" s="95">
        <v>4.1399999999999997</v>
      </c>
      <c r="I38" s="98" t="s">
        <v>162</v>
      </c>
      <c r="J38" s="99">
        <v>4.2500000000000003E-2</v>
      </c>
      <c r="K38" s="96">
        <v>1.18E-2</v>
      </c>
      <c r="L38" s="95">
        <v>482765.99999999994</v>
      </c>
      <c r="M38" s="97">
        <v>115.5</v>
      </c>
      <c r="N38" s="85"/>
      <c r="O38" s="95">
        <v>557.59471999999994</v>
      </c>
      <c r="P38" s="96">
        <v>2.6165415882516021E-5</v>
      </c>
      <c r="Q38" s="96">
        <f t="shared" si="1"/>
        <v>8.9101263877902227E-3</v>
      </c>
      <c r="R38" s="96">
        <f>O38/'סכום נכסי הקרן'!$C$42</f>
        <v>2.6672394962521835E-3</v>
      </c>
    </row>
    <row r="39" spans="2:18">
      <c r="B39" s="87" t="s">
        <v>293</v>
      </c>
      <c r="C39" s="85" t="s">
        <v>294</v>
      </c>
      <c r="D39" s="98" t="s">
        <v>118</v>
      </c>
      <c r="E39" s="85" t="s">
        <v>252</v>
      </c>
      <c r="F39" s="85"/>
      <c r="G39" s="85"/>
      <c r="H39" s="95">
        <v>7.83</v>
      </c>
      <c r="I39" s="98" t="s">
        <v>162</v>
      </c>
      <c r="J39" s="99">
        <v>0.02</v>
      </c>
      <c r="K39" s="96">
        <v>0.02</v>
      </c>
      <c r="L39" s="95">
        <v>4071544.9999999995</v>
      </c>
      <c r="M39" s="97">
        <v>101.03</v>
      </c>
      <c r="N39" s="85"/>
      <c r="O39" s="95">
        <v>4113.4818799999994</v>
      </c>
      <c r="P39" s="96">
        <v>2.8543660009867981E-4</v>
      </c>
      <c r="Q39" s="96">
        <f t="shared" si="1"/>
        <v>6.5731690294135017E-2</v>
      </c>
      <c r="R39" s="96">
        <f>O39/'סכום נכסי הקרן'!$C$42</f>
        <v>1.967673104482353E-2</v>
      </c>
    </row>
    <row r="40" spans="2:18">
      <c r="B40" s="87" t="s">
        <v>295</v>
      </c>
      <c r="C40" s="85" t="s">
        <v>296</v>
      </c>
      <c r="D40" s="98" t="s">
        <v>118</v>
      </c>
      <c r="E40" s="85" t="s">
        <v>252</v>
      </c>
      <c r="F40" s="85"/>
      <c r="G40" s="85"/>
      <c r="H40" s="95">
        <v>2.5599999999999996</v>
      </c>
      <c r="I40" s="98" t="s">
        <v>162</v>
      </c>
      <c r="J40" s="99">
        <v>0.01</v>
      </c>
      <c r="K40" s="96">
        <v>6.8999999999999981E-3</v>
      </c>
      <c r="L40" s="95">
        <v>5524172.9999999991</v>
      </c>
      <c r="M40" s="97">
        <v>101.21</v>
      </c>
      <c r="N40" s="85"/>
      <c r="O40" s="95">
        <v>5591.0157399999998</v>
      </c>
      <c r="P40" s="96">
        <v>3.793136217734031E-4</v>
      </c>
      <c r="Q40" s="96">
        <f t="shared" si="1"/>
        <v>8.9342052735944991E-2</v>
      </c>
      <c r="R40" s="96">
        <f>O40/'סכום נכסי הקרן'!$C$42</f>
        <v>2.674447492238741E-2</v>
      </c>
    </row>
    <row r="41" spans="2:18">
      <c r="B41" s="87" t="s">
        <v>297</v>
      </c>
      <c r="C41" s="85" t="s">
        <v>298</v>
      </c>
      <c r="D41" s="98" t="s">
        <v>118</v>
      </c>
      <c r="E41" s="85" t="s">
        <v>252</v>
      </c>
      <c r="F41" s="85"/>
      <c r="G41" s="85"/>
      <c r="H41" s="95">
        <v>6.58</v>
      </c>
      <c r="I41" s="98" t="s">
        <v>162</v>
      </c>
      <c r="J41" s="99">
        <v>1.7500000000000002E-2</v>
      </c>
      <c r="K41" s="96">
        <v>1.7800000000000003E-2</v>
      </c>
      <c r="L41" s="95">
        <v>599527.99999999988</v>
      </c>
      <c r="M41" s="97">
        <v>99.93</v>
      </c>
      <c r="N41" s="85"/>
      <c r="O41" s="95">
        <v>599.1083299999998</v>
      </c>
      <c r="P41" s="96">
        <v>3.4499716476789935E-5</v>
      </c>
      <c r="Q41" s="96">
        <f t="shared" si="1"/>
        <v>9.5734962129446471E-3</v>
      </c>
      <c r="R41" s="96">
        <f>O41/'סכום נכסי הקרן'!$C$42</f>
        <v>2.8658187443196853E-3</v>
      </c>
    </row>
    <row r="42" spans="2:18">
      <c r="B42" s="87" t="s">
        <v>299</v>
      </c>
      <c r="C42" s="85" t="s">
        <v>300</v>
      </c>
      <c r="D42" s="98" t="s">
        <v>118</v>
      </c>
      <c r="E42" s="85" t="s">
        <v>252</v>
      </c>
      <c r="F42" s="85"/>
      <c r="G42" s="85"/>
      <c r="H42" s="95">
        <v>9.0799999999999983</v>
      </c>
      <c r="I42" s="98" t="s">
        <v>162</v>
      </c>
      <c r="J42" s="99">
        <v>2.2499999999999999E-2</v>
      </c>
      <c r="K42" s="96">
        <v>2.1999999999999992E-2</v>
      </c>
      <c r="L42" s="95">
        <v>53601.999999999993</v>
      </c>
      <c r="M42" s="97">
        <v>100.4</v>
      </c>
      <c r="N42" s="85"/>
      <c r="O42" s="95">
        <v>53.816410000000005</v>
      </c>
      <c r="P42" s="96">
        <v>1.6877204030226699E-5</v>
      </c>
      <c r="Q42" s="96">
        <f t="shared" si="1"/>
        <v>8.5996333472658721E-4</v>
      </c>
      <c r="R42" s="96">
        <f>O42/'סכום נכסי הקרן'!$C$42</f>
        <v>2.5742936428540966E-4</v>
      </c>
    </row>
    <row r="43" spans="2:18">
      <c r="B43" s="87" t="s">
        <v>301</v>
      </c>
      <c r="C43" s="85" t="s">
        <v>302</v>
      </c>
      <c r="D43" s="98" t="s">
        <v>118</v>
      </c>
      <c r="E43" s="85" t="s">
        <v>252</v>
      </c>
      <c r="F43" s="85"/>
      <c r="G43" s="85"/>
      <c r="H43" s="95">
        <v>1.2999999999999998</v>
      </c>
      <c r="I43" s="98" t="s">
        <v>162</v>
      </c>
      <c r="J43" s="99">
        <v>0.05</v>
      </c>
      <c r="K43" s="96">
        <v>2.8000000000000004E-3</v>
      </c>
      <c r="L43" s="95">
        <v>2531941.9999999995</v>
      </c>
      <c r="M43" s="97">
        <v>109.6</v>
      </c>
      <c r="N43" s="85"/>
      <c r="O43" s="95">
        <v>2775.00839</v>
      </c>
      <c r="P43" s="96">
        <v>1.3679392430886959E-4</v>
      </c>
      <c r="Q43" s="96">
        <f t="shared" si="1"/>
        <v>4.4343453399412147E-2</v>
      </c>
      <c r="R43" s="96">
        <f>O43/'סכום נכסי הקרן'!$C$42</f>
        <v>1.3274178744445756E-2</v>
      </c>
    </row>
    <row r="44" spans="2:18">
      <c r="C44" s="1"/>
      <c r="D44" s="1"/>
    </row>
    <row r="45" spans="2:18">
      <c r="C45" s="1"/>
      <c r="D45" s="1"/>
    </row>
    <row r="46" spans="2:18">
      <c r="C46" s="1"/>
      <c r="D46" s="1"/>
    </row>
    <row r="47" spans="2:18">
      <c r="B47" s="100" t="s">
        <v>110</v>
      </c>
      <c r="C47" s="101"/>
      <c r="D47" s="101"/>
    </row>
    <row r="48" spans="2:18">
      <c r="B48" s="100" t="s">
        <v>229</v>
      </c>
      <c r="C48" s="101"/>
      <c r="D48" s="101"/>
    </row>
    <row r="49" spans="2:4">
      <c r="B49" s="204" t="s">
        <v>237</v>
      </c>
      <c r="C49" s="204"/>
      <c r="D49" s="204"/>
    </row>
    <row r="50" spans="2:4">
      <c r="C50" s="1"/>
      <c r="D50" s="1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9:D49"/>
  </mergeCells>
  <phoneticPr fontId="5" type="noConversion"/>
  <dataValidations count="1">
    <dataValidation allowBlank="1" showInputMessage="1" showErrorMessage="1" sqref="N10:Q10 N9 N1:N7 N32:N1048576 C5:C29 O1:Q9 O11:Q1048576 B50:B1048576 J1:M1048576 E1:I30 B47:B49 D1:D29 R1:AF1048576 AJ1:XFD1048576 AG1:AI27 AG31:AI1048576 C47:D48 A1:A1048576 B1:B46 E32:I1048576 C32:D46 C5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177</v>
      </c>
      <c r="C1" s="79" t="s" vm="1">
        <v>247</v>
      </c>
    </row>
    <row r="2" spans="2:67">
      <c r="B2" s="57" t="s">
        <v>176</v>
      </c>
      <c r="C2" s="79" t="s">
        <v>248</v>
      </c>
    </row>
    <row r="3" spans="2:67">
      <c r="B3" s="57" t="s">
        <v>178</v>
      </c>
      <c r="C3" s="79" t="s">
        <v>249</v>
      </c>
    </row>
    <row r="4" spans="2:67">
      <c r="B4" s="57" t="s">
        <v>179</v>
      </c>
      <c r="C4" s="79">
        <v>2144</v>
      </c>
    </row>
    <row r="6" spans="2:67" ht="26.25" customHeight="1">
      <c r="B6" s="201" t="s">
        <v>207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6"/>
      <c r="BO6" s="3"/>
    </row>
    <row r="7" spans="2:67" ht="26.25" customHeight="1">
      <c r="B7" s="201" t="s">
        <v>85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  <c r="AZ7" s="44"/>
      <c r="BJ7" s="3"/>
      <c r="BO7" s="3"/>
    </row>
    <row r="8" spans="2:67" s="3" customFormat="1" ht="78.75">
      <c r="B8" s="38" t="s">
        <v>113</v>
      </c>
      <c r="C8" s="13" t="s">
        <v>44</v>
      </c>
      <c r="D8" s="13" t="s">
        <v>117</v>
      </c>
      <c r="E8" s="13" t="s">
        <v>223</v>
      </c>
      <c r="F8" s="13" t="s">
        <v>115</v>
      </c>
      <c r="G8" s="13" t="s">
        <v>60</v>
      </c>
      <c r="H8" s="13" t="s">
        <v>15</v>
      </c>
      <c r="I8" s="13" t="s">
        <v>61</v>
      </c>
      <c r="J8" s="13" t="s">
        <v>100</v>
      </c>
      <c r="K8" s="13" t="s">
        <v>18</v>
      </c>
      <c r="L8" s="13" t="s">
        <v>99</v>
      </c>
      <c r="M8" s="13" t="s">
        <v>17</v>
      </c>
      <c r="N8" s="13" t="s">
        <v>19</v>
      </c>
      <c r="O8" s="13" t="s">
        <v>231</v>
      </c>
      <c r="P8" s="13" t="s">
        <v>230</v>
      </c>
      <c r="Q8" s="13" t="s">
        <v>59</v>
      </c>
      <c r="R8" s="13" t="s">
        <v>56</v>
      </c>
      <c r="S8" s="13" t="s">
        <v>180</v>
      </c>
      <c r="T8" s="39" t="s">
        <v>182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238</v>
      </c>
      <c r="P9" s="16"/>
      <c r="Q9" s="16" t="s">
        <v>234</v>
      </c>
      <c r="R9" s="16" t="s">
        <v>20</v>
      </c>
      <c r="S9" s="16" t="s">
        <v>20</v>
      </c>
      <c r="T9" s="75" t="s">
        <v>20</v>
      </c>
      <c r="BJ9" s="1"/>
      <c r="BL9" s="1"/>
      <c r="BO9" s="4"/>
    </row>
    <row r="10" spans="2:67" s="4" customFormat="1" ht="18" customHeight="1">
      <c r="B10" s="41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19" t="s">
        <v>112</v>
      </c>
      <c r="S10" s="46" t="s">
        <v>183</v>
      </c>
      <c r="T10" s="74" t="s">
        <v>224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100" t="s">
        <v>246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100" t="s">
        <v>110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100" t="s">
        <v>229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100" t="s">
        <v>237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E829"/>
  <sheetViews>
    <sheetView rightToLeft="1" zoomScale="80" zoomScaleNormal="80" workbookViewId="0">
      <selection activeCell="A11" sqref="A11:XFD471"/>
    </sheetView>
  </sheetViews>
  <sheetFormatPr defaultColWidth="9.140625" defaultRowHeight="18"/>
  <cols>
    <col min="1" max="1" width="6.28515625" style="1" customWidth="1"/>
    <col min="2" max="2" width="34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7">
      <c r="B1" s="57" t="s">
        <v>177</v>
      </c>
      <c r="C1" s="79" t="s" vm="1">
        <v>247</v>
      </c>
    </row>
    <row r="2" spans="2:57">
      <c r="B2" s="57" t="s">
        <v>176</v>
      </c>
      <c r="C2" s="79" t="s">
        <v>248</v>
      </c>
    </row>
    <row r="3" spans="2:57">
      <c r="B3" s="57" t="s">
        <v>178</v>
      </c>
      <c r="C3" s="79" t="s">
        <v>249</v>
      </c>
    </row>
    <row r="4" spans="2:57">
      <c r="B4" s="57" t="s">
        <v>179</v>
      </c>
      <c r="C4" s="79">
        <v>2144</v>
      </c>
    </row>
    <row r="6" spans="2:57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9"/>
    </row>
    <row r="7" spans="2:57" ht="26.25" customHeight="1">
      <c r="B7" s="207" t="s">
        <v>86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BE7" s="3"/>
    </row>
    <row r="8" spans="2:57" s="3" customFormat="1" ht="78.75">
      <c r="B8" s="22" t="s">
        <v>113</v>
      </c>
      <c r="C8" s="30" t="s">
        <v>44</v>
      </c>
      <c r="D8" s="30" t="s">
        <v>117</v>
      </c>
      <c r="E8" s="30" t="s">
        <v>223</v>
      </c>
      <c r="F8" s="30" t="s">
        <v>115</v>
      </c>
      <c r="G8" s="30" t="s">
        <v>60</v>
      </c>
      <c r="H8" s="30" t="s">
        <v>15</v>
      </c>
      <c r="I8" s="30" t="s">
        <v>61</v>
      </c>
      <c r="J8" s="30" t="s">
        <v>100</v>
      </c>
      <c r="K8" s="30" t="s">
        <v>18</v>
      </c>
      <c r="L8" s="30" t="s">
        <v>99</v>
      </c>
      <c r="M8" s="30" t="s">
        <v>17</v>
      </c>
      <c r="N8" s="30" t="s">
        <v>19</v>
      </c>
      <c r="O8" s="13" t="s">
        <v>231</v>
      </c>
      <c r="P8" s="30" t="s">
        <v>230</v>
      </c>
      <c r="Q8" s="30" t="s">
        <v>245</v>
      </c>
      <c r="R8" s="30" t="s">
        <v>59</v>
      </c>
      <c r="S8" s="13" t="s">
        <v>56</v>
      </c>
      <c r="T8" s="30" t="s">
        <v>180</v>
      </c>
      <c r="U8" s="14" t="s">
        <v>182</v>
      </c>
      <c r="BA8" s="1"/>
      <c r="BB8" s="1"/>
    </row>
    <row r="9" spans="2:57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238</v>
      </c>
      <c r="P9" s="32"/>
      <c r="Q9" s="16" t="s">
        <v>234</v>
      </c>
      <c r="R9" s="32" t="s">
        <v>234</v>
      </c>
      <c r="S9" s="16" t="s">
        <v>20</v>
      </c>
      <c r="T9" s="32" t="s">
        <v>234</v>
      </c>
      <c r="U9" s="17" t="s">
        <v>20</v>
      </c>
      <c r="AZ9" s="1"/>
      <c r="BA9" s="1"/>
      <c r="BB9" s="1"/>
      <c r="BE9" s="4"/>
    </row>
    <row r="10" spans="2:5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3" t="s">
        <v>111</v>
      </c>
      <c r="R10" s="19" t="s">
        <v>112</v>
      </c>
      <c r="S10" s="19" t="s">
        <v>183</v>
      </c>
      <c r="T10" s="20" t="s">
        <v>224</v>
      </c>
      <c r="U10" s="20" t="s">
        <v>240</v>
      </c>
      <c r="AZ10" s="1"/>
      <c r="BA10" s="3"/>
      <c r="BB10" s="1"/>
    </row>
    <row r="11" spans="2:57" s="136" customFormat="1" ht="18" customHeight="1">
      <c r="B11" s="80" t="s">
        <v>33</v>
      </c>
      <c r="C11" s="81"/>
      <c r="D11" s="81"/>
      <c r="E11" s="81"/>
      <c r="F11" s="81"/>
      <c r="G11" s="81"/>
      <c r="H11" s="81"/>
      <c r="I11" s="81"/>
      <c r="J11" s="81"/>
      <c r="K11" s="89">
        <v>3.9035217826366471</v>
      </c>
      <c r="L11" s="81"/>
      <c r="M11" s="81"/>
      <c r="N11" s="104">
        <v>9.909471109497742E-3</v>
      </c>
      <c r="O11" s="89"/>
      <c r="P11" s="91"/>
      <c r="Q11" s="89">
        <f>Q12</f>
        <v>36.982883504000057</v>
      </c>
      <c r="R11" s="89">
        <f>R12</f>
        <v>50138.189739999994</v>
      </c>
      <c r="S11" s="81"/>
      <c r="T11" s="90">
        <f>R11/$R$11</f>
        <v>1</v>
      </c>
      <c r="U11" s="90">
        <f>R11/'סכום נכסי הקרן'!$C$42</f>
        <v>0.23983469561030632</v>
      </c>
      <c r="AZ11" s="137"/>
      <c r="BA11" s="138"/>
      <c r="BB11" s="137"/>
      <c r="BE11" s="137"/>
    </row>
    <row r="12" spans="2:57" s="137" customFormat="1">
      <c r="B12" s="82" t="s">
        <v>228</v>
      </c>
      <c r="C12" s="83"/>
      <c r="D12" s="83"/>
      <c r="E12" s="83"/>
      <c r="F12" s="83"/>
      <c r="G12" s="83"/>
      <c r="H12" s="83"/>
      <c r="I12" s="83"/>
      <c r="J12" s="83"/>
      <c r="K12" s="92">
        <v>3.9035217826366422</v>
      </c>
      <c r="L12" s="83"/>
      <c r="M12" s="83"/>
      <c r="N12" s="105">
        <v>9.9094711094977386E-3</v>
      </c>
      <c r="O12" s="92"/>
      <c r="P12" s="94"/>
      <c r="Q12" s="92">
        <f>Q13+Q143</f>
        <v>36.982883504000057</v>
      </c>
      <c r="R12" s="92">
        <f>R13+R143+R213</f>
        <v>50138.189739999994</v>
      </c>
      <c r="S12" s="83"/>
      <c r="T12" s="93">
        <f t="shared" ref="T12:T74" si="0">R12/$R$11</f>
        <v>1</v>
      </c>
      <c r="U12" s="93">
        <f>R12/'סכום נכסי הקרן'!$C$42</f>
        <v>0.23983469561030632</v>
      </c>
      <c r="BA12" s="138"/>
    </row>
    <row r="13" spans="2:57" s="137" customFormat="1" ht="20.25">
      <c r="B13" s="103" t="s">
        <v>32</v>
      </c>
      <c r="C13" s="83"/>
      <c r="D13" s="83"/>
      <c r="E13" s="83"/>
      <c r="F13" s="83"/>
      <c r="G13" s="83"/>
      <c r="H13" s="83"/>
      <c r="I13" s="83"/>
      <c r="J13" s="83"/>
      <c r="K13" s="92">
        <v>3.8636381617910427</v>
      </c>
      <c r="L13" s="83"/>
      <c r="M13" s="83"/>
      <c r="N13" s="105">
        <v>5.6777695908469842E-3</v>
      </c>
      <c r="O13" s="92"/>
      <c r="P13" s="94"/>
      <c r="Q13" s="92">
        <f>SUM(Q14:Q141)</f>
        <v>22.215093504000059</v>
      </c>
      <c r="R13" s="92">
        <f>SUM(R14:R141)</f>
        <v>39687.80502</v>
      </c>
      <c r="S13" s="83"/>
      <c r="T13" s="93">
        <f t="shared" si="0"/>
        <v>0.79156836786106122</v>
      </c>
      <c r="U13" s="93">
        <f>R13/'סכום נכסי הקרן'!$C$42</f>
        <v>0.18984555856070459</v>
      </c>
      <c r="BA13" s="136"/>
    </row>
    <row r="14" spans="2:57" s="137" customFormat="1">
      <c r="B14" s="88" t="s">
        <v>308</v>
      </c>
      <c r="C14" s="85" t="s">
        <v>309</v>
      </c>
      <c r="D14" s="98" t="s">
        <v>118</v>
      </c>
      <c r="E14" s="98" t="s">
        <v>305</v>
      </c>
      <c r="F14" s="85" t="s">
        <v>310</v>
      </c>
      <c r="G14" s="98" t="s">
        <v>311</v>
      </c>
      <c r="H14" s="85" t="s">
        <v>306</v>
      </c>
      <c r="I14" s="85" t="s">
        <v>158</v>
      </c>
      <c r="J14" s="85"/>
      <c r="K14" s="95">
        <v>1.75</v>
      </c>
      <c r="L14" s="98" t="s">
        <v>162</v>
      </c>
      <c r="M14" s="99">
        <v>5.8999999999999999E-3</v>
      </c>
      <c r="N14" s="99">
        <v>-3.1000000000000003E-3</v>
      </c>
      <c r="O14" s="95">
        <v>1089203.9999999998</v>
      </c>
      <c r="P14" s="97">
        <v>102.13</v>
      </c>
      <c r="Q14" s="85"/>
      <c r="R14" s="95">
        <v>1112.4040299999997</v>
      </c>
      <c r="S14" s="96">
        <v>2.0404143681960286E-4</v>
      </c>
      <c r="T14" s="96">
        <f t="shared" si="0"/>
        <v>2.2186760945470063E-2</v>
      </c>
      <c r="U14" s="96">
        <f>R14/'סכום נכסי הקרן'!$C$42</f>
        <v>5.3211550579354448E-3</v>
      </c>
    </row>
    <row r="15" spans="2:57" s="137" customFormat="1">
      <c r="B15" s="88" t="s">
        <v>312</v>
      </c>
      <c r="C15" s="85" t="s">
        <v>313</v>
      </c>
      <c r="D15" s="98" t="s">
        <v>118</v>
      </c>
      <c r="E15" s="98" t="s">
        <v>305</v>
      </c>
      <c r="F15" s="85" t="s">
        <v>310</v>
      </c>
      <c r="G15" s="98" t="s">
        <v>311</v>
      </c>
      <c r="H15" s="85" t="s">
        <v>306</v>
      </c>
      <c r="I15" s="85" t="s">
        <v>158</v>
      </c>
      <c r="J15" s="85"/>
      <c r="K15" s="95">
        <v>6.58</v>
      </c>
      <c r="L15" s="98" t="s">
        <v>162</v>
      </c>
      <c r="M15" s="99">
        <v>8.3000000000000001E-3</v>
      </c>
      <c r="N15" s="99">
        <v>7.7000000000000011E-3</v>
      </c>
      <c r="O15" s="95">
        <v>251716.99999999997</v>
      </c>
      <c r="P15" s="97">
        <v>100.83</v>
      </c>
      <c r="Q15" s="85"/>
      <c r="R15" s="95">
        <v>253.80626999999996</v>
      </c>
      <c r="S15" s="96">
        <v>1.9574095818720497E-4</v>
      </c>
      <c r="T15" s="96">
        <f t="shared" si="0"/>
        <v>5.062134698443542E-3</v>
      </c>
      <c r="U15" s="96">
        <f>R15/'סכום נכסי הקרן'!$C$42</f>
        <v>1.2140755345395767E-3</v>
      </c>
    </row>
    <row r="16" spans="2:57" s="137" customFormat="1" ht="20.25">
      <c r="B16" s="88" t="s">
        <v>314</v>
      </c>
      <c r="C16" s="85" t="s">
        <v>315</v>
      </c>
      <c r="D16" s="98" t="s">
        <v>118</v>
      </c>
      <c r="E16" s="98" t="s">
        <v>305</v>
      </c>
      <c r="F16" s="85" t="s">
        <v>316</v>
      </c>
      <c r="G16" s="98" t="s">
        <v>311</v>
      </c>
      <c r="H16" s="85" t="s">
        <v>306</v>
      </c>
      <c r="I16" s="85" t="s">
        <v>158</v>
      </c>
      <c r="J16" s="85"/>
      <c r="K16" s="95">
        <v>3.94</v>
      </c>
      <c r="L16" s="98" t="s">
        <v>162</v>
      </c>
      <c r="M16" s="99">
        <v>9.8999999999999991E-3</v>
      </c>
      <c r="N16" s="99">
        <v>2.2000000000000001E-3</v>
      </c>
      <c r="O16" s="95">
        <v>1699833.9999999998</v>
      </c>
      <c r="P16" s="97">
        <v>104.2</v>
      </c>
      <c r="Q16" s="85"/>
      <c r="R16" s="95">
        <v>1771.2270299999998</v>
      </c>
      <c r="S16" s="96">
        <v>5.6400300742499518E-4</v>
      </c>
      <c r="T16" s="96">
        <f t="shared" si="0"/>
        <v>3.5326904285635265E-2</v>
      </c>
      <c r="U16" s="96">
        <f>R16/'סכום נכסי הקרן'!$C$42</f>
        <v>8.472617336199759E-3</v>
      </c>
      <c r="AZ16" s="136"/>
    </row>
    <row r="17" spans="2:52" s="137" customFormat="1">
      <c r="B17" s="88" t="s">
        <v>317</v>
      </c>
      <c r="C17" s="85" t="s">
        <v>318</v>
      </c>
      <c r="D17" s="98" t="s">
        <v>118</v>
      </c>
      <c r="E17" s="98" t="s">
        <v>305</v>
      </c>
      <c r="F17" s="85" t="s">
        <v>316</v>
      </c>
      <c r="G17" s="98" t="s">
        <v>311</v>
      </c>
      <c r="H17" s="85" t="s">
        <v>306</v>
      </c>
      <c r="I17" s="85" t="s">
        <v>158</v>
      </c>
      <c r="J17" s="85"/>
      <c r="K17" s="95">
        <v>5.8800000000000008</v>
      </c>
      <c r="L17" s="98" t="s">
        <v>162</v>
      </c>
      <c r="M17" s="99">
        <v>8.6E-3</v>
      </c>
      <c r="N17" s="99">
        <v>7.1999999999999998E-3</v>
      </c>
      <c r="O17" s="95">
        <v>464999.99999999994</v>
      </c>
      <c r="P17" s="97">
        <v>102.01</v>
      </c>
      <c r="Q17" s="85"/>
      <c r="R17" s="95">
        <v>474.34648999999996</v>
      </c>
      <c r="S17" s="96">
        <v>1.8589953988864416E-4</v>
      </c>
      <c r="T17" s="96">
        <f t="shared" si="0"/>
        <v>9.4607821395188644E-3</v>
      </c>
      <c r="U17" s="96">
        <f>R17/'סכום נכסי הקרן'!$C$42</f>
        <v>2.2690238046669297E-3</v>
      </c>
    </row>
    <row r="18" spans="2:52" s="137" customFormat="1">
      <c r="B18" s="88" t="s">
        <v>319</v>
      </c>
      <c r="C18" s="85" t="s">
        <v>320</v>
      </c>
      <c r="D18" s="98" t="s">
        <v>118</v>
      </c>
      <c r="E18" s="98" t="s">
        <v>305</v>
      </c>
      <c r="F18" s="85" t="s">
        <v>316</v>
      </c>
      <c r="G18" s="98" t="s">
        <v>311</v>
      </c>
      <c r="H18" s="85" t="s">
        <v>306</v>
      </c>
      <c r="I18" s="85" t="s">
        <v>158</v>
      </c>
      <c r="J18" s="85"/>
      <c r="K18" s="95">
        <v>11.180000000000001</v>
      </c>
      <c r="L18" s="98" t="s">
        <v>162</v>
      </c>
      <c r="M18" s="99">
        <v>9.8999999999999991E-3</v>
      </c>
      <c r="N18" s="99">
        <v>8.1000000000000013E-3</v>
      </c>
      <c r="O18" s="95">
        <v>346234.99999999994</v>
      </c>
      <c r="P18" s="97">
        <v>102.15</v>
      </c>
      <c r="Q18" s="85"/>
      <c r="R18" s="95">
        <v>353.67905999999994</v>
      </c>
      <c r="S18" s="96">
        <v>4.9326354449964163E-4</v>
      </c>
      <c r="T18" s="96">
        <f t="shared" si="0"/>
        <v>7.054085156126739E-3</v>
      </c>
      <c r="U18" s="96">
        <f>R18/'סכום נכסי הקרן'!$C$42</f>
        <v>1.6918143662288368E-3</v>
      </c>
      <c r="AZ18" s="138"/>
    </row>
    <row r="19" spans="2:52" s="137" customFormat="1">
      <c r="B19" s="88" t="s">
        <v>321</v>
      </c>
      <c r="C19" s="85" t="s">
        <v>322</v>
      </c>
      <c r="D19" s="98" t="s">
        <v>118</v>
      </c>
      <c r="E19" s="98" t="s">
        <v>305</v>
      </c>
      <c r="F19" s="85" t="s">
        <v>316</v>
      </c>
      <c r="G19" s="98" t="s">
        <v>311</v>
      </c>
      <c r="H19" s="85" t="s">
        <v>306</v>
      </c>
      <c r="I19" s="85" t="s">
        <v>158</v>
      </c>
      <c r="J19" s="85"/>
      <c r="K19" s="95">
        <v>0.32</v>
      </c>
      <c r="L19" s="98" t="s">
        <v>162</v>
      </c>
      <c r="M19" s="99">
        <v>2.58E-2</v>
      </c>
      <c r="N19" s="99">
        <v>5.9999999999999995E-4</v>
      </c>
      <c r="O19" s="95">
        <v>1605813.9999999998</v>
      </c>
      <c r="P19" s="97">
        <v>106.12</v>
      </c>
      <c r="Q19" s="85"/>
      <c r="R19" s="95">
        <v>1704.0899199999997</v>
      </c>
      <c r="S19" s="96">
        <v>5.8959483240679847E-4</v>
      </c>
      <c r="T19" s="96">
        <f t="shared" si="0"/>
        <v>3.3987862921195287E-2</v>
      </c>
      <c r="U19" s="96">
        <f>R19/'סכום נכסי הקרן'!$C$42</f>
        <v>8.1514687581496874E-3</v>
      </c>
    </row>
    <row r="20" spans="2:52" s="137" customFormat="1">
      <c r="B20" s="88" t="s">
        <v>323</v>
      </c>
      <c r="C20" s="85" t="s">
        <v>324</v>
      </c>
      <c r="D20" s="98" t="s">
        <v>118</v>
      </c>
      <c r="E20" s="98" t="s">
        <v>305</v>
      </c>
      <c r="F20" s="85" t="s">
        <v>316</v>
      </c>
      <c r="G20" s="98" t="s">
        <v>311</v>
      </c>
      <c r="H20" s="85" t="s">
        <v>306</v>
      </c>
      <c r="I20" s="85" t="s">
        <v>158</v>
      </c>
      <c r="J20" s="85"/>
      <c r="K20" s="95">
        <v>1.9500000000000002</v>
      </c>
      <c r="L20" s="98" t="s">
        <v>162</v>
      </c>
      <c r="M20" s="99">
        <v>4.0999999999999995E-3</v>
      </c>
      <c r="N20" s="99">
        <v>-1.8000000000000002E-3</v>
      </c>
      <c r="O20" s="95">
        <v>251730.08999999997</v>
      </c>
      <c r="P20" s="97">
        <v>101.06</v>
      </c>
      <c r="Q20" s="85"/>
      <c r="R20" s="95">
        <v>254.39841999999996</v>
      </c>
      <c r="S20" s="96">
        <v>2.0418764315486879E-4</v>
      </c>
      <c r="T20" s="96">
        <f t="shared" si="0"/>
        <v>5.0739450570358785E-3</v>
      </c>
      <c r="U20" s="96">
        <f>R20/'סכום נכסי הקרן'!$C$42</f>
        <v>1.2169080682976183E-3</v>
      </c>
    </row>
    <row r="21" spans="2:52" s="137" customFormat="1">
      <c r="B21" s="88" t="s">
        <v>325</v>
      </c>
      <c r="C21" s="85" t="s">
        <v>326</v>
      </c>
      <c r="D21" s="98" t="s">
        <v>118</v>
      </c>
      <c r="E21" s="98" t="s">
        <v>305</v>
      </c>
      <c r="F21" s="85" t="s">
        <v>316</v>
      </c>
      <c r="G21" s="98" t="s">
        <v>311</v>
      </c>
      <c r="H21" s="85" t="s">
        <v>306</v>
      </c>
      <c r="I21" s="85" t="s">
        <v>158</v>
      </c>
      <c r="J21" s="85"/>
      <c r="K21" s="95">
        <v>1.34</v>
      </c>
      <c r="L21" s="98" t="s">
        <v>162</v>
      </c>
      <c r="M21" s="99">
        <v>6.4000000000000003E-3</v>
      </c>
      <c r="N21" s="99">
        <v>-3.4000000000000007E-3</v>
      </c>
      <c r="O21" s="95">
        <v>1132411.9999999998</v>
      </c>
      <c r="P21" s="97">
        <v>101.93</v>
      </c>
      <c r="Q21" s="85"/>
      <c r="R21" s="95">
        <v>1154.2674699999998</v>
      </c>
      <c r="S21" s="96">
        <v>3.5948503140381471E-4</v>
      </c>
      <c r="T21" s="96">
        <f t="shared" si="0"/>
        <v>2.3021722084216593E-2</v>
      </c>
      <c r="U21" s="96">
        <f>R21/'סכום נכסי הקרן'!$C$42</f>
        <v>5.5214077084931538E-3</v>
      </c>
    </row>
    <row r="22" spans="2:52" s="137" customFormat="1">
      <c r="B22" s="88" t="s">
        <v>327</v>
      </c>
      <c r="C22" s="85" t="s">
        <v>328</v>
      </c>
      <c r="D22" s="98" t="s">
        <v>118</v>
      </c>
      <c r="E22" s="98" t="s">
        <v>305</v>
      </c>
      <c r="F22" s="85" t="s">
        <v>329</v>
      </c>
      <c r="G22" s="98" t="s">
        <v>311</v>
      </c>
      <c r="H22" s="85" t="s">
        <v>306</v>
      </c>
      <c r="I22" s="85" t="s">
        <v>158</v>
      </c>
      <c r="J22" s="85"/>
      <c r="K22" s="95">
        <v>3.5799999999999996</v>
      </c>
      <c r="L22" s="98" t="s">
        <v>162</v>
      </c>
      <c r="M22" s="99">
        <v>0.05</v>
      </c>
      <c r="N22" s="99">
        <v>1.1999999999999999E-3</v>
      </c>
      <c r="O22" s="95">
        <v>531690.99999999988</v>
      </c>
      <c r="P22" s="97">
        <v>123.62</v>
      </c>
      <c r="Q22" s="85"/>
      <c r="R22" s="95">
        <v>657.27640999999994</v>
      </c>
      <c r="S22" s="96">
        <v>1.6870472746126019E-4</v>
      </c>
      <c r="T22" s="96">
        <f t="shared" si="0"/>
        <v>1.3109296793689943E-2</v>
      </c>
      <c r="U22" s="96">
        <f>R22/'סכום נכסי הקרן'!$C$42</f>
        <v>3.1440642061797922E-3</v>
      </c>
    </row>
    <row r="23" spans="2:52" s="137" customFormat="1">
      <c r="B23" s="88" t="s">
        <v>330</v>
      </c>
      <c r="C23" s="85" t="s">
        <v>331</v>
      </c>
      <c r="D23" s="98" t="s">
        <v>118</v>
      </c>
      <c r="E23" s="98" t="s">
        <v>305</v>
      </c>
      <c r="F23" s="85" t="s">
        <v>329</v>
      </c>
      <c r="G23" s="98" t="s">
        <v>311</v>
      </c>
      <c r="H23" s="85" t="s">
        <v>306</v>
      </c>
      <c r="I23" s="85" t="s">
        <v>158</v>
      </c>
      <c r="J23" s="85"/>
      <c r="K23" s="95">
        <v>1.46</v>
      </c>
      <c r="L23" s="98" t="s">
        <v>162</v>
      </c>
      <c r="M23" s="99">
        <v>1.6E-2</v>
      </c>
      <c r="N23" s="99">
        <v>-2.5000000000000001E-3</v>
      </c>
      <c r="O23" s="95">
        <v>106400.04999999999</v>
      </c>
      <c r="P23" s="97">
        <v>102.67</v>
      </c>
      <c r="Q23" s="85"/>
      <c r="R23" s="95">
        <v>109.24092999999998</v>
      </c>
      <c r="S23" s="96">
        <v>5.0685760076248265E-5</v>
      </c>
      <c r="T23" s="96">
        <f t="shared" si="0"/>
        <v>2.178796852588559E-3</v>
      </c>
      <c r="U23" s="96">
        <f>R23/'סכום נכסי הקרן'!$C$42</f>
        <v>5.2255107993727057E-4</v>
      </c>
    </row>
    <row r="24" spans="2:52" s="137" customFormat="1">
      <c r="B24" s="88" t="s">
        <v>332</v>
      </c>
      <c r="C24" s="85" t="s">
        <v>333</v>
      </c>
      <c r="D24" s="98" t="s">
        <v>118</v>
      </c>
      <c r="E24" s="98" t="s">
        <v>305</v>
      </c>
      <c r="F24" s="85" t="s">
        <v>329</v>
      </c>
      <c r="G24" s="98" t="s">
        <v>311</v>
      </c>
      <c r="H24" s="85" t="s">
        <v>306</v>
      </c>
      <c r="I24" s="85" t="s">
        <v>158</v>
      </c>
      <c r="J24" s="85"/>
      <c r="K24" s="95">
        <v>2.48</v>
      </c>
      <c r="L24" s="98" t="s">
        <v>162</v>
      </c>
      <c r="M24" s="99">
        <v>6.9999999999999993E-3</v>
      </c>
      <c r="N24" s="99">
        <v>-1.3999999999999998E-3</v>
      </c>
      <c r="O24" s="95">
        <v>1355559.36</v>
      </c>
      <c r="P24" s="97">
        <v>104.3</v>
      </c>
      <c r="Q24" s="85"/>
      <c r="R24" s="95">
        <v>1413.8484099999996</v>
      </c>
      <c r="S24" s="96">
        <v>3.8135319400189627E-4</v>
      </c>
      <c r="T24" s="96">
        <f t="shared" si="0"/>
        <v>2.8199031862373731E-2</v>
      </c>
      <c r="U24" s="96">
        <f>R24/'סכום נכסי הקרן'!$C$42</f>
        <v>6.7631062232177339E-3</v>
      </c>
    </row>
    <row r="25" spans="2:52" s="137" customFormat="1">
      <c r="B25" s="88" t="s">
        <v>334</v>
      </c>
      <c r="C25" s="85" t="s">
        <v>335</v>
      </c>
      <c r="D25" s="98" t="s">
        <v>118</v>
      </c>
      <c r="E25" s="98" t="s">
        <v>305</v>
      </c>
      <c r="F25" s="85" t="s">
        <v>329</v>
      </c>
      <c r="G25" s="98" t="s">
        <v>311</v>
      </c>
      <c r="H25" s="85" t="s">
        <v>306</v>
      </c>
      <c r="I25" s="85" t="s">
        <v>158</v>
      </c>
      <c r="J25" s="85"/>
      <c r="K25" s="95">
        <v>5.0000000000000009</v>
      </c>
      <c r="L25" s="98" t="s">
        <v>162</v>
      </c>
      <c r="M25" s="99">
        <v>6.0000000000000001E-3</v>
      </c>
      <c r="N25" s="99">
        <v>5.3E-3</v>
      </c>
      <c r="O25" s="95">
        <v>20442.999999999996</v>
      </c>
      <c r="P25" s="97">
        <v>101.6</v>
      </c>
      <c r="Q25" s="85"/>
      <c r="R25" s="95">
        <v>20.770099999999996</v>
      </c>
      <c r="S25" s="96">
        <v>9.19139714362148E-6</v>
      </c>
      <c r="T25" s="96">
        <f t="shared" si="0"/>
        <v>4.1425707844074225E-4</v>
      </c>
      <c r="U25" s="96">
        <f>R25/'סכום נכסי הקרן'!$C$42</f>
        <v>9.935322031225021E-5</v>
      </c>
    </row>
    <row r="26" spans="2:52" s="137" customFormat="1">
      <c r="B26" s="88" t="s">
        <v>336</v>
      </c>
      <c r="C26" s="85" t="s">
        <v>337</v>
      </c>
      <c r="D26" s="98" t="s">
        <v>118</v>
      </c>
      <c r="E26" s="98" t="s">
        <v>305</v>
      </c>
      <c r="F26" s="85" t="s">
        <v>338</v>
      </c>
      <c r="G26" s="98" t="s">
        <v>311</v>
      </c>
      <c r="H26" s="85" t="s">
        <v>339</v>
      </c>
      <c r="I26" s="85" t="s">
        <v>158</v>
      </c>
      <c r="J26" s="85"/>
      <c r="K26" s="95">
        <v>1.5</v>
      </c>
      <c r="L26" s="98" t="s">
        <v>162</v>
      </c>
      <c r="M26" s="99">
        <v>8.0000000000000002E-3</v>
      </c>
      <c r="N26" s="99">
        <v>-5.3000000000000018E-3</v>
      </c>
      <c r="O26" s="95">
        <v>189708.99999999997</v>
      </c>
      <c r="P26" s="97">
        <v>104.27</v>
      </c>
      <c r="Q26" s="85"/>
      <c r="R26" s="95">
        <v>197.80956999999995</v>
      </c>
      <c r="S26" s="96">
        <v>2.9433239209358607E-4</v>
      </c>
      <c r="T26" s="96">
        <f t="shared" si="0"/>
        <v>3.9452874351023582E-3</v>
      </c>
      <c r="U26" s="96">
        <f>R26/'סכום נכסי הקרן'!$C$42</f>
        <v>9.4621681109294026E-4</v>
      </c>
    </row>
    <row r="27" spans="2:52" s="137" customFormat="1">
      <c r="B27" s="88" t="s">
        <v>340</v>
      </c>
      <c r="C27" s="85" t="s">
        <v>341</v>
      </c>
      <c r="D27" s="98" t="s">
        <v>118</v>
      </c>
      <c r="E27" s="98" t="s">
        <v>305</v>
      </c>
      <c r="F27" s="85" t="s">
        <v>310</v>
      </c>
      <c r="G27" s="98" t="s">
        <v>311</v>
      </c>
      <c r="H27" s="85" t="s">
        <v>339</v>
      </c>
      <c r="I27" s="85" t="s">
        <v>158</v>
      </c>
      <c r="J27" s="85"/>
      <c r="K27" s="95">
        <v>2.0299999999999998</v>
      </c>
      <c r="L27" s="98" t="s">
        <v>162</v>
      </c>
      <c r="M27" s="99">
        <v>3.4000000000000002E-2</v>
      </c>
      <c r="N27" s="99">
        <v>-3.0999999999999999E-3</v>
      </c>
      <c r="O27" s="95">
        <v>303186.99999999994</v>
      </c>
      <c r="P27" s="97">
        <v>114.75</v>
      </c>
      <c r="Q27" s="85"/>
      <c r="R27" s="95">
        <v>347.90706999999998</v>
      </c>
      <c r="S27" s="96">
        <v>1.6206751855544178E-4</v>
      </c>
      <c r="T27" s="96">
        <f t="shared" si="0"/>
        <v>6.9389635286820394E-3</v>
      </c>
      <c r="U27" s="96">
        <f>R27/'סכום נכסי הקרן'!$C$42</f>
        <v>1.6642042057524739E-3</v>
      </c>
    </row>
    <row r="28" spans="2:52" s="137" customFormat="1">
      <c r="B28" s="88" t="s">
        <v>342</v>
      </c>
      <c r="C28" s="85" t="s">
        <v>343</v>
      </c>
      <c r="D28" s="98" t="s">
        <v>118</v>
      </c>
      <c r="E28" s="98" t="s">
        <v>305</v>
      </c>
      <c r="F28" s="85" t="s">
        <v>316</v>
      </c>
      <c r="G28" s="98" t="s">
        <v>311</v>
      </c>
      <c r="H28" s="85" t="s">
        <v>339</v>
      </c>
      <c r="I28" s="85" t="s">
        <v>158</v>
      </c>
      <c r="J28" s="85"/>
      <c r="K28" s="95">
        <v>0.98000000000000009</v>
      </c>
      <c r="L28" s="98" t="s">
        <v>162</v>
      </c>
      <c r="M28" s="99">
        <v>0.03</v>
      </c>
      <c r="N28" s="99">
        <v>-4.7000000000000002E-3</v>
      </c>
      <c r="O28" s="95">
        <v>205752.99999999997</v>
      </c>
      <c r="P28" s="97">
        <v>110.52</v>
      </c>
      <c r="Q28" s="85"/>
      <c r="R28" s="95">
        <v>227.39819999999995</v>
      </c>
      <c r="S28" s="96">
        <v>4.2865208333333325E-4</v>
      </c>
      <c r="T28" s="96">
        <f t="shared" si="0"/>
        <v>4.5354290049004859E-3</v>
      </c>
      <c r="U28" s="96">
        <f>R28/'סכום נכסי הקרן'!$C$42</f>
        <v>1.0877532348524627E-3</v>
      </c>
    </row>
    <row r="29" spans="2:52" s="137" customFormat="1">
      <c r="B29" s="88" t="s">
        <v>344</v>
      </c>
      <c r="C29" s="85" t="s">
        <v>345</v>
      </c>
      <c r="D29" s="98" t="s">
        <v>118</v>
      </c>
      <c r="E29" s="98" t="s">
        <v>305</v>
      </c>
      <c r="F29" s="85" t="s">
        <v>346</v>
      </c>
      <c r="G29" s="98" t="s">
        <v>347</v>
      </c>
      <c r="H29" s="85" t="s">
        <v>339</v>
      </c>
      <c r="I29" s="85" t="s">
        <v>158</v>
      </c>
      <c r="J29" s="85"/>
      <c r="K29" s="95">
        <v>6.68</v>
      </c>
      <c r="L29" s="98" t="s">
        <v>162</v>
      </c>
      <c r="M29" s="99">
        <v>8.3000000000000001E-3</v>
      </c>
      <c r="N29" s="99">
        <v>0.01</v>
      </c>
      <c r="O29" s="95">
        <v>642999.99999999988</v>
      </c>
      <c r="P29" s="97">
        <v>100.28</v>
      </c>
      <c r="Q29" s="85"/>
      <c r="R29" s="95">
        <v>644.80038999999988</v>
      </c>
      <c r="S29" s="96">
        <v>4.19871204671214E-4</v>
      </c>
      <c r="T29" s="96">
        <f t="shared" si="0"/>
        <v>1.2860464116150197E-2</v>
      </c>
      <c r="U29" s="96">
        <f>R29/'סכום נכסי הקרן'!$C$42</f>
        <v>3.0843854967041499E-3</v>
      </c>
    </row>
    <row r="30" spans="2:52" s="137" customFormat="1">
      <c r="B30" s="88" t="s">
        <v>348</v>
      </c>
      <c r="C30" s="85" t="s">
        <v>349</v>
      </c>
      <c r="D30" s="98" t="s">
        <v>118</v>
      </c>
      <c r="E30" s="98" t="s">
        <v>305</v>
      </c>
      <c r="F30" s="85" t="s">
        <v>346</v>
      </c>
      <c r="G30" s="98" t="s">
        <v>347</v>
      </c>
      <c r="H30" s="85" t="s">
        <v>339</v>
      </c>
      <c r="I30" s="85" t="s">
        <v>158</v>
      </c>
      <c r="J30" s="85"/>
      <c r="K30" s="95">
        <v>10.24</v>
      </c>
      <c r="L30" s="98" t="s">
        <v>162</v>
      </c>
      <c r="M30" s="99">
        <v>1.6500000000000001E-2</v>
      </c>
      <c r="N30" s="99">
        <v>1.7399999999999999E-2</v>
      </c>
      <c r="O30" s="95">
        <v>95999.999999999985</v>
      </c>
      <c r="P30" s="97">
        <v>100.87</v>
      </c>
      <c r="Q30" s="85"/>
      <c r="R30" s="95">
        <v>96.835189999999983</v>
      </c>
      <c r="S30" s="96">
        <v>2.2702280869781134E-4</v>
      </c>
      <c r="T30" s="96">
        <f t="shared" si="0"/>
        <v>1.9313659009660127E-3</v>
      </c>
      <c r="U30" s="96">
        <f>R30/'סכום נכסי הקרן'!$C$42</f>
        <v>4.632085529703087E-4</v>
      </c>
    </row>
    <row r="31" spans="2:52" s="137" customFormat="1">
      <c r="B31" s="88" t="s">
        <v>350</v>
      </c>
      <c r="C31" s="85" t="s">
        <v>351</v>
      </c>
      <c r="D31" s="98" t="s">
        <v>118</v>
      </c>
      <c r="E31" s="98" t="s">
        <v>305</v>
      </c>
      <c r="F31" s="85" t="s">
        <v>352</v>
      </c>
      <c r="G31" s="98" t="s">
        <v>353</v>
      </c>
      <c r="H31" s="85" t="s">
        <v>339</v>
      </c>
      <c r="I31" s="85" t="s">
        <v>307</v>
      </c>
      <c r="J31" s="85"/>
      <c r="K31" s="95">
        <v>3.4800000000000004</v>
      </c>
      <c r="L31" s="98" t="s">
        <v>162</v>
      </c>
      <c r="M31" s="99">
        <v>6.5000000000000006E-3</v>
      </c>
      <c r="N31" s="99">
        <v>2.5999999999999999E-3</v>
      </c>
      <c r="O31" s="95">
        <v>317434.83999999997</v>
      </c>
      <c r="P31" s="97">
        <v>101.56</v>
      </c>
      <c r="Q31" s="97">
        <v>-1.0335864959999412</v>
      </c>
      <c r="R31" s="95">
        <v>323.42040999999989</v>
      </c>
      <c r="S31" s="96">
        <v>3.0038909555852867E-4</v>
      </c>
      <c r="T31" s="96">
        <f t="shared" si="0"/>
        <v>6.4505801202067873E-3</v>
      </c>
      <c r="U31" s="96">
        <f>R31/'סכום נכסי הקרן'!$C$42</f>
        <v>1.5470729196396882E-3</v>
      </c>
    </row>
    <row r="32" spans="2:52" s="137" customFormat="1">
      <c r="B32" s="88" t="s">
        <v>354</v>
      </c>
      <c r="C32" s="85" t="s">
        <v>355</v>
      </c>
      <c r="D32" s="98" t="s">
        <v>118</v>
      </c>
      <c r="E32" s="98" t="s">
        <v>305</v>
      </c>
      <c r="F32" s="85" t="s">
        <v>352</v>
      </c>
      <c r="G32" s="98" t="s">
        <v>353</v>
      </c>
      <c r="H32" s="85" t="s">
        <v>339</v>
      </c>
      <c r="I32" s="85" t="s">
        <v>307</v>
      </c>
      <c r="J32" s="85"/>
      <c r="K32" s="95">
        <v>4.59</v>
      </c>
      <c r="L32" s="98" t="s">
        <v>162</v>
      </c>
      <c r="M32" s="99">
        <v>1.6399999999999998E-2</v>
      </c>
      <c r="N32" s="99">
        <v>7.4000000000000003E-3</v>
      </c>
      <c r="O32" s="95">
        <v>797610.59999999986</v>
      </c>
      <c r="P32" s="97">
        <v>104.78</v>
      </c>
      <c r="Q32" s="85"/>
      <c r="R32" s="95">
        <v>835.7363499999999</v>
      </c>
      <c r="S32" s="96">
        <v>7.4841426205654853E-4</v>
      </c>
      <c r="T32" s="96">
        <f t="shared" si="0"/>
        <v>1.6668658249008414E-2</v>
      </c>
      <c r="U32" s="96">
        <f>R32/'סכום נכסי הקרן'!$C$42</f>
        <v>3.9977225773831547E-3</v>
      </c>
    </row>
    <row r="33" spans="2:21" s="137" customFormat="1">
      <c r="B33" s="88" t="s">
        <v>356</v>
      </c>
      <c r="C33" s="85" t="s">
        <v>357</v>
      </c>
      <c r="D33" s="98" t="s">
        <v>118</v>
      </c>
      <c r="E33" s="98" t="s">
        <v>305</v>
      </c>
      <c r="F33" s="85" t="s">
        <v>352</v>
      </c>
      <c r="G33" s="98" t="s">
        <v>353</v>
      </c>
      <c r="H33" s="85" t="s">
        <v>339</v>
      </c>
      <c r="I33" s="85" t="s">
        <v>158</v>
      </c>
      <c r="J33" s="85"/>
      <c r="K33" s="95">
        <v>5.7299999999999995</v>
      </c>
      <c r="L33" s="98" t="s">
        <v>162</v>
      </c>
      <c r="M33" s="99">
        <v>1.34E-2</v>
      </c>
      <c r="N33" s="99">
        <v>1.2299999999999995E-2</v>
      </c>
      <c r="O33" s="95">
        <v>1406476.56</v>
      </c>
      <c r="P33" s="97">
        <v>102.49</v>
      </c>
      <c r="Q33" s="85"/>
      <c r="R33" s="95">
        <v>1441.49784</v>
      </c>
      <c r="S33" s="96">
        <v>3.2236878874265855E-4</v>
      </c>
      <c r="T33" s="96">
        <f t="shared" si="0"/>
        <v>2.8750496327751944E-2</v>
      </c>
      <c r="U33" s="96">
        <f>R33/'סכום נכסי הקרן'!$C$42</f>
        <v>6.8953665354116169E-3</v>
      </c>
    </row>
    <row r="34" spans="2:21" s="137" customFormat="1">
      <c r="B34" s="88" t="s">
        <v>358</v>
      </c>
      <c r="C34" s="85" t="s">
        <v>359</v>
      </c>
      <c r="D34" s="98" t="s">
        <v>118</v>
      </c>
      <c r="E34" s="98" t="s">
        <v>305</v>
      </c>
      <c r="F34" s="85" t="s">
        <v>329</v>
      </c>
      <c r="G34" s="98" t="s">
        <v>311</v>
      </c>
      <c r="H34" s="85" t="s">
        <v>339</v>
      </c>
      <c r="I34" s="85" t="s">
        <v>158</v>
      </c>
      <c r="J34" s="85"/>
      <c r="K34" s="95">
        <v>1.48</v>
      </c>
      <c r="L34" s="98" t="s">
        <v>162</v>
      </c>
      <c r="M34" s="99">
        <v>4.0999999999999995E-2</v>
      </c>
      <c r="N34" s="99">
        <v>-2.0000000000000005E-3</v>
      </c>
      <c r="O34" s="95">
        <v>1142403.1499999997</v>
      </c>
      <c r="P34" s="97">
        <v>131.94</v>
      </c>
      <c r="Q34" s="85"/>
      <c r="R34" s="95">
        <v>1507.2866999999997</v>
      </c>
      <c r="S34" s="96">
        <v>4.8876328853614498E-4</v>
      </c>
      <c r="T34" s="96">
        <f t="shared" si="0"/>
        <v>3.0062647012512579E-2</v>
      </c>
      <c r="U34" s="96">
        <f>R34/'סכום נכסי הקרן'!$C$42</f>
        <v>7.2100657954860398E-3</v>
      </c>
    </row>
    <row r="35" spans="2:21" s="137" customFormat="1">
      <c r="B35" s="88" t="s">
        <v>360</v>
      </c>
      <c r="C35" s="85" t="s">
        <v>361</v>
      </c>
      <c r="D35" s="98" t="s">
        <v>118</v>
      </c>
      <c r="E35" s="98" t="s">
        <v>305</v>
      </c>
      <c r="F35" s="85" t="s">
        <v>329</v>
      </c>
      <c r="G35" s="98" t="s">
        <v>311</v>
      </c>
      <c r="H35" s="85" t="s">
        <v>339</v>
      </c>
      <c r="I35" s="85" t="s">
        <v>158</v>
      </c>
      <c r="J35" s="85"/>
      <c r="K35" s="95">
        <v>2.58</v>
      </c>
      <c r="L35" s="98" t="s">
        <v>162</v>
      </c>
      <c r="M35" s="99">
        <v>0.04</v>
      </c>
      <c r="N35" s="99">
        <v>-1.1999999999999999E-3</v>
      </c>
      <c r="O35" s="95">
        <v>523243.99999999994</v>
      </c>
      <c r="P35" s="97">
        <v>119.31</v>
      </c>
      <c r="Q35" s="85"/>
      <c r="R35" s="95">
        <v>624.28242999999998</v>
      </c>
      <c r="S35" s="96">
        <v>1.8013918988936761E-4</v>
      </c>
      <c r="T35" s="96">
        <f t="shared" si="0"/>
        <v>1.245123593885861E-2</v>
      </c>
      <c r="U35" s="96">
        <f>R35/'סכום נכסי הקרן'!$C$42</f>
        <v>2.9862383813682616E-3</v>
      </c>
    </row>
    <row r="36" spans="2:21" s="137" customFormat="1">
      <c r="B36" s="88" t="s">
        <v>362</v>
      </c>
      <c r="C36" s="85" t="s">
        <v>363</v>
      </c>
      <c r="D36" s="98" t="s">
        <v>118</v>
      </c>
      <c r="E36" s="98" t="s">
        <v>305</v>
      </c>
      <c r="F36" s="85" t="s">
        <v>364</v>
      </c>
      <c r="G36" s="98" t="s">
        <v>353</v>
      </c>
      <c r="H36" s="85" t="s">
        <v>365</v>
      </c>
      <c r="I36" s="85" t="s">
        <v>307</v>
      </c>
      <c r="J36" s="85"/>
      <c r="K36" s="95">
        <v>1.3299999999999998</v>
      </c>
      <c r="L36" s="98" t="s">
        <v>162</v>
      </c>
      <c r="M36" s="99">
        <v>1.6399999999999998E-2</v>
      </c>
      <c r="N36" s="99">
        <v>-5.0000000000000001E-4</v>
      </c>
      <c r="O36" s="95">
        <v>58588.659999999989</v>
      </c>
      <c r="P36" s="97">
        <v>102.39</v>
      </c>
      <c r="Q36" s="85"/>
      <c r="R36" s="95">
        <v>59.988929999999996</v>
      </c>
      <c r="S36" s="96">
        <v>1.1254150168437988E-4</v>
      </c>
      <c r="T36" s="96">
        <f t="shared" si="0"/>
        <v>1.1964717974678118E-3</v>
      </c>
      <c r="U36" s="96">
        <f>R36/'סכום נכסי הקרן'!$C$42</f>
        <v>2.8695544935200876E-4</v>
      </c>
    </row>
    <row r="37" spans="2:21" s="137" customFormat="1">
      <c r="B37" s="88" t="s">
        <v>366</v>
      </c>
      <c r="C37" s="85" t="s">
        <v>367</v>
      </c>
      <c r="D37" s="98" t="s">
        <v>118</v>
      </c>
      <c r="E37" s="98" t="s">
        <v>305</v>
      </c>
      <c r="F37" s="85" t="s">
        <v>364</v>
      </c>
      <c r="G37" s="98" t="s">
        <v>353</v>
      </c>
      <c r="H37" s="85" t="s">
        <v>365</v>
      </c>
      <c r="I37" s="85" t="s">
        <v>307</v>
      </c>
      <c r="J37" s="85"/>
      <c r="K37" s="95">
        <v>5.44</v>
      </c>
      <c r="L37" s="98" t="s">
        <v>162</v>
      </c>
      <c r="M37" s="99">
        <v>2.3399999999999997E-2</v>
      </c>
      <c r="N37" s="99">
        <v>1.2800000000000001E-2</v>
      </c>
      <c r="O37" s="95">
        <v>711009.81999999983</v>
      </c>
      <c r="P37" s="97">
        <v>107.17</v>
      </c>
      <c r="Q37" s="85"/>
      <c r="R37" s="95">
        <v>761.98919999999987</v>
      </c>
      <c r="S37" s="96">
        <v>3.4279070422786107E-4</v>
      </c>
      <c r="T37" s="96">
        <f t="shared" si="0"/>
        <v>1.519778045341132E-2</v>
      </c>
      <c r="U37" s="96">
        <f>R37/'סכום נכסי הקרן'!$C$42</f>
        <v>3.644955048996167E-3</v>
      </c>
    </row>
    <row r="38" spans="2:21" s="137" customFormat="1">
      <c r="B38" s="88" t="s">
        <v>368</v>
      </c>
      <c r="C38" s="85" t="s">
        <v>369</v>
      </c>
      <c r="D38" s="98" t="s">
        <v>118</v>
      </c>
      <c r="E38" s="98" t="s">
        <v>305</v>
      </c>
      <c r="F38" s="85" t="s">
        <v>364</v>
      </c>
      <c r="G38" s="98" t="s">
        <v>353</v>
      </c>
      <c r="H38" s="85" t="s">
        <v>365</v>
      </c>
      <c r="I38" s="85" t="s">
        <v>307</v>
      </c>
      <c r="J38" s="85"/>
      <c r="K38" s="95">
        <v>2.3200000000000003</v>
      </c>
      <c r="L38" s="98" t="s">
        <v>162</v>
      </c>
      <c r="M38" s="99">
        <v>0.03</v>
      </c>
      <c r="N38" s="99">
        <v>4.0000000000000002E-4</v>
      </c>
      <c r="O38" s="95">
        <v>282864.61999999994</v>
      </c>
      <c r="P38" s="97">
        <v>108.9</v>
      </c>
      <c r="Q38" s="85"/>
      <c r="R38" s="95">
        <v>308.03956999999997</v>
      </c>
      <c r="S38" s="96">
        <v>5.2252846259022109E-4</v>
      </c>
      <c r="T38" s="96">
        <f t="shared" si="0"/>
        <v>6.1438111666454439E-3</v>
      </c>
      <c r="U38" s="96">
        <f>R38/'סכום נכסי הקרן'!$C$42</f>
        <v>1.4734990810396111E-3</v>
      </c>
    </row>
    <row r="39" spans="2:21" s="137" customFormat="1">
      <c r="B39" s="88" t="s">
        <v>370</v>
      </c>
      <c r="C39" s="85" t="s">
        <v>371</v>
      </c>
      <c r="D39" s="98" t="s">
        <v>118</v>
      </c>
      <c r="E39" s="98" t="s">
        <v>305</v>
      </c>
      <c r="F39" s="85" t="s">
        <v>372</v>
      </c>
      <c r="G39" s="98" t="s">
        <v>353</v>
      </c>
      <c r="H39" s="85" t="s">
        <v>365</v>
      </c>
      <c r="I39" s="85" t="s">
        <v>158</v>
      </c>
      <c r="J39" s="85"/>
      <c r="K39" s="95">
        <v>2.48</v>
      </c>
      <c r="L39" s="98" t="s">
        <v>162</v>
      </c>
      <c r="M39" s="99">
        <v>4.8000000000000001E-2</v>
      </c>
      <c r="N39" s="99">
        <v>4.0000000000000007E-4</v>
      </c>
      <c r="O39" s="95">
        <v>718792.99999999988</v>
      </c>
      <c r="P39" s="97">
        <v>115.81</v>
      </c>
      <c r="Q39" s="85"/>
      <c r="R39" s="95">
        <v>832.43416999999977</v>
      </c>
      <c r="S39" s="96">
        <v>5.2870075745873983E-4</v>
      </c>
      <c r="T39" s="96">
        <f t="shared" si="0"/>
        <v>1.6602796676878983E-2</v>
      </c>
      <c r="U39" s="96">
        <f>R39/'סכום נכסי הקרן'!$C$42</f>
        <v>3.9819266872790759E-3</v>
      </c>
    </row>
    <row r="40" spans="2:21" s="137" customFormat="1">
      <c r="B40" s="88" t="s">
        <v>373</v>
      </c>
      <c r="C40" s="85" t="s">
        <v>374</v>
      </c>
      <c r="D40" s="98" t="s">
        <v>118</v>
      </c>
      <c r="E40" s="98" t="s">
        <v>305</v>
      </c>
      <c r="F40" s="85" t="s">
        <v>372</v>
      </c>
      <c r="G40" s="98" t="s">
        <v>353</v>
      </c>
      <c r="H40" s="85" t="s">
        <v>365</v>
      </c>
      <c r="I40" s="85" t="s">
        <v>158</v>
      </c>
      <c r="J40" s="85"/>
      <c r="K40" s="95">
        <v>6.4399999999999995</v>
      </c>
      <c r="L40" s="98" t="s">
        <v>162</v>
      </c>
      <c r="M40" s="99">
        <v>3.2000000000000001E-2</v>
      </c>
      <c r="N40" s="99">
        <v>1.43E-2</v>
      </c>
      <c r="O40" s="95">
        <v>426768.99999999994</v>
      </c>
      <c r="P40" s="97">
        <v>112.5</v>
      </c>
      <c r="Q40" s="85"/>
      <c r="R40" s="95">
        <v>480.11511999999993</v>
      </c>
      <c r="S40" s="96">
        <v>2.5870808721544891E-4</v>
      </c>
      <c r="T40" s="96">
        <f t="shared" si="0"/>
        <v>9.5758367521786795E-3</v>
      </c>
      <c r="U40" s="96">
        <f>R40/'סכום נכסי הקרן'!$C$42</f>
        <v>2.2966178926727581E-3</v>
      </c>
    </row>
    <row r="41" spans="2:21" s="137" customFormat="1">
      <c r="B41" s="88" t="s">
        <v>375</v>
      </c>
      <c r="C41" s="85" t="s">
        <v>376</v>
      </c>
      <c r="D41" s="98" t="s">
        <v>118</v>
      </c>
      <c r="E41" s="98" t="s">
        <v>305</v>
      </c>
      <c r="F41" s="85" t="s">
        <v>372</v>
      </c>
      <c r="G41" s="98" t="s">
        <v>353</v>
      </c>
      <c r="H41" s="85" t="s">
        <v>365</v>
      </c>
      <c r="I41" s="85" t="s">
        <v>158</v>
      </c>
      <c r="J41" s="85"/>
      <c r="K41" s="95">
        <v>1.23</v>
      </c>
      <c r="L41" s="98" t="s">
        <v>162</v>
      </c>
      <c r="M41" s="99">
        <v>4.9000000000000002E-2</v>
      </c>
      <c r="N41" s="99">
        <v>-1.9E-3</v>
      </c>
      <c r="O41" s="95">
        <v>105405.63999999998</v>
      </c>
      <c r="P41" s="97">
        <v>119.44</v>
      </c>
      <c r="Q41" s="85"/>
      <c r="R41" s="95">
        <v>125.89648999999997</v>
      </c>
      <c r="S41" s="96">
        <v>3.5471530859494248E-4</v>
      </c>
      <c r="T41" s="96">
        <f t="shared" si="0"/>
        <v>2.5109899390635634E-3</v>
      </c>
      <c r="U41" s="96">
        <f>R41/'סכום נכסי הקרן'!$C$42</f>
        <v>6.0222250771585137E-4</v>
      </c>
    </row>
    <row r="42" spans="2:21" s="137" customFormat="1">
      <c r="B42" s="88" t="s">
        <v>377</v>
      </c>
      <c r="C42" s="85" t="s">
        <v>378</v>
      </c>
      <c r="D42" s="98" t="s">
        <v>118</v>
      </c>
      <c r="E42" s="98" t="s">
        <v>305</v>
      </c>
      <c r="F42" s="85" t="s">
        <v>379</v>
      </c>
      <c r="G42" s="98" t="s">
        <v>380</v>
      </c>
      <c r="H42" s="85" t="s">
        <v>365</v>
      </c>
      <c r="I42" s="85" t="s">
        <v>158</v>
      </c>
      <c r="J42" s="85"/>
      <c r="K42" s="95">
        <v>2.13</v>
      </c>
      <c r="L42" s="98" t="s">
        <v>162</v>
      </c>
      <c r="M42" s="99">
        <v>3.7000000000000005E-2</v>
      </c>
      <c r="N42" s="99">
        <v>-1E-4</v>
      </c>
      <c r="O42" s="95">
        <v>514646.99999999994</v>
      </c>
      <c r="P42" s="97">
        <v>113.5</v>
      </c>
      <c r="Q42" s="85"/>
      <c r="R42" s="95">
        <v>584.12437999999986</v>
      </c>
      <c r="S42" s="96">
        <v>1.7155005165899999E-4</v>
      </c>
      <c r="T42" s="96">
        <f t="shared" si="0"/>
        <v>1.1650288592968254E-2</v>
      </c>
      <c r="U42" s="96">
        <f>R42/'סכום נכסי הקרן'!$C$42</f>
        <v>2.7941434184667649E-3</v>
      </c>
    </row>
    <row r="43" spans="2:21" s="137" customFormat="1">
      <c r="B43" s="88" t="s">
        <v>381</v>
      </c>
      <c r="C43" s="85" t="s">
        <v>382</v>
      </c>
      <c r="D43" s="98" t="s">
        <v>118</v>
      </c>
      <c r="E43" s="98" t="s">
        <v>305</v>
      </c>
      <c r="F43" s="85" t="s">
        <v>379</v>
      </c>
      <c r="G43" s="98" t="s">
        <v>380</v>
      </c>
      <c r="H43" s="85" t="s">
        <v>365</v>
      </c>
      <c r="I43" s="85" t="s">
        <v>158</v>
      </c>
      <c r="J43" s="85"/>
      <c r="K43" s="95">
        <v>5.6099999999999994</v>
      </c>
      <c r="L43" s="98" t="s">
        <v>162</v>
      </c>
      <c r="M43" s="99">
        <v>2.2000000000000002E-2</v>
      </c>
      <c r="N43" s="99">
        <v>1.3099999999999999E-2</v>
      </c>
      <c r="O43" s="95">
        <v>281261.99999999994</v>
      </c>
      <c r="P43" s="97">
        <v>106.26</v>
      </c>
      <c r="Q43" s="85"/>
      <c r="R43" s="95">
        <v>298.86901999999998</v>
      </c>
      <c r="S43" s="96">
        <v>3.1900551813241412E-4</v>
      </c>
      <c r="T43" s="96">
        <f t="shared" si="0"/>
        <v>5.960905679878661E-3</v>
      </c>
      <c r="U43" s="96">
        <f>R43/'סכום נכסי הקרן'!$C$42</f>
        <v>1.4296319992954448E-3</v>
      </c>
    </row>
    <row r="44" spans="2:21" s="137" customFormat="1">
      <c r="B44" s="88" t="s">
        <v>383</v>
      </c>
      <c r="C44" s="85" t="s">
        <v>384</v>
      </c>
      <c r="D44" s="98" t="s">
        <v>118</v>
      </c>
      <c r="E44" s="98" t="s">
        <v>305</v>
      </c>
      <c r="F44" s="85" t="s">
        <v>385</v>
      </c>
      <c r="G44" s="98" t="s">
        <v>353</v>
      </c>
      <c r="H44" s="85" t="s">
        <v>365</v>
      </c>
      <c r="I44" s="85" t="s">
        <v>307</v>
      </c>
      <c r="J44" s="85"/>
      <c r="K44" s="95">
        <v>6.9799999999999995</v>
      </c>
      <c r="L44" s="98" t="s">
        <v>162</v>
      </c>
      <c r="M44" s="99">
        <v>1.8200000000000001E-2</v>
      </c>
      <c r="N44" s="99">
        <v>1.7899999999999999E-2</v>
      </c>
      <c r="O44" s="95">
        <v>127999.99999999999</v>
      </c>
      <c r="P44" s="97">
        <v>100.65</v>
      </c>
      <c r="Q44" s="85"/>
      <c r="R44" s="95">
        <v>128.83199999999999</v>
      </c>
      <c r="S44" s="96">
        <v>4.866920152091254E-4</v>
      </c>
      <c r="T44" s="96">
        <f t="shared" si="0"/>
        <v>2.5695383233435426E-3</v>
      </c>
      <c r="U44" s="96">
        <f>R44/'סכום נכסי הקרן'!$C$42</f>
        <v>6.1626444163811545E-4</v>
      </c>
    </row>
    <row r="45" spans="2:21" s="137" customFormat="1">
      <c r="B45" s="88" t="s">
        <v>386</v>
      </c>
      <c r="C45" s="85" t="s">
        <v>387</v>
      </c>
      <c r="D45" s="98" t="s">
        <v>118</v>
      </c>
      <c r="E45" s="98" t="s">
        <v>305</v>
      </c>
      <c r="F45" s="85" t="s">
        <v>338</v>
      </c>
      <c r="G45" s="98" t="s">
        <v>311</v>
      </c>
      <c r="H45" s="85" t="s">
        <v>365</v>
      </c>
      <c r="I45" s="85" t="s">
        <v>158</v>
      </c>
      <c r="J45" s="85"/>
      <c r="K45" s="95">
        <v>1.3199999999999998</v>
      </c>
      <c r="L45" s="98" t="s">
        <v>162</v>
      </c>
      <c r="M45" s="99">
        <v>3.1E-2</v>
      </c>
      <c r="N45" s="99">
        <v>-4.3000000000000009E-3</v>
      </c>
      <c r="O45" s="95">
        <v>101039.99999999999</v>
      </c>
      <c r="P45" s="97">
        <v>113.33</v>
      </c>
      <c r="Q45" s="85"/>
      <c r="R45" s="95">
        <v>114.50863999999999</v>
      </c>
      <c r="S45" s="96">
        <v>1.9579414640611935E-4</v>
      </c>
      <c r="T45" s="96">
        <f t="shared" si="0"/>
        <v>2.2838606777349515E-3</v>
      </c>
      <c r="U45" s="96">
        <f>R45/'סכום נכסי הקרן'!$C$42</f>
        <v>5.477490304609101E-4</v>
      </c>
    </row>
    <row r="46" spans="2:21" s="137" customFormat="1">
      <c r="B46" s="88" t="s">
        <v>388</v>
      </c>
      <c r="C46" s="85" t="s">
        <v>389</v>
      </c>
      <c r="D46" s="98" t="s">
        <v>118</v>
      </c>
      <c r="E46" s="98" t="s">
        <v>305</v>
      </c>
      <c r="F46" s="85" t="s">
        <v>338</v>
      </c>
      <c r="G46" s="98" t="s">
        <v>311</v>
      </c>
      <c r="H46" s="85" t="s">
        <v>365</v>
      </c>
      <c r="I46" s="85" t="s">
        <v>158</v>
      </c>
      <c r="J46" s="85"/>
      <c r="K46" s="95">
        <v>0.7799999999999998</v>
      </c>
      <c r="L46" s="98" t="s">
        <v>162</v>
      </c>
      <c r="M46" s="99">
        <v>2.7999999999999997E-2</v>
      </c>
      <c r="N46" s="99">
        <v>-5.0000000000000001E-3</v>
      </c>
      <c r="O46" s="95">
        <v>1411896.9999999998</v>
      </c>
      <c r="P46" s="97">
        <v>105.47</v>
      </c>
      <c r="Q46" s="85"/>
      <c r="R46" s="95">
        <v>1489.1278600000001</v>
      </c>
      <c r="S46" s="96">
        <v>1.4355359708316852E-3</v>
      </c>
      <c r="T46" s="96">
        <f t="shared" si="0"/>
        <v>2.970047119216156E-2</v>
      </c>
      <c r="U46" s="96">
        <f>R46/'סכום נכסי הקרן'!$C$42</f>
        <v>7.1232034678547392E-3</v>
      </c>
    </row>
    <row r="47" spans="2:21" s="137" customFormat="1">
      <c r="B47" s="88" t="s">
        <v>390</v>
      </c>
      <c r="C47" s="85" t="s">
        <v>391</v>
      </c>
      <c r="D47" s="98" t="s">
        <v>118</v>
      </c>
      <c r="E47" s="98" t="s">
        <v>305</v>
      </c>
      <c r="F47" s="85" t="s">
        <v>310</v>
      </c>
      <c r="G47" s="98" t="s">
        <v>311</v>
      </c>
      <c r="H47" s="85" t="s">
        <v>365</v>
      </c>
      <c r="I47" s="85" t="s">
        <v>158</v>
      </c>
      <c r="J47" s="85"/>
      <c r="K47" s="95">
        <v>2.2499999999999996</v>
      </c>
      <c r="L47" s="98" t="s">
        <v>162</v>
      </c>
      <c r="M47" s="99">
        <v>0.04</v>
      </c>
      <c r="N47" s="99">
        <v>-1.8999999999999998E-3</v>
      </c>
      <c r="O47" s="95">
        <v>522718.99999999994</v>
      </c>
      <c r="P47" s="97">
        <v>119.89</v>
      </c>
      <c r="Q47" s="85"/>
      <c r="R47" s="95">
        <v>626.68781000000001</v>
      </c>
      <c r="S47" s="96">
        <v>3.8719983288864127E-4</v>
      </c>
      <c r="T47" s="96">
        <f t="shared" si="0"/>
        <v>1.2499210945783941E-2</v>
      </c>
      <c r="U47" s="96">
        <f>R47/'סכום נכסי הקרן'!$C$42</f>
        <v>2.9977444525511004E-3</v>
      </c>
    </row>
    <row r="48" spans="2:21" s="137" customFormat="1">
      <c r="B48" s="88" t="s">
        <v>392</v>
      </c>
      <c r="C48" s="85" t="s">
        <v>393</v>
      </c>
      <c r="D48" s="98" t="s">
        <v>118</v>
      </c>
      <c r="E48" s="98" t="s">
        <v>305</v>
      </c>
      <c r="F48" s="85" t="s">
        <v>394</v>
      </c>
      <c r="G48" s="98" t="s">
        <v>353</v>
      </c>
      <c r="H48" s="85" t="s">
        <v>365</v>
      </c>
      <c r="I48" s="85" t="s">
        <v>158</v>
      </c>
      <c r="J48" s="85"/>
      <c r="K48" s="95">
        <v>4.5999999999999996</v>
      </c>
      <c r="L48" s="98" t="s">
        <v>162</v>
      </c>
      <c r="M48" s="99">
        <v>4.7500000000000001E-2</v>
      </c>
      <c r="N48" s="99">
        <v>8.8999999999999982E-3</v>
      </c>
      <c r="O48" s="95">
        <v>625054.99999999988</v>
      </c>
      <c r="P48" s="97">
        <v>144.4</v>
      </c>
      <c r="Q48" s="85"/>
      <c r="R48" s="95">
        <v>902.57940999999983</v>
      </c>
      <c r="S48" s="96">
        <v>3.3119005987389385E-4</v>
      </c>
      <c r="T48" s="96">
        <f t="shared" si="0"/>
        <v>1.8001834822527041E-2</v>
      </c>
      <c r="U48" s="96">
        <f>R48/'סכום נכסי הקרן'!$C$42</f>
        <v>4.3174645750877856E-3</v>
      </c>
    </row>
    <row r="49" spans="2:21" s="137" customFormat="1">
      <c r="B49" s="88" t="s">
        <v>395</v>
      </c>
      <c r="C49" s="85" t="s">
        <v>396</v>
      </c>
      <c r="D49" s="98" t="s">
        <v>118</v>
      </c>
      <c r="E49" s="98" t="s">
        <v>305</v>
      </c>
      <c r="F49" s="85" t="s">
        <v>397</v>
      </c>
      <c r="G49" s="98" t="s">
        <v>311</v>
      </c>
      <c r="H49" s="85" t="s">
        <v>365</v>
      </c>
      <c r="I49" s="85" t="s">
        <v>158</v>
      </c>
      <c r="J49" s="85"/>
      <c r="K49" s="95">
        <v>2.0100000000000002</v>
      </c>
      <c r="L49" s="98" t="s">
        <v>162</v>
      </c>
      <c r="M49" s="99">
        <v>4.7500000000000001E-2</v>
      </c>
      <c r="N49" s="99">
        <v>-3.6000000000000008E-3</v>
      </c>
      <c r="O49" s="95">
        <v>145475.60999999996</v>
      </c>
      <c r="P49" s="97">
        <v>136.19999999999999</v>
      </c>
      <c r="Q49" s="85"/>
      <c r="R49" s="95">
        <v>198.13776999999996</v>
      </c>
      <c r="S49" s="96">
        <v>4.0098183978158662E-4</v>
      </c>
      <c r="T49" s="96">
        <f t="shared" si="0"/>
        <v>3.9518333435546171E-3</v>
      </c>
      <c r="U49" s="96">
        <f>R49/'סכום נכסי הקרן'!$C$42</f>
        <v>9.4778674705408065E-4</v>
      </c>
    </row>
    <row r="50" spans="2:21" s="137" customFormat="1">
      <c r="B50" s="88" t="s">
        <v>398</v>
      </c>
      <c r="C50" s="85" t="s">
        <v>399</v>
      </c>
      <c r="D50" s="98" t="s">
        <v>118</v>
      </c>
      <c r="E50" s="98" t="s">
        <v>305</v>
      </c>
      <c r="F50" s="85" t="s">
        <v>400</v>
      </c>
      <c r="G50" s="98" t="s">
        <v>311</v>
      </c>
      <c r="H50" s="85" t="s">
        <v>365</v>
      </c>
      <c r="I50" s="85" t="s">
        <v>307</v>
      </c>
      <c r="J50" s="85"/>
      <c r="K50" s="95">
        <v>2.7800000000000002</v>
      </c>
      <c r="L50" s="98" t="s">
        <v>162</v>
      </c>
      <c r="M50" s="99">
        <v>3.5499999999999997E-2</v>
      </c>
      <c r="N50" s="99">
        <v>-1.2999999999999999E-3</v>
      </c>
      <c r="O50" s="95">
        <v>379475.94999999995</v>
      </c>
      <c r="P50" s="97">
        <v>120.06</v>
      </c>
      <c r="Q50" s="85"/>
      <c r="R50" s="95">
        <v>455.59878999999989</v>
      </c>
      <c r="S50" s="96">
        <v>1.0648463048087732E-3</v>
      </c>
      <c r="T50" s="96">
        <f t="shared" si="0"/>
        <v>9.0868615792190337E-3</v>
      </c>
      <c r="U50" s="96">
        <f>R50/'סכום נכסי הקרן'!$C$42</f>
        <v>2.1793446809049845E-3</v>
      </c>
    </row>
    <row r="51" spans="2:21" s="137" customFormat="1">
      <c r="B51" s="88" t="s">
        <v>401</v>
      </c>
      <c r="C51" s="85" t="s">
        <v>402</v>
      </c>
      <c r="D51" s="98" t="s">
        <v>118</v>
      </c>
      <c r="E51" s="98" t="s">
        <v>305</v>
      </c>
      <c r="F51" s="85" t="s">
        <v>400</v>
      </c>
      <c r="G51" s="98" t="s">
        <v>311</v>
      </c>
      <c r="H51" s="85" t="s">
        <v>365</v>
      </c>
      <c r="I51" s="85" t="s">
        <v>307</v>
      </c>
      <c r="J51" s="85"/>
      <c r="K51" s="95">
        <v>1.1700000000000002</v>
      </c>
      <c r="L51" s="98" t="s">
        <v>162</v>
      </c>
      <c r="M51" s="99">
        <v>4.6500000000000007E-2</v>
      </c>
      <c r="N51" s="99">
        <v>-6.6E-3</v>
      </c>
      <c r="O51" s="95">
        <v>118752.36999999998</v>
      </c>
      <c r="P51" s="97">
        <v>132.82</v>
      </c>
      <c r="Q51" s="85"/>
      <c r="R51" s="95">
        <v>157.72689999999997</v>
      </c>
      <c r="S51" s="96">
        <v>3.6193218898866497E-4</v>
      </c>
      <c r="T51" s="96">
        <f t="shared" si="0"/>
        <v>3.1458435339991194E-3</v>
      </c>
      <c r="U51" s="96">
        <f>R51/'סכום נכסי הקרן'!$C$42</f>
        <v>7.544824264143292E-4</v>
      </c>
    </row>
    <row r="52" spans="2:21" s="137" customFormat="1">
      <c r="B52" s="88" t="s">
        <v>403</v>
      </c>
      <c r="C52" s="85" t="s">
        <v>404</v>
      </c>
      <c r="D52" s="98" t="s">
        <v>118</v>
      </c>
      <c r="E52" s="98" t="s">
        <v>305</v>
      </c>
      <c r="F52" s="85" t="s">
        <v>400</v>
      </c>
      <c r="G52" s="98" t="s">
        <v>311</v>
      </c>
      <c r="H52" s="85" t="s">
        <v>365</v>
      </c>
      <c r="I52" s="85" t="s">
        <v>307</v>
      </c>
      <c r="J52" s="85"/>
      <c r="K52" s="95">
        <v>5.6099999999999994</v>
      </c>
      <c r="L52" s="98" t="s">
        <v>162</v>
      </c>
      <c r="M52" s="99">
        <v>1.4999999999999999E-2</v>
      </c>
      <c r="N52" s="99">
        <v>6.2999999999999992E-3</v>
      </c>
      <c r="O52" s="95">
        <v>284080.55</v>
      </c>
      <c r="P52" s="97">
        <v>106.12</v>
      </c>
      <c r="Q52" s="85"/>
      <c r="R52" s="95">
        <v>301.46629999999999</v>
      </c>
      <c r="S52" s="96">
        <v>5.0948534312522285E-4</v>
      </c>
      <c r="T52" s="96">
        <f t="shared" si="0"/>
        <v>6.012708108595546E-3</v>
      </c>
      <c r="U52" s="96">
        <f>R52/'סכום נכסי הקרן'!$C$42</f>
        <v>1.4420560190186336E-3</v>
      </c>
    </row>
    <row r="53" spans="2:21" s="137" customFormat="1">
      <c r="B53" s="88" t="s">
        <v>405</v>
      </c>
      <c r="C53" s="85" t="s">
        <v>406</v>
      </c>
      <c r="D53" s="98" t="s">
        <v>118</v>
      </c>
      <c r="E53" s="98" t="s">
        <v>305</v>
      </c>
      <c r="F53" s="85" t="s">
        <v>407</v>
      </c>
      <c r="G53" s="98" t="s">
        <v>408</v>
      </c>
      <c r="H53" s="85" t="s">
        <v>365</v>
      </c>
      <c r="I53" s="85" t="s">
        <v>158</v>
      </c>
      <c r="J53" s="85"/>
      <c r="K53" s="95">
        <v>7.91</v>
      </c>
      <c r="L53" s="98" t="s">
        <v>162</v>
      </c>
      <c r="M53" s="99">
        <v>3.85E-2</v>
      </c>
      <c r="N53" s="99">
        <v>1.52E-2</v>
      </c>
      <c r="O53" s="95">
        <v>391913.90999999992</v>
      </c>
      <c r="P53" s="97">
        <v>122.89</v>
      </c>
      <c r="Q53" s="85"/>
      <c r="R53" s="95">
        <v>481.62302999999991</v>
      </c>
      <c r="S53" s="96">
        <v>1.4400750482125081E-4</v>
      </c>
      <c r="T53" s="96">
        <f t="shared" si="0"/>
        <v>9.6059118308326856E-3</v>
      </c>
      <c r="U53" s="96">
        <f>R53/'סכום נכסי הקרן'!$C$42</f>
        <v>2.3038309400071977E-3</v>
      </c>
    </row>
    <row r="54" spans="2:21" s="137" customFormat="1">
      <c r="B54" s="88" t="s">
        <v>409</v>
      </c>
      <c r="C54" s="85" t="s">
        <v>410</v>
      </c>
      <c r="D54" s="98" t="s">
        <v>118</v>
      </c>
      <c r="E54" s="98" t="s">
        <v>305</v>
      </c>
      <c r="F54" s="85" t="s">
        <v>407</v>
      </c>
      <c r="G54" s="98" t="s">
        <v>408</v>
      </c>
      <c r="H54" s="85" t="s">
        <v>365</v>
      </c>
      <c r="I54" s="85" t="s">
        <v>158</v>
      </c>
      <c r="J54" s="85"/>
      <c r="K54" s="95">
        <v>6.11</v>
      </c>
      <c r="L54" s="98" t="s">
        <v>162</v>
      </c>
      <c r="M54" s="99">
        <v>4.4999999999999998E-2</v>
      </c>
      <c r="N54" s="99">
        <v>1.1899999999999999E-2</v>
      </c>
      <c r="O54" s="95">
        <v>1420559.9999999998</v>
      </c>
      <c r="P54" s="97">
        <v>124.25</v>
      </c>
      <c r="Q54" s="85"/>
      <c r="R54" s="95">
        <v>1765.0458499999995</v>
      </c>
      <c r="S54" s="96">
        <v>4.8293990380365821E-4</v>
      </c>
      <c r="T54" s="96">
        <f t="shared" si="0"/>
        <v>3.5203621414194274E-2</v>
      </c>
      <c r="U54" s="96">
        <f>R54/'סכום נכסי הקרן'!$C$42</f>
        <v>8.4430498262537453E-3</v>
      </c>
    </row>
    <row r="55" spans="2:21" s="137" customFormat="1">
      <c r="B55" s="88" t="s">
        <v>411</v>
      </c>
      <c r="C55" s="85" t="s">
        <v>412</v>
      </c>
      <c r="D55" s="98" t="s">
        <v>118</v>
      </c>
      <c r="E55" s="98" t="s">
        <v>305</v>
      </c>
      <c r="F55" s="85" t="s">
        <v>310</v>
      </c>
      <c r="G55" s="98" t="s">
        <v>311</v>
      </c>
      <c r="H55" s="85" t="s">
        <v>365</v>
      </c>
      <c r="I55" s="85" t="s">
        <v>307</v>
      </c>
      <c r="J55" s="85"/>
      <c r="K55" s="95">
        <v>4.6499999999999995</v>
      </c>
      <c r="L55" s="98" t="s">
        <v>162</v>
      </c>
      <c r="M55" s="99">
        <v>1.6399999999999998E-2</v>
      </c>
      <c r="N55" s="99">
        <v>1.41E-2</v>
      </c>
      <c r="O55" s="95">
        <f>250000/50000</f>
        <v>5</v>
      </c>
      <c r="P55" s="97">
        <v>5085000</v>
      </c>
      <c r="Q55" s="85"/>
      <c r="R55" s="95">
        <v>254.25000999999995</v>
      </c>
      <c r="S55" s="96">
        <f>2036.49397197784%/50000</f>
        <v>4.0729879439556799E-4</v>
      </c>
      <c r="T55" s="96">
        <f t="shared" si="0"/>
        <v>5.0709850379213146E-3</v>
      </c>
      <c r="U55" s="96">
        <f>R55/'סכום נכסי הקרן'!$C$42</f>
        <v>1.2161981530142763E-3</v>
      </c>
    </row>
    <row r="56" spans="2:21" s="137" customFormat="1">
      <c r="B56" s="88" t="s">
        <v>413</v>
      </c>
      <c r="C56" s="85" t="s">
        <v>414</v>
      </c>
      <c r="D56" s="98" t="s">
        <v>118</v>
      </c>
      <c r="E56" s="98" t="s">
        <v>305</v>
      </c>
      <c r="F56" s="85" t="s">
        <v>310</v>
      </c>
      <c r="G56" s="98" t="s">
        <v>311</v>
      </c>
      <c r="H56" s="85" t="s">
        <v>365</v>
      </c>
      <c r="I56" s="85" t="s">
        <v>307</v>
      </c>
      <c r="J56" s="85"/>
      <c r="K56" s="95">
        <v>8.5999999999999979</v>
      </c>
      <c r="L56" s="98" t="s">
        <v>162</v>
      </c>
      <c r="M56" s="99">
        <v>2.7799999999999998E-2</v>
      </c>
      <c r="N56" s="99">
        <v>2.6999999999999996E-2</v>
      </c>
      <c r="O56" s="95">
        <f>100000/50000</f>
        <v>2</v>
      </c>
      <c r="P56" s="97">
        <v>5086469</v>
      </c>
      <c r="Q56" s="85"/>
      <c r="R56" s="95">
        <v>101.72938999999998</v>
      </c>
      <c r="S56" s="96">
        <f>2391.20038259206%/50000</f>
        <v>4.78240076518412E-4</v>
      </c>
      <c r="T56" s="96">
        <f t="shared" si="0"/>
        <v>2.028980115308008E-3</v>
      </c>
      <c r="U56" s="96">
        <f>R56/'סכום נכסי הקרן'!$C$42</f>
        <v>4.8661982835426039E-4</v>
      </c>
    </row>
    <row r="57" spans="2:21" s="137" customFormat="1">
      <c r="B57" s="88" t="s">
        <v>415</v>
      </c>
      <c r="C57" s="85" t="s">
        <v>416</v>
      </c>
      <c r="D57" s="98" t="s">
        <v>118</v>
      </c>
      <c r="E57" s="98" t="s">
        <v>305</v>
      </c>
      <c r="F57" s="85" t="s">
        <v>310</v>
      </c>
      <c r="G57" s="98" t="s">
        <v>311</v>
      </c>
      <c r="H57" s="85" t="s">
        <v>365</v>
      </c>
      <c r="I57" s="85" t="s">
        <v>158</v>
      </c>
      <c r="J57" s="85"/>
      <c r="K57" s="95">
        <v>1.79</v>
      </c>
      <c r="L57" s="98" t="s">
        <v>162</v>
      </c>
      <c r="M57" s="99">
        <v>0.05</v>
      </c>
      <c r="N57" s="99">
        <v>-2.5000000000000001E-3</v>
      </c>
      <c r="O57" s="95">
        <v>503284.99999999994</v>
      </c>
      <c r="P57" s="97">
        <v>122.01</v>
      </c>
      <c r="Q57" s="85"/>
      <c r="R57" s="95">
        <v>614.05802999999992</v>
      </c>
      <c r="S57" s="96">
        <v>5.0328550328550324E-4</v>
      </c>
      <c r="T57" s="96">
        <f t="shared" si="0"/>
        <v>1.2247311544040601E-2</v>
      </c>
      <c r="U57" s="96">
        <f>R57/'סכום נכסי הקרן'!$C$42</f>
        <v>2.9373302362095681E-3</v>
      </c>
    </row>
    <row r="58" spans="2:21" s="137" customFormat="1">
      <c r="B58" s="88" t="s">
        <v>417</v>
      </c>
      <c r="C58" s="85" t="s">
        <v>418</v>
      </c>
      <c r="D58" s="98" t="s">
        <v>118</v>
      </c>
      <c r="E58" s="98" t="s">
        <v>305</v>
      </c>
      <c r="F58" s="85" t="s">
        <v>419</v>
      </c>
      <c r="G58" s="98" t="s">
        <v>353</v>
      </c>
      <c r="H58" s="85" t="s">
        <v>365</v>
      </c>
      <c r="I58" s="85" t="s">
        <v>307</v>
      </c>
      <c r="J58" s="85"/>
      <c r="K58" s="95">
        <v>1.6800000000000002</v>
      </c>
      <c r="L58" s="98" t="s">
        <v>162</v>
      </c>
      <c r="M58" s="99">
        <v>5.0999999999999997E-2</v>
      </c>
      <c r="N58" s="99">
        <v>-5.6000000000000017E-3</v>
      </c>
      <c r="O58" s="95">
        <v>136860.93999999997</v>
      </c>
      <c r="P58" s="97">
        <v>123.7</v>
      </c>
      <c r="Q58" s="85"/>
      <c r="R58" s="95">
        <v>169.29699999999997</v>
      </c>
      <c r="S58" s="96">
        <v>2.9680217651005639E-4</v>
      </c>
      <c r="T58" s="96">
        <f t="shared" si="0"/>
        <v>3.376607749061504E-3</v>
      </c>
      <c r="U58" s="96">
        <f>R58/'סכום נכסי הקרן'!$C$42</f>
        <v>8.0982769169156736E-4</v>
      </c>
    </row>
    <row r="59" spans="2:21" s="137" customFormat="1">
      <c r="B59" s="88" t="s">
        <v>420</v>
      </c>
      <c r="C59" s="85" t="s">
        <v>421</v>
      </c>
      <c r="D59" s="98" t="s">
        <v>118</v>
      </c>
      <c r="E59" s="98" t="s">
        <v>305</v>
      </c>
      <c r="F59" s="85" t="s">
        <v>419</v>
      </c>
      <c r="G59" s="98" t="s">
        <v>353</v>
      </c>
      <c r="H59" s="85" t="s">
        <v>365</v>
      </c>
      <c r="I59" s="85" t="s">
        <v>307</v>
      </c>
      <c r="J59" s="85"/>
      <c r="K59" s="95">
        <v>3.04</v>
      </c>
      <c r="L59" s="98" t="s">
        <v>162</v>
      </c>
      <c r="M59" s="99">
        <v>2.5499999999999998E-2</v>
      </c>
      <c r="N59" s="99">
        <v>3.3999999999999998E-3</v>
      </c>
      <c r="O59" s="95">
        <v>101506.39999999998</v>
      </c>
      <c r="P59" s="97">
        <v>109.01</v>
      </c>
      <c r="Q59" s="85"/>
      <c r="R59" s="95">
        <v>110.65213999999999</v>
      </c>
      <c r="S59" s="96">
        <v>1.1574500699825446E-4</v>
      </c>
      <c r="T59" s="96">
        <f t="shared" si="0"/>
        <v>2.2069432616894477E-3</v>
      </c>
      <c r="U59" s="96">
        <f>R59/'סכום נכסי הקרן'!$C$42</f>
        <v>5.2930156539650536E-4</v>
      </c>
    </row>
    <row r="60" spans="2:21" s="137" customFormat="1">
      <c r="B60" s="88" t="s">
        <v>422</v>
      </c>
      <c r="C60" s="85" t="s">
        <v>423</v>
      </c>
      <c r="D60" s="98" t="s">
        <v>118</v>
      </c>
      <c r="E60" s="98" t="s">
        <v>305</v>
      </c>
      <c r="F60" s="85" t="s">
        <v>419</v>
      </c>
      <c r="G60" s="98" t="s">
        <v>353</v>
      </c>
      <c r="H60" s="85" t="s">
        <v>365</v>
      </c>
      <c r="I60" s="85" t="s">
        <v>307</v>
      </c>
      <c r="J60" s="85"/>
      <c r="K60" s="95">
        <v>7.17</v>
      </c>
      <c r="L60" s="98" t="s">
        <v>162</v>
      </c>
      <c r="M60" s="99">
        <v>2.35E-2</v>
      </c>
      <c r="N60" s="99">
        <v>1.8000000000000006E-2</v>
      </c>
      <c r="O60" s="95">
        <f>316560-3263.51</f>
        <v>313296.49</v>
      </c>
      <c r="P60" s="97">
        <v>105.47</v>
      </c>
      <c r="Q60" s="95">
        <f>7080.85/1000</f>
        <v>7.0808500000000008</v>
      </c>
      <c r="R60" s="95">
        <v>337.64747999999992</v>
      </c>
      <c r="S60" s="96">
        <v>3.9072920074073342E-4</v>
      </c>
      <c r="T60" s="96">
        <f t="shared" si="0"/>
        <v>6.7343372736616072E-3</v>
      </c>
      <c r="U60" s="96">
        <f>R60/'סכום נכסי הקרן'!$C$42</f>
        <v>1.6151277301657717E-3</v>
      </c>
    </row>
    <row r="61" spans="2:21" s="137" customFormat="1">
      <c r="B61" s="88" t="s">
        <v>424</v>
      </c>
      <c r="C61" s="85" t="s">
        <v>425</v>
      </c>
      <c r="D61" s="98" t="s">
        <v>118</v>
      </c>
      <c r="E61" s="98" t="s">
        <v>305</v>
      </c>
      <c r="F61" s="85" t="s">
        <v>419</v>
      </c>
      <c r="G61" s="98" t="s">
        <v>353</v>
      </c>
      <c r="H61" s="85" t="s">
        <v>365</v>
      </c>
      <c r="I61" s="85" t="s">
        <v>307</v>
      </c>
      <c r="J61" s="85"/>
      <c r="K61" s="95">
        <v>5.97</v>
      </c>
      <c r="L61" s="98" t="s">
        <v>162</v>
      </c>
      <c r="M61" s="99">
        <v>1.7600000000000001E-2</v>
      </c>
      <c r="N61" s="99">
        <v>1.3600000000000001E-2</v>
      </c>
      <c r="O61" s="95">
        <v>400717.15</v>
      </c>
      <c r="P61" s="97">
        <v>104.69</v>
      </c>
      <c r="Q61" s="85"/>
      <c r="R61" s="95">
        <v>419.51080999999994</v>
      </c>
      <c r="S61" s="96">
        <v>3.6173621623127852E-4</v>
      </c>
      <c r="T61" s="96">
        <f t="shared" si="0"/>
        <v>8.3670912766385004E-3</v>
      </c>
      <c r="U61" s="96">
        <f>R61/'סכום נכסי הקרן'!$C$42</f>
        <v>2.0067187894762441E-3</v>
      </c>
    </row>
    <row r="62" spans="2:21" s="137" customFormat="1">
      <c r="B62" s="88" t="s">
        <v>426</v>
      </c>
      <c r="C62" s="85" t="s">
        <v>427</v>
      </c>
      <c r="D62" s="98" t="s">
        <v>118</v>
      </c>
      <c r="E62" s="98" t="s">
        <v>305</v>
      </c>
      <c r="F62" s="85" t="s">
        <v>419</v>
      </c>
      <c r="G62" s="98" t="s">
        <v>353</v>
      </c>
      <c r="H62" s="85" t="s">
        <v>365</v>
      </c>
      <c r="I62" s="85" t="s">
        <v>307</v>
      </c>
      <c r="J62" s="85"/>
      <c r="K62" s="95">
        <v>6.44</v>
      </c>
      <c r="L62" s="98" t="s">
        <v>162</v>
      </c>
      <c r="M62" s="99">
        <v>2.1499999999999998E-2</v>
      </c>
      <c r="N62" s="99">
        <v>1.66E-2</v>
      </c>
      <c r="O62" s="95">
        <v>524461.93999999983</v>
      </c>
      <c r="P62" s="97">
        <v>106.26</v>
      </c>
      <c r="Q62" s="85"/>
      <c r="R62" s="95">
        <v>557.29326999999989</v>
      </c>
      <c r="S62" s="96">
        <v>6.5498497880570169E-4</v>
      </c>
      <c r="T62" s="96">
        <f t="shared" si="0"/>
        <v>1.1115145418890027E-2</v>
      </c>
      <c r="U62" s="96">
        <f>R62/'סכום נכסי הקרן'!$C$42</f>
        <v>2.6657975182037804E-3</v>
      </c>
    </row>
    <row r="63" spans="2:21" s="137" customFormat="1">
      <c r="B63" s="88" t="s">
        <v>428</v>
      </c>
      <c r="C63" s="85" t="s">
        <v>429</v>
      </c>
      <c r="D63" s="98" t="s">
        <v>118</v>
      </c>
      <c r="E63" s="98" t="s">
        <v>305</v>
      </c>
      <c r="F63" s="85" t="s">
        <v>397</v>
      </c>
      <c r="G63" s="98" t="s">
        <v>311</v>
      </c>
      <c r="H63" s="85" t="s">
        <v>365</v>
      </c>
      <c r="I63" s="85" t="s">
        <v>158</v>
      </c>
      <c r="J63" s="85"/>
      <c r="K63" s="95">
        <v>0.66</v>
      </c>
      <c r="L63" s="98" t="s">
        <v>162</v>
      </c>
      <c r="M63" s="99">
        <v>5.2499999999999998E-2</v>
      </c>
      <c r="N63" s="99">
        <v>-1.1500000000000002E-2</v>
      </c>
      <c r="O63" s="95">
        <v>15199.999999999998</v>
      </c>
      <c r="P63" s="97">
        <v>134.59</v>
      </c>
      <c r="Q63" s="85"/>
      <c r="R63" s="95">
        <v>20.457689999999996</v>
      </c>
      <c r="S63" s="96">
        <v>6.3333333333333332E-5</v>
      </c>
      <c r="T63" s="96">
        <f t="shared" si="0"/>
        <v>4.0802609958769521E-4</v>
      </c>
      <c r="U63" s="96">
        <f>R63/'סכום נכסי הקרן'!$C$42</f>
        <v>9.7858815395675415E-5</v>
      </c>
    </row>
    <row r="64" spans="2:21" s="137" customFormat="1">
      <c r="B64" s="88" t="s">
        <v>430</v>
      </c>
      <c r="C64" s="85" t="s">
        <v>431</v>
      </c>
      <c r="D64" s="98" t="s">
        <v>118</v>
      </c>
      <c r="E64" s="98" t="s">
        <v>305</v>
      </c>
      <c r="F64" s="85" t="s">
        <v>329</v>
      </c>
      <c r="G64" s="98" t="s">
        <v>311</v>
      </c>
      <c r="H64" s="85" t="s">
        <v>365</v>
      </c>
      <c r="I64" s="85" t="s">
        <v>307</v>
      </c>
      <c r="J64" s="85"/>
      <c r="K64" s="95">
        <v>1.68</v>
      </c>
      <c r="L64" s="98" t="s">
        <v>162</v>
      </c>
      <c r="M64" s="99">
        <v>6.5000000000000002E-2</v>
      </c>
      <c r="N64" s="99">
        <v>-2.7000000000000006E-3</v>
      </c>
      <c r="O64" s="95">
        <v>302067.99999999994</v>
      </c>
      <c r="P64" s="97">
        <v>124.62</v>
      </c>
      <c r="Q64" s="95">
        <v>5.4676400000000003</v>
      </c>
      <c r="R64" s="95">
        <v>381.90479999999991</v>
      </c>
      <c r="S64" s="96">
        <v>1.9178920634920632E-4</v>
      </c>
      <c r="T64" s="96">
        <f t="shared" si="0"/>
        <v>7.6170440532542438E-3</v>
      </c>
      <c r="U64" s="96">
        <f>R64/'סכום נכסי הקרן'!$C$42</f>
        <v>1.8268314419625255E-3</v>
      </c>
    </row>
    <row r="65" spans="2:21" s="137" customFormat="1">
      <c r="B65" s="88" t="s">
        <v>432</v>
      </c>
      <c r="C65" s="85" t="s">
        <v>433</v>
      </c>
      <c r="D65" s="98" t="s">
        <v>118</v>
      </c>
      <c r="E65" s="98" t="s">
        <v>305</v>
      </c>
      <c r="F65" s="85" t="s">
        <v>434</v>
      </c>
      <c r="G65" s="98" t="s">
        <v>353</v>
      </c>
      <c r="H65" s="85" t="s">
        <v>365</v>
      </c>
      <c r="I65" s="85" t="s">
        <v>307</v>
      </c>
      <c r="J65" s="85"/>
      <c r="K65" s="95">
        <v>8.1599999999999984</v>
      </c>
      <c r="L65" s="98" t="s">
        <v>162</v>
      </c>
      <c r="M65" s="99">
        <v>3.5000000000000003E-2</v>
      </c>
      <c r="N65" s="99">
        <v>2.07E-2</v>
      </c>
      <c r="O65" s="95">
        <v>23335.9</v>
      </c>
      <c r="P65" s="97">
        <v>114.24</v>
      </c>
      <c r="Q65" s="85"/>
      <c r="R65" s="95">
        <v>26.658929999999998</v>
      </c>
      <c r="S65" s="96">
        <v>8.6155698960301236E-5</v>
      </c>
      <c r="T65" s="96">
        <f t="shared" si="0"/>
        <v>5.317090652503482E-4</v>
      </c>
      <c r="U65" s="96">
        <f>R65/'סכום נכסי הקרן'!$C$42</f>
        <v>1.2752228181755779E-4</v>
      </c>
    </row>
    <row r="66" spans="2:21" s="137" customFormat="1">
      <c r="B66" s="88" t="s">
        <v>435</v>
      </c>
      <c r="C66" s="85" t="s">
        <v>436</v>
      </c>
      <c r="D66" s="98" t="s">
        <v>118</v>
      </c>
      <c r="E66" s="98" t="s">
        <v>305</v>
      </c>
      <c r="F66" s="85" t="s">
        <v>434</v>
      </c>
      <c r="G66" s="98" t="s">
        <v>353</v>
      </c>
      <c r="H66" s="85" t="s">
        <v>365</v>
      </c>
      <c r="I66" s="85" t="s">
        <v>307</v>
      </c>
      <c r="J66" s="85"/>
      <c r="K66" s="95">
        <v>1.41</v>
      </c>
      <c r="L66" s="98" t="s">
        <v>162</v>
      </c>
      <c r="M66" s="99">
        <v>3.9E-2</v>
      </c>
      <c r="N66" s="99">
        <v>-2.3999999999999998E-3</v>
      </c>
      <c r="O66" s="95">
        <v>0.21999999999999997</v>
      </c>
      <c r="P66" s="97">
        <v>114.27</v>
      </c>
      <c r="Q66" s="85"/>
      <c r="R66" s="95">
        <v>2.4999999999999995E-4</v>
      </c>
      <c r="S66" s="96">
        <v>1.5817632362001528E-9</v>
      </c>
      <c r="T66" s="96">
        <f t="shared" si="0"/>
        <v>4.9862191135423308E-9</v>
      </c>
      <c r="U66" s="96">
        <f>R66/'סכום נכסי הקרן'!$C$42</f>
        <v>1.1958683433427164E-9</v>
      </c>
    </row>
    <row r="67" spans="2:21" s="137" customFormat="1">
      <c r="B67" s="88" t="s">
        <v>437</v>
      </c>
      <c r="C67" s="85" t="s">
        <v>438</v>
      </c>
      <c r="D67" s="98" t="s">
        <v>118</v>
      </c>
      <c r="E67" s="98" t="s">
        <v>305</v>
      </c>
      <c r="F67" s="85" t="s">
        <v>434</v>
      </c>
      <c r="G67" s="98" t="s">
        <v>353</v>
      </c>
      <c r="H67" s="85" t="s">
        <v>365</v>
      </c>
      <c r="I67" s="85" t="s">
        <v>307</v>
      </c>
      <c r="J67" s="85"/>
      <c r="K67" s="95">
        <v>4.1100000000000003</v>
      </c>
      <c r="L67" s="98" t="s">
        <v>162</v>
      </c>
      <c r="M67" s="99">
        <v>0.04</v>
      </c>
      <c r="N67" s="99">
        <v>4.4000000000000011E-3</v>
      </c>
      <c r="O67" s="95">
        <v>343727.95</v>
      </c>
      <c r="P67" s="97">
        <v>115.51</v>
      </c>
      <c r="Q67" s="85"/>
      <c r="R67" s="95">
        <v>397.0401599999999</v>
      </c>
      <c r="S67" s="96">
        <v>5.0264581801493533E-4</v>
      </c>
      <c r="T67" s="96">
        <f t="shared" si="0"/>
        <v>7.9189169385436194E-3</v>
      </c>
      <c r="U67" s="96">
        <f>R67/'סכום נכסי הקרן'!$C$42</f>
        <v>1.8992310335189081E-3</v>
      </c>
    </row>
    <row r="68" spans="2:21" s="137" customFormat="1">
      <c r="B68" s="88" t="s">
        <v>439</v>
      </c>
      <c r="C68" s="85" t="s">
        <v>440</v>
      </c>
      <c r="D68" s="98" t="s">
        <v>118</v>
      </c>
      <c r="E68" s="98" t="s">
        <v>305</v>
      </c>
      <c r="F68" s="85" t="s">
        <v>434</v>
      </c>
      <c r="G68" s="98" t="s">
        <v>353</v>
      </c>
      <c r="H68" s="85" t="s">
        <v>365</v>
      </c>
      <c r="I68" s="85" t="s">
        <v>307</v>
      </c>
      <c r="J68" s="85"/>
      <c r="K68" s="95">
        <v>6.81</v>
      </c>
      <c r="L68" s="98" t="s">
        <v>162</v>
      </c>
      <c r="M68" s="99">
        <v>0.04</v>
      </c>
      <c r="N68" s="99">
        <v>1.4800000000000001E-2</v>
      </c>
      <c r="O68" s="95">
        <v>426036.03999999992</v>
      </c>
      <c r="P68" s="97">
        <v>119.27</v>
      </c>
      <c r="Q68" s="85"/>
      <c r="R68" s="95">
        <v>508.13316999999995</v>
      </c>
      <c r="S68" s="96">
        <v>5.8821116504367105E-4</v>
      </c>
      <c r="T68" s="96">
        <f t="shared" si="0"/>
        <v>1.0134653297915418E-2</v>
      </c>
      <c r="U68" s="96">
        <f>R68/'סכום נכסי הקרן'!$C$42</f>
        <v>2.4306414888215317E-3</v>
      </c>
    </row>
    <row r="69" spans="2:21" s="137" customFormat="1">
      <c r="B69" s="88" t="s">
        <v>441</v>
      </c>
      <c r="C69" s="85" t="s">
        <v>442</v>
      </c>
      <c r="D69" s="98" t="s">
        <v>118</v>
      </c>
      <c r="E69" s="98" t="s">
        <v>305</v>
      </c>
      <c r="F69" s="85" t="s">
        <v>443</v>
      </c>
      <c r="G69" s="98" t="s">
        <v>444</v>
      </c>
      <c r="H69" s="85" t="s">
        <v>445</v>
      </c>
      <c r="I69" s="85" t="s">
        <v>307</v>
      </c>
      <c r="J69" s="85"/>
      <c r="K69" s="95">
        <v>8.1900000000000013</v>
      </c>
      <c r="L69" s="98" t="s">
        <v>162</v>
      </c>
      <c r="M69" s="99">
        <v>5.1500000000000004E-2</v>
      </c>
      <c r="N69" s="99">
        <v>2.5099999999999997E-2</v>
      </c>
      <c r="O69" s="95">
        <v>765074.99999999988</v>
      </c>
      <c r="P69" s="97">
        <v>150.72999999999999</v>
      </c>
      <c r="Q69" s="85"/>
      <c r="R69" s="95">
        <v>1153.1975099999997</v>
      </c>
      <c r="S69" s="96">
        <v>2.1545205859045647E-4</v>
      </c>
      <c r="T69" s="96">
        <f t="shared" si="0"/>
        <v>2.300038186420569E-2</v>
      </c>
      <c r="U69" s="96">
        <f>R69/'סכום נכסי הקרן'!$C$42</f>
        <v>5.5162895833225818E-3</v>
      </c>
    </row>
    <row r="70" spans="2:21" s="137" customFormat="1">
      <c r="B70" s="88" t="s">
        <v>446</v>
      </c>
      <c r="C70" s="85" t="s">
        <v>447</v>
      </c>
      <c r="D70" s="98" t="s">
        <v>118</v>
      </c>
      <c r="E70" s="98" t="s">
        <v>305</v>
      </c>
      <c r="F70" s="85" t="s">
        <v>385</v>
      </c>
      <c r="G70" s="98" t="s">
        <v>353</v>
      </c>
      <c r="H70" s="85" t="s">
        <v>445</v>
      </c>
      <c r="I70" s="85" t="s">
        <v>158</v>
      </c>
      <c r="J70" s="85"/>
      <c r="K70" s="95">
        <v>2.99</v>
      </c>
      <c r="L70" s="98" t="s">
        <v>162</v>
      </c>
      <c r="M70" s="99">
        <v>2.8500000000000001E-2</v>
      </c>
      <c r="N70" s="99">
        <v>5.1999999999999998E-3</v>
      </c>
      <c r="O70" s="95">
        <v>111671.00999999998</v>
      </c>
      <c r="P70" s="97">
        <v>108.92</v>
      </c>
      <c r="Q70" s="85"/>
      <c r="R70" s="95">
        <v>121.63205999999998</v>
      </c>
      <c r="S70" s="96">
        <v>2.4346124272800736E-4</v>
      </c>
      <c r="T70" s="96">
        <f t="shared" si="0"/>
        <v>2.4259364095661103E-3</v>
      </c>
      <c r="U70" s="96">
        <f>R70/'סכום נכסי הקרן'!$C$42</f>
        <v>5.8182372035824753E-4</v>
      </c>
    </row>
    <row r="71" spans="2:21" s="137" customFormat="1">
      <c r="B71" s="88" t="s">
        <v>448</v>
      </c>
      <c r="C71" s="85" t="s">
        <v>449</v>
      </c>
      <c r="D71" s="98" t="s">
        <v>118</v>
      </c>
      <c r="E71" s="98" t="s">
        <v>305</v>
      </c>
      <c r="F71" s="85" t="s">
        <v>385</v>
      </c>
      <c r="G71" s="98" t="s">
        <v>353</v>
      </c>
      <c r="H71" s="85" t="s">
        <v>445</v>
      </c>
      <c r="I71" s="85" t="s">
        <v>158</v>
      </c>
      <c r="J71" s="85"/>
      <c r="K71" s="95">
        <v>0.5</v>
      </c>
      <c r="L71" s="98" t="s">
        <v>162</v>
      </c>
      <c r="M71" s="99">
        <v>4.8499999999999995E-2</v>
      </c>
      <c r="N71" s="99">
        <v>1.2199999999999999E-2</v>
      </c>
      <c r="O71" s="95">
        <v>2542.33</v>
      </c>
      <c r="P71" s="97">
        <v>123.77</v>
      </c>
      <c r="Q71" s="85"/>
      <c r="R71" s="95">
        <v>3.1466399999999992</v>
      </c>
      <c r="S71" s="96">
        <v>2.0300857181461864E-5</v>
      </c>
      <c r="T71" s="96">
        <f t="shared" si="0"/>
        <v>6.2759346045747355E-5</v>
      </c>
      <c r="U71" s="96">
        <f>R71/'סכום נכסי הקרן'!$C$42</f>
        <v>1.5051868655583699E-5</v>
      </c>
    </row>
    <row r="72" spans="2:21" s="137" customFormat="1">
      <c r="B72" s="88" t="s">
        <v>450</v>
      </c>
      <c r="C72" s="85" t="s">
        <v>451</v>
      </c>
      <c r="D72" s="98" t="s">
        <v>118</v>
      </c>
      <c r="E72" s="98" t="s">
        <v>305</v>
      </c>
      <c r="F72" s="85" t="s">
        <v>385</v>
      </c>
      <c r="G72" s="98" t="s">
        <v>353</v>
      </c>
      <c r="H72" s="85" t="s">
        <v>445</v>
      </c>
      <c r="I72" s="85" t="s">
        <v>158</v>
      </c>
      <c r="J72" s="85"/>
      <c r="K72" s="95">
        <v>1.2</v>
      </c>
      <c r="L72" s="98" t="s">
        <v>162</v>
      </c>
      <c r="M72" s="99">
        <v>3.7699999999999997E-2</v>
      </c>
      <c r="N72" s="99">
        <v>-5.3E-3</v>
      </c>
      <c r="O72" s="95">
        <v>23652.859999999997</v>
      </c>
      <c r="P72" s="97">
        <v>115.93</v>
      </c>
      <c r="Q72" s="85"/>
      <c r="R72" s="95">
        <v>27.420749999999995</v>
      </c>
      <c r="S72" s="96">
        <v>6.5210755043858986E-5</v>
      </c>
      <c r="T72" s="96">
        <f t="shared" si="0"/>
        <v>5.4690347103066343E-4</v>
      </c>
      <c r="U72" s="96">
        <f>R72/'סכום נכסי הקרן'!$C$42</f>
        <v>1.3116642750285915E-4</v>
      </c>
    </row>
    <row r="73" spans="2:21" s="137" customFormat="1">
      <c r="B73" s="88" t="s">
        <v>452</v>
      </c>
      <c r="C73" s="85" t="s">
        <v>453</v>
      </c>
      <c r="D73" s="98" t="s">
        <v>118</v>
      </c>
      <c r="E73" s="98" t="s">
        <v>305</v>
      </c>
      <c r="F73" s="85" t="s">
        <v>385</v>
      </c>
      <c r="G73" s="98" t="s">
        <v>353</v>
      </c>
      <c r="H73" s="85" t="s">
        <v>445</v>
      </c>
      <c r="I73" s="85" t="s">
        <v>158</v>
      </c>
      <c r="J73" s="85"/>
      <c r="K73" s="95">
        <v>4.84</v>
      </c>
      <c r="L73" s="98" t="s">
        <v>162</v>
      </c>
      <c r="M73" s="99">
        <v>2.5000000000000001E-2</v>
      </c>
      <c r="N73" s="99">
        <v>1.1899999999999999E-2</v>
      </c>
      <c r="O73" s="95">
        <v>24596.469999999994</v>
      </c>
      <c r="P73" s="97">
        <v>107.88</v>
      </c>
      <c r="Q73" s="85"/>
      <c r="R73" s="95">
        <v>26.534679999999998</v>
      </c>
      <c r="S73" s="96">
        <v>5.2551209599393613E-5</v>
      </c>
      <c r="T73" s="96">
        <f t="shared" si="0"/>
        <v>5.2923091435091768E-4</v>
      </c>
      <c r="U73" s="96">
        <f>R73/'סכום נכסי הקרן'!$C$42</f>
        <v>1.2692793525091644E-4</v>
      </c>
    </row>
    <row r="74" spans="2:21" s="137" customFormat="1">
      <c r="B74" s="88" t="s">
        <v>454</v>
      </c>
      <c r="C74" s="85" t="s">
        <v>455</v>
      </c>
      <c r="D74" s="98" t="s">
        <v>118</v>
      </c>
      <c r="E74" s="98" t="s">
        <v>305</v>
      </c>
      <c r="F74" s="85" t="s">
        <v>385</v>
      </c>
      <c r="G74" s="98" t="s">
        <v>353</v>
      </c>
      <c r="H74" s="85" t="s">
        <v>445</v>
      </c>
      <c r="I74" s="85" t="s">
        <v>158</v>
      </c>
      <c r="J74" s="85"/>
      <c r="K74" s="95">
        <v>5.7099999999999991</v>
      </c>
      <c r="L74" s="98" t="s">
        <v>162</v>
      </c>
      <c r="M74" s="99">
        <v>1.34E-2</v>
      </c>
      <c r="N74" s="99">
        <v>1.2400000000000001E-2</v>
      </c>
      <c r="O74" s="95">
        <v>235713.59999999998</v>
      </c>
      <c r="P74" s="97">
        <v>102.39</v>
      </c>
      <c r="Q74" s="85"/>
      <c r="R74" s="95">
        <v>241.34712999999996</v>
      </c>
      <c r="S74" s="96">
        <v>6.884872701462914E-4</v>
      </c>
      <c r="T74" s="96">
        <f t="shared" si="0"/>
        <v>4.8136386904183426E-3</v>
      </c>
      <c r="U74" s="96">
        <f>R74/'סכום נכסי הקרן'!$C$42</f>
        <v>1.1544775700944769E-3</v>
      </c>
    </row>
    <row r="75" spans="2:21" s="137" customFormat="1">
      <c r="B75" s="88" t="s">
        <v>456</v>
      </c>
      <c r="C75" s="85" t="s">
        <v>457</v>
      </c>
      <c r="D75" s="98" t="s">
        <v>118</v>
      </c>
      <c r="E75" s="98" t="s">
        <v>305</v>
      </c>
      <c r="F75" s="85" t="s">
        <v>385</v>
      </c>
      <c r="G75" s="98" t="s">
        <v>353</v>
      </c>
      <c r="H75" s="85" t="s">
        <v>445</v>
      </c>
      <c r="I75" s="85" t="s">
        <v>158</v>
      </c>
      <c r="J75" s="85"/>
      <c r="K75" s="95">
        <v>5.69</v>
      </c>
      <c r="L75" s="98" t="s">
        <v>162</v>
      </c>
      <c r="M75" s="99">
        <v>1.95E-2</v>
      </c>
      <c r="N75" s="99">
        <v>1.5800000000000002E-2</v>
      </c>
      <c r="O75" s="95">
        <v>52771.999999999993</v>
      </c>
      <c r="P75" s="97">
        <v>103.8</v>
      </c>
      <c r="Q75" s="85"/>
      <c r="R75" s="95">
        <v>54.777349999999991</v>
      </c>
      <c r="S75" s="96">
        <v>7.4186016107469346E-5</v>
      </c>
      <c r="T75" s="96">
        <f t="shared" ref="T75:T138" si="1">R75/$R$11</f>
        <v>1.092527478236792E-3</v>
      </c>
      <c r="U75" s="96">
        <f>R75/'סכום נכסי הקרן'!$C$42</f>
        <v>2.6202599518881659E-4</v>
      </c>
    </row>
    <row r="76" spans="2:21" s="137" customFormat="1">
      <c r="B76" s="88" t="s">
        <v>458</v>
      </c>
      <c r="C76" s="85" t="s">
        <v>459</v>
      </c>
      <c r="D76" s="98" t="s">
        <v>118</v>
      </c>
      <c r="E76" s="98" t="s">
        <v>305</v>
      </c>
      <c r="F76" s="85" t="s">
        <v>460</v>
      </c>
      <c r="G76" s="98" t="s">
        <v>353</v>
      </c>
      <c r="H76" s="85" t="s">
        <v>445</v>
      </c>
      <c r="I76" s="85" t="s">
        <v>307</v>
      </c>
      <c r="J76" s="85"/>
      <c r="K76" s="95">
        <v>1.2699999999999996</v>
      </c>
      <c r="L76" s="98" t="s">
        <v>162</v>
      </c>
      <c r="M76" s="99">
        <v>4.8000000000000001E-2</v>
      </c>
      <c r="N76" s="99">
        <v>1.0999999999999998E-3</v>
      </c>
      <c r="O76" s="95">
        <v>0.05</v>
      </c>
      <c r="P76" s="97">
        <v>112.94</v>
      </c>
      <c r="Q76" s="85"/>
      <c r="R76" s="95">
        <v>5.0000000000000002E-5</v>
      </c>
      <c r="S76" s="96">
        <v>4.3706293706293709E-10</v>
      </c>
      <c r="T76" s="96">
        <f t="shared" si="1"/>
        <v>9.9724382270846645E-10</v>
      </c>
      <c r="U76" s="96">
        <f>R76/'סכום נכסי הקרן'!$C$42</f>
        <v>2.3917366866854333E-10</v>
      </c>
    </row>
    <row r="77" spans="2:21" s="137" customFormat="1">
      <c r="B77" s="88" t="s">
        <v>461</v>
      </c>
      <c r="C77" s="85" t="s">
        <v>462</v>
      </c>
      <c r="D77" s="98" t="s">
        <v>118</v>
      </c>
      <c r="E77" s="98" t="s">
        <v>305</v>
      </c>
      <c r="F77" s="85" t="s">
        <v>460</v>
      </c>
      <c r="G77" s="98" t="s">
        <v>353</v>
      </c>
      <c r="H77" s="85" t="s">
        <v>445</v>
      </c>
      <c r="I77" s="85" t="s">
        <v>307</v>
      </c>
      <c r="J77" s="85"/>
      <c r="K77" s="95">
        <v>3.72</v>
      </c>
      <c r="L77" s="98" t="s">
        <v>162</v>
      </c>
      <c r="M77" s="99">
        <v>3.2899999999999999E-2</v>
      </c>
      <c r="N77" s="99">
        <v>6.000000000000001E-3</v>
      </c>
      <c r="O77" s="95">
        <v>0.49999999999999994</v>
      </c>
      <c r="P77" s="97">
        <v>112.7</v>
      </c>
      <c r="Q77" s="85"/>
      <c r="R77" s="95">
        <v>5.6999999999999987E-4</v>
      </c>
      <c r="S77" s="96">
        <v>2.4999999999999996E-9</v>
      </c>
      <c r="T77" s="96">
        <f t="shared" si="1"/>
        <v>1.1368579578876513E-8</v>
      </c>
      <c r="U77" s="96">
        <f>R77/'סכום נכסי הקרן'!$C$42</f>
        <v>2.7265798228213931E-9</v>
      </c>
    </row>
    <row r="78" spans="2:21" s="137" customFormat="1">
      <c r="B78" s="88" t="s">
        <v>463</v>
      </c>
      <c r="C78" s="85" t="s">
        <v>464</v>
      </c>
      <c r="D78" s="98" t="s">
        <v>118</v>
      </c>
      <c r="E78" s="98" t="s">
        <v>305</v>
      </c>
      <c r="F78" s="85" t="s">
        <v>465</v>
      </c>
      <c r="G78" s="98" t="s">
        <v>353</v>
      </c>
      <c r="H78" s="85" t="s">
        <v>445</v>
      </c>
      <c r="I78" s="85" t="s">
        <v>158</v>
      </c>
      <c r="J78" s="85"/>
      <c r="K78" s="95">
        <v>0.9900000000000001</v>
      </c>
      <c r="L78" s="98" t="s">
        <v>162</v>
      </c>
      <c r="M78" s="99">
        <v>6.5000000000000002E-2</v>
      </c>
      <c r="N78" s="99">
        <v>-2.3999999999999998E-3</v>
      </c>
      <c r="O78" s="95">
        <v>14286.79</v>
      </c>
      <c r="P78" s="97">
        <v>121</v>
      </c>
      <c r="Q78" s="85"/>
      <c r="R78" s="95">
        <v>17.287019999999998</v>
      </c>
      <c r="S78" s="96">
        <v>7.2497195316455047E-5</v>
      </c>
      <c r="T78" s="96">
        <f t="shared" si="1"/>
        <v>3.447874781607542E-4</v>
      </c>
      <c r="U78" s="96">
        <f>R78/'סכום נכסי הקרן'!$C$42</f>
        <v>8.2691999874929623E-5</v>
      </c>
    </row>
    <row r="79" spans="2:21" s="137" customFormat="1">
      <c r="B79" s="88" t="s">
        <v>466</v>
      </c>
      <c r="C79" s="85" t="s">
        <v>467</v>
      </c>
      <c r="D79" s="98" t="s">
        <v>118</v>
      </c>
      <c r="E79" s="98" t="s">
        <v>305</v>
      </c>
      <c r="F79" s="85" t="s">
        <v>465</v>
      </c>
      <c r="G79" s="98" t="s">
        <v>353</v>
      </c>
      <c r="H79" s="85" t="s">
        <v>445</v>
      </c>
      <c r="I79" s="85" t="s">
        <v>158</v>
      </c>
      <c r="J79" s="85"/>
      <c r="K79" s="95">
        <v>6.410000000000001</v>
      </c>
      <c r="L79" s="98" t="s">
        <v>162</v>
      </c>
      <c r="M79" s="99">
        <v>0.04</v>
      </c>
      <c r="N79" s="99">
        <v>2.3099999999999999E-2</v>
      </c>
      <c r="O79" s="95">
        <v>95056.999999999985</v>
      </c>
      <c r="P79" s="97">
        <v>112.32</v>
      </c>
      <c r="Q79" s="85"/>
      <c r="R79" s="95">
        <v>106.76801999999998</v>
      </c>
      <c r="S79" s="96">
        <v>3.213772664219127E-5</v>
      </c>
      <c r="T79" s="96">
        <f t="shared" si="1"/>
        <v>2.1294749681562792E-3</v>
      </c>
      <c r="U79" s="96">
        <f>R79/'סכום נכסי הקרן'!$C$42</f>
        <v>5.1072198079752805E-4</v>
      </c>
    </row>
    <row r="80" spans="2:21" s="137" customFormat="1">
      <c r="B80" s="88" t="s">
        <v>468</v>
      </c>
      <c r="C80" s="85" t="s">
        <v>469</v>
      </c>
      <c r="D80" s="98" t="s">
        <v>118</v>
      </c>
      <c r="E80" s="98" t="s">
        <v>305</v>
      </c>
      <c r="F80" s="85" t="s">
        <v>465</v>
      </c>
      <c r="G80" s="98" t="s">
        <v>353</v>
      </c>
      <c r="H80" s="85" t="s">
        <v>445</v>
      </c>
      <c r="I80" s="85" t="s">
        <v>158</v>
      </c>
      <c r="J80" s="85"/>
      <c r="K80" s="95">
        <v>6.6999999999999993</v>
      </c>
      <c r="L80" s="98" t="s">
        <v>162</v>
      </c>
      <c r="M80" s="99">
        <v>2.7799999999999998E-2</v>
      </c>
      <c r="N80" s="99">
        <v>2.5300000000000003E-2</v>
      </c>
      <c r="O80" s="95">
        <v>202226.99999999997</v>
      </c>
      <c r="P80" s="97">
        <v>104.02</v>
      </c>
      <c r="Q80" s="85"/>
      <c r="R80" s="95">
        <v>210.35652999999996</v>
      </c>
      <c r="S80" s="96">
        <v>1.6043930063516592E-4</v>
      </c>
      <c r="T80" s="96">
        <f t="shared" si="1"/>
        <v>4.1955350021777625E-3</v>
      </c>
      <c r="U80" s="96">
        <f>R80/'סכום נכסי הקרן'!$C$42</f>
        <v>1.0062348601696898E-3</v>
      </c>
    </row>
    <row r="81" spans="2:21" s="137" customFormat="1">
      <c r="B81" s="88" t="s">
        <v>470</v>
      </c>
      <c r="C81" s="85" t="s">
        <v>471</v>
      </c>
      <c r="D81" s="98" t="s">
        <v>118</v>
      </c>
      <c r="E81" s="98" t="s">
        <v>305</v>
      </c>
      <c r="F81" s="85" t="s">
        <v>465</v>
      </c>
      <c r="G81" s="98" t="s">
        <v>353</v>
      </c>
      <c r="H81" s="85" t="s">
        <v>445</v>
      </c>
      <c r="I81" s="85" t="s">
        <v>158</v>
      </c>
      <c r="J81" s="85"/>
      <c r="K81" s="95">
        <v>1.5699999999999998</v>
      </c>
      <c r="L81" s="98" t="s">
        <v>162</v>
      </c>
      <c r="M81" s="99">
        <v>5.0999999999999997E-2</v>
      </c>
      <c r="N81" s="99">
        <v>2.3999999999999998E-3</v>
      </c>
      <c r="O81" s="95">
        <v>15874.999999999998</v>
      </c>
      <c r="P81" s="97">
        <v>131.21</v>
      </c>
      <c r="Q81" s="85"/>
      <c r="R81" s="95">
        <v>20.829579999999996</v>
      </c>
      <c r="S81" s="96">
        <v>9.3410237545499755E-6</v>
      </c>
      <c r="T81" s="96">
        <f t="shared" si="1"/>
        <v>4.1544339969223627E-4</v>
      </c>
      <c r="U81" s="96">
        <f>R81/'סכום נכסי הקרן'!$C$42</f>
        <v>9.9637741308498319E-5</v>
      </c>
    </row>
    <row r="82" spans="2:21" s="137" customFormat="1">
      <c r="B82" s="88" t="s">
        <v>472</v>
      </c>
      <c r="C82" s="85" t="s">
        <v>473</v>
      </c>
      <c r="D82" s="98" t="s">
        <v>118</v>
      </c>
      <c r="E82" s="98" t="s">
        <v>305</v>
      </c>
      <c r="F82" s="85" t="s">
        <v>397</v>
      </c>
      <c r="G82" s="98" t="s">
        <v>311</v>
      </c>
      <c r="H82" s="85" t="s">
        <v>445</v>
      </c>
      <c r="I82" s="85" t="s">
        <v>307</v>
      </c>
      <c r="J82" s="85"/>
      <c r="K82" s="95">
        <v>1.49</v>
      </c>
      <c r="L82" s="98" t="s">
        <v>162</v>
      </c>
      <c r="M82" s="99">
        <v>6.4000000000000001E-2</v>
      </c>
      <c r="N82" s="99">
        <v>-2.3E-3</v>
      </c>
      <c r="O82" s="95">
        <v>773348.99999999988</v>
      </c>
      <c r="P82" s="97">
        <v>126.64</v>
      </c>
      <c r="Q82" s="85"/>
      <c r="R82" s="95">
        <v>979.36918999999978</v>
      </c>
      <c r="S82" s="96">
        <v>6.1770051530355297E-4</v>
      </c>
      <c r="T82" s="96">
        <f t="shared" si="1"/>
        <v>1.9533397497569882E-2</v>
      </c>
      <c r="U82" s="96">
        <f>R82/'סכום נכסי הקרן'!$C$42</f>
        <v>4.6847864430647921E-3</v>
      </c>
    </row>
    <row r="83" spans="2:21" s="137" customFormat="1">
      <c r="B83" s="88" t="s">
        <v>474</v>
      </c>
      <c r="C83" s="85" t="s">
        <v>475</v>
      </c>
      <c r="D83" s="98" t="s">
        <v>118</v>
      </c>
      <c r="E83" s="98" t="s">
        <v>305</v>
      </c>
      <c r="F83" s="85" t="s">
        <v>400</v>
      </c>
      <c r="G83" s="98" t="s">
        <v>311</v>
      </c>
      <c r="H83" s="85" t="s">
        <v>445</v>
      </c>
      <c r="I83" s="85" t="s">
        <v>307</v>
      </c>
      <c r="J83" s="85"/>
      <c r="K83" s="95">
        <v>0.26</v>
      </c>
      <c r="L83" s="98" t="s">
        <v>162</v>
      </c>
      <c r="M83" s="99">
        <v>4.8499999999999995E-2</v>
      </c>
      <c r="N83" s="99">
        <v>6.0000000000000001E-3</v>
      </c>
      <c r="O83" s="95">
        <v>56704.999999999993</v>
      </c>
      <c r="P83" s="97">
        <v>108.32</v>
      </c>
      <c r="Q83" s="85"/>
      <c r="R83" s="95">
        <v>61.422859999999993</v>
      </c>
      <c r="S83" s="96">
        <v>3.7803333333333327E-4</v>
      </c>
      <c r="T83" s="96">
        <f t="shared" si="1"/>
        <v>1.2250713541617389E-3</v>
      </c>
      <c r="U83" s="96">
        <f>R83/'סכום נכסי הקרן'!$C$42</f>
        <v>2.9381461532628644E-4</v>
      </c>
    </row>
    <row r="84" spans="2:21" s="137" customFormat="1">
      <c r="B84" s="88" t="s">
        <v>476</v>
      </c>
      <c r="C84" s="85" t="s">
        <v>477</v>
      </c>
      <c r="D84" s="98" t="s">
        <v>118</v>
      </c>
      <c r="E84" s="98" t="s">
        <v>305</v>
      </c>
      <c r="F84" s="85" t="s">
        <v>478</v>
      </c>
      <c r="G84" s="98" t="s">
        <v>479</v>
      </c>
      <c r="H84" s="85" t="s">
        <v>445</v>
      </c>
      <c r="I84" s="85" t="s">
        <v>307</v>
      </c>
      <c r="J84" s="85"/>
      <c r="K84" s="95">
        <v>4.3100000000000005</v>
      </c>
      <c r="L84" s="98" t="s">
        <v>162</v>
      </c>
      <c r="M84" s="99">
        <v>3.85E-2</v>
      </c>
      <c r="N84" s="99">
        <v>4.0000000000000001E-3</v>
      </c>
      <c r="O84" s="95">
        <v>199999.99999999997</v>
      </c>
      <c r="P84" s="97">
        <v>121.27</v>
      </c>
      <c r="Q84" s="85"/>
      <c r="R84" s="95">
        <v>242.54000999999994</v>
      </c>
      <c r="S84" s="96">
        <v>8.3490964273882408E-4</v>
      </c>
      <c r="T84" s="96">
        <f t="shared" si="1"/>
        <v>4.8374305346429915E-3</v>
      </c>
      <c r="U84" s="96">
        <f>R84/'סכום נכסי הקרן'!$C$42</f>
        <v>1.1601836798121033E-3</v>
      </c>
    </row>
    <row r="85" spans="2:21" s="137" customFormat="1">
      <c r="B85" s="88" t="s">
        <v>480</v>
      </c>
      <c r="C85" s="85" t="s">
        <v>481</v>
      </c>
      <c r="D85" s="98" t="s">
        <v>118</v>
      </c>
      <c r="E85" s="98" t="s">
        <v>305</v>
      </c>
      <c r="F85" s="85" t="s">
        <v>478</v>
      </c>
      <c r="G85" s="98" t="s">
        <v>479</v>
      </c>
      <c r="H85" s="85" t="s">
        <v>445</v>
      </c>
      <c r="I85" s="85" t="s">
        <v>307</v>
      </c>
      <c r="J85" s="85"/>
      <c r="K85" s="95">
        <v>1.6199999999999999</v>
      </c>
      <c r="L85" s="98" t="s">
        <v>162</v>
      </c>
      <c r="M85" s="99">
        <v>3.9E-2</v>
      </c>
      <c r="N85" s="99">
        <v>-1.2000000000000003E-3</v>
      </c>
      <c r="O85" s="95">
        <v>22497.999999999996</v>
      </c>
      <c r="P85" s="97">
        <v>117.22</v>
      </c>
      <c r="Q85" s="85"/>
      <c r="R85" s="95">
        <v>26.372159999999997</v>
      </c>
      <c r="S85" s="96">
        <v>1.1303681559544294E-4</v>
      </c>
      <c r="T85" s="96">
        <f t="shared" si="1"/>
        <v>5.2598947302958613E-4</v>
      </c>
      <c r="U85" s="96">
        <f>R85/'סכום נכסי הקרן'!$C$42</f>
        <v>1.2615052515827622E-4</v>
      </c>
    </row>
    <row r="86" spans="2:21" s="137" customFormat="1">
      <c r="B86" s="88" t="s">
        <v>482</v>
      </c>
      <c r="C86" s="85" t="s">
        <v>483</v>
      </c>
      <c r="D86" s="98" t="s">
        <v>118</v>
      </c>
      <c r="E86" s="98" t="s">
        <v>305</v>
      </c>
      <c r="F86" s="85" t="s">
        <v>478</v>
      </c>
      <c r="G86" s="98" t="s">
        <v>479</v>
      </c>
      <c r="H86" s="85" t="s">
        <v>445</v>
      </c>
      <c r="I86" s="85" t="s">
        <v>307</v>
      </c>
      <c r="J86" s="85"/>
      <c r="K86" s="95">
        <v>2.54</v>
      </c>
      <c r="L86" s="98" t="s">
        <v>162</v>
      </c>
      <c r="M86" s="99">
        <v>3.9E-2</v>
      </c>
      <c r="N86" s="99">
        <v>1E-3</v>
      </c>
      <c r="O86" s="95">
        <v>142023.99999999997</v>
      </c>
      <c r="P86" s="97">
        <v>120.92</v>
      </c>
      <c r="Q86" s="85"/>
      <c r="R86" s="95">
        <v>171.73540999999997</v>
      </c>
      <c r="S86" s="96">
        <v>3.5592088363729763E-4</v>
      </c>
      <c r="T86" s="96">
        <f t="shared" si="1"/>
        <v>3.4252415352561149E-3</v>
      </c>
      <c r="U86" s="96">
        <f>R86/'סכום נכסי הקרן'!$C$42</f>
        <v>8.2149176099992869E-4</v>
      </c>
    </row>
    <row r="87" spans="2:21" s="137" customFormat="1">
      <c r="B87" s="88" t="s">
        <v>484</v>
      </c>
      <c r="C87" s="85" t="s">
        <v>485</v>
      </c>
      <c r="D87" s="98" t="s">
        <v>118</v>
      </c>
      <c r="E87" s="98" t="s">
        <v>305</v>
      </c>
      <c r="F87" s="85" t="s">
        <v>478</v>
      </c>
      <c r="G87" s="98" t="s">
        <v>479</v>
      </c>
      <c r="H87" s="85" t="s">
        <v>445</v>
      </c>
      <c r="I87" s="85" t="s">
        <v>307</v>
      </c>
      <c r="J87" s="85"/>
      <c r="K87" s="95">
        <v>5.1499999999999995</v>
      </c>
      <c r="L87" s="98" t="s">
        <v>162</v>
      </c>
      <c r="M87" s="99">
        <v>3.85E-2</v>
      </c>
      <c r="N87" s="99">
        <v>8.3999999999999995E-3</v>
      </c>
      <c r="O87" s="95">
        <v>104290.99999999999</v>
      </c>
      <c r="P87" s="97">
        <v>121.97</v>
      </c>
      <c r="Q87" s="85"/>
      <c r="R87" s="95">
        <v>127.20372999999998</v>
      </c>
      <c r="S87" s="96">
        <v>4.1716399999999992E-4</v>
      </c>
      <c r="T87" s="96">
        <f t="shared" si="1"/>
        <v>2.5370626793595119E-3</v>
      </c>
      <c r="U87" s="96">
        <f>R87/'סכום נכסי הקרן'!$C$42</f>
        <v>6.0847565544845672E-4</v>
      </c>
    </row>
    <row r="88" spans="2:21" s="137" customFormat="1">
      <c r="B88" s="88" t="s">
        <v>486</v>
      </c>
      <c r="C88" s="85" t="s">
        <v>487</v>
      </c>
      <c r="D88" s="98" t="s">
        <v>118</v>
      </c>
      <c r="E88" s="98" t="s">
        <v>305</v>
      </c>
      <c r="F88" s="85" t="s">
        <v>488</v>
      </c>
      <c r="G88" s="98" t="s">
        <v>353</v>
      </c>
      <c r="H88" s="85" t="s">
        <v>445</v>
      </c>
      <c r="I88" s="85" t="s">
        <v>158</v>
      </c>
      <c r="J88" s="85"/>
      <c r="K88" s="95">
        <v>6.2600000000000007</v>
      </c>
      <c r="L88" s="98" t="s">
        <v>162</v>
      </c>
      <c r="M88" s="99">
        <v>1.5800000000000002E-2</v>
      </c>
      <c r="N88" s="99">
        <v>1.29E-2</v>
      </c>
      <c r="O88" s="95">
        <v>159144.29999999996</v>
      </c>
      <c r="P88" s="97">
        <v>103.65</v>
      </c>
      <c r="Q88" s="85"/>
      <c r="R88" s="95">
        <v>164.95303999999999</v>
      </c>
      <c r="S88" s="96">
        <v>3.9368376525069005E-4</v>
      </c>
      <c r="T88" s="96">
        <f t="shared" si="1"/>
        <v>3.2899680035396507E-3</v>
      </c>
      <c r="U88" s="96">
        <f>R88/'סכום נכסי הקרן'!$C$42</f>
        <v>7.8904847469657934E-4</v>
      </c>
    </row>
    <row r="89" spans="2:21" s="137" customFormat="1">
      <c r="B89" s="88" t="s">
        <v>489</v>
      </c>
      <c r="C89" s="85" t="s">
        <v>490</v>
      </c>
      <c r="D89" s="98" t="s">
        <v>118</v>
      </c>
      <c r="E89" s="98" t="s">
        <v>305</v>
      </c>
      <c r="F89" s="85" t="s">
        <v>488</v>
      </c>
      <c r="G89" s="98" t="s">
        <v>353</v>
      </c>
      <c r="H89" s="85" t="s">
        <v>445</v>
      </c>
      <c r="I89" s="85" t="s">
        <v>158</v>
      </c>
      <c r="J89" s="85"/>
      <c r="K89" s="95">
        <v>7.16</v>
      </c>
      <c r="L89" s="98" t="s">
        <v>162</v>
      </c>
      <c r="M89" s="99">
        <v>2.4E-2</v>
      </c>
      <c r="N89" s="99">
        <v>2.3E-2</v>
      </c>
      <c r="O89" s="95">
        <v>223880.99999999997</v>
      </c>
      <c r="P89" s="97">
        <v>102.27</v>
      </c>
      <c r="Q89" s="85"/>
      <c r="R89" s="95">
        <v>228.96308999999997</v>
      </c>
      <c r="S89" s="96">
        <v>4.859664170487336E-4</v>
      </c>
      <c r="T89" s="96">
        <f t="shared" si="1"/>
        <v>4.5666405426148518E-3</v>
      </c>
      <c r="U89" s="96">
        <f>R89/'סכום נכסי הקרן'!$C$42</f>
        <v>1.095238844499717E-3</v>
      </c>
    </row>
    <row r="90" spans="2:21" s="137" customFormat="1">
      <c r="B90" s="88" t="s">
        <v>491</v>
      </c>
      <c r="C90" s="85" t="s">
        <v>492</v>
      </c>
      <c r="D90" s="98" t="s">
        <v>118</v>
      </c>
      <c r="E90" s="98" t="s">
        <v>305</v>
      </c>
      <c r="F90" s="85" t="s">
        <v>493</v>
      </c>
      <c r="G90" s="98" t="s">
        <v>479</v>
      </c>
      <c r="H90" s="85" t="s">
        <v>445</v>
      </c>
      <c r="I90" s="85" t="s">
        <v>158</v>
      </c>
      <c r="J90" s="85"/>
      <c r="K90" s="95">
        <v>2.7199999999999998</v>
      </c>
      <c r="L90" s="98" t="s">
        <v>162</v>
      </c>
      <c r="M90" s="99">
        <v>3.7499999999999999E-2</v>
      </c>
      <c r="N90" s="99">
        <v>1.1000000000000001E-3</v>
      </c>
      <c r="O90" s="95">
        <v>493858.99999999994</v>
      </c>
      <c r="P90" s="97">
        <v>119.58</v>
      </c>
      <c r="Q90" s="85"/>
      <c r="R90" s="95">
        <v>590.5566</v>
      </c>
      <c r="S90" s="96">
        <v>6.3748311357239801E-4</v>
      </c>
      <c r="T90" s="96">
        <f t="shared" si="1"/>
        <v>1.1778578426194293E-2</v>
      </c>
      <c r="U90" s="96">
        <f>R90/'סכום נכסי הקרן'!$C$42</f>
        <v>2.8249117715684292E-3</v>
      </c>
    </row>
    <row r="91" spans="2:21" s="137" customFormat="1">
      <c r="B91" s="88" t="s">
        <v>494</v>
      </c>
      <c r="C91" s="85" t="s">
        <v>495</v>
      </c>
      <c r="D91" s="98" t="s">
        <v>118</v>
      </c>
      <c r="E91" s="98" t="s">
        <v>305</v>
      </c>
      <c r="F91" s="85" t="s">
        <v>493</v>
      </c>
      <c r="G91" s="98" t="s">
        <v>479</v>
      </c>
      <c r="H91" s="85" t="s">
        <v>445</v>
      </c>
      <c r="I91" s="85" t="s">
        <v>158</v>
      </c>
      <c r="J91" s="85"/>
      <c r="K91" s="95">
        <v>6.34</v>
      </c>
      <c r="L91" s="98" t="s">
        <v>162</v>
      </c>
      <c r="M91" s="99">
        <v>2.4799999999999999E-2</v>
      </c>
      <c r="N91" s="99">
        <v>1.2800000000000001E-2</v>
      </c>
      <c r="O91" s="95">
        <v>409168.99999999994</v>
      </c>
      <c r="P91" s="97">
        <v>108.66</v>
      </c>
      <c r="Q91" s="85"/>
      <c r="R91" s="95">
        <v>444.60305999999991</v>
      </c>
      <c r="S91" s="96">
        <v>9.6619202555334194E-4</v>
      </c>
      <c r="T91" s="96">
        <f t="shared" si="1"/>
        <v>8.8675531028456298E-3</v>
      </c>
      <c r="U91" s="96">
        <f>R91/'סכום נכסי הקרן'!$C$42</f>
        <v>2.1267468992292094E-3</v>
      </c>
    </row>
    <row r="92" spans="2:21" s="137" customFormat="1">
      <c r="B92" s="88" t="s">
        <v>496</v>
      </c>
      <c r="C92" s="85" t="s">
        <v>497</v>
      </c>
      <c r="D92" s="98" t="s">
        <v>118</v>
      </c>
      <c r="E92" s="98" t="s">
        <v>305</v>
      </c>
      <c r="F92" s="85" t="s">
        <v>498</v>
      </c>
      <c r="G92" s="98" t="s">
        <v>353</v>
      </c>
      <c r="H92" s="85" t="s">
        <v>445</v>
      </c>
      <c r="I92" s="85" t="s">
        <v>307</v>
      </c>
      <c r="J92" s="85"/>
      <c r="K92" s="95">
        <v>4.8900000000000006</v>
      </c>
      <c r="L92" s="98" t="s">
        <v>162</v>
      </c>
      <c r="M92" s="99">
        <v>2.8500000000000001E-2</v>
      </c>
      <c r="N92" s="99">
        <v>1.04E-2</v>
      </c>
      <c r="O92" s="95">
        <v>345909.99999999994</v>
      </c>
      <c r="P92" s="97">
        <v>112.89</v>
      </c>
      <c r="Q92" s="85"/>
      <c r="R92" s="95">
        <v>390.4977899999999</v>
      </c>
      <c r="S92" s="96">
        <v>5.0645680819912141E-4</v>
      </c>
      <c r="T92" s="96">
        <f t="shared" si="1"/>
        <v>7.7884301771761564E-3</v>
      </c>
      <c r="U92" s="96">
        <f>R92/'סכום נכסי הקרן'!$C$42</f>
        <v>1.8679357808251676E-3</v>
      </c>
    </row>
    <row r="93" spans="2:21" s="137" customFormat="1">
      <c r="B93" s="88" t="s">
        <v>499</v>
      </c>
      <c r="C93" s="85" t="s">
        <v>500</v>
      </c>
      <c r="D93" s="98" t="s">
        <v>118</v>
      </c>
      <c r="E93" s="98" t="s">
        <v>305</v>
      </c>
      <c r="F93" s="85" t="s">
        <v>501</v>
      </c>
      <c r="G93" s="98" t="s">
        <v>353</v>
      </c>
      <c r="H93" s="85" t="s">
        <v>445</v>
      </c>
      <c r="I93" s="85" t="s">
        <v>307</v>
      </c>
      <c r="J93" s="85"/>
      <c r="K93" s="95">
        <v>6.9599999999999991</v>
      </c>
      <c r="L93" s="98" t="s">
        <v>162</v>
      </c>
      <c r="M93" s="99">
        <v>1.3999999999999999E-2</v>
      </c>
      <c r="N93" s="99">
        <v>1.4500000000000002E-2</v>
      </c>
      <c r="O93" s="95">
        <v>135999.99999999997</v>
      </c>
      <c r="P93" s="97">
        <v>100.34</v>
      </c>
      <c r="Q93" s="85"/>
      <c r="R93" s="95">
        <v>136.4624</v>
      </c>
      <c r="S93" s="96">
        <v>5.3627760252365916E-4</v>
      </c>
      <c r="T93" s="96">
        <f t="shared" si="1"/>
        <v>2.7217257086394366E-3</v>
      </c>
      <c r="U93" s="96">
        <f>R93/'סכום נכסי הקרן'!$C$42</f>
        <v>6.5276425686628455E-4</v>
      </c>
    </row>
    <row r="94" spans="2:21" s="137" customFormat="1">
      <c r="B94" s="88" t="s">
        <v>502</v>
      </c>
      <c r="C94" s="85" t="s">
        <v>503</v>
      </c>
      <c r="D94" s="98" t="s">
        <v>118</v>
      </c>
      <c r="E94" s="98" t="s">
        <v>305</v>
      </c>
      <c r="F94" s="85" t="s">
        <v>316</v>
      </c>
      <c r="G94" s="98" t="s">
        <v>311</v>
      </c>
      <c r="H94" s="85" t="s">
        <v>445</v>
      </c>
      <c r="I94" s="85" t="s">
        <v>158</v>
      </c>
      <c r="J94" s="85"/>
      <c r="K94" s="95">
        <v>4.12</v>
      </c>
      <c r="L94" s="98" t="s">
        <v>162</v>
      </c>
      <c r="M94" s="99">
        <v>1.06E-2</v>
      </c>
      <c r="N94" s="99">
        <v>1.3699999999999999E-2</v>
      </c>
      <c r="O94" s="95">
        <f>250000/50000</f>
        <v>5</v>
      </c>
      <c r="P94" s="97">
        <v>5033000</v>
      </c>
      <c r="Q94" s="85"/>
      <c r="R94" s="95">
        <v>251.64998999999997</v>
      </c>
      <c r="S94" s="96">
        <f>1841.07813535606%/50000</f>
        <v>3.6821562707121204E-4</v>
      </c>
      <c r="T94" s="96">
        <f t="shared" si="1"/>
        <v>5.0191279602429459E-3</v>
      </c>
      <c r="U94" s="96">
        <f>R94/'סכום נכסי הקרן'!$C$42</f>
        <v>1.2037610265740446E-3</v>
      </c>
    </row>
    <row r="95" spans="2:21" s="137" customFormat="1">
      <c r="B95" s="88" t="s">
        <v>504</v>
      </c>
      <c r="C95" s="85" t="s">
        <v>505</v>
      </c>
      <c r="D95" s="98" t="s">
        <v>118</v>
      </c>
      <c r="E95" s="98" t="s">
        <v>305</v>
      </c>
      <c r="F95" s="85" t="s">
        <v>419</v>
      </c>
      <c r="G95" s="98" t="s">
        <v>353</v>
      </c>
      <c r="H95" s="85" t="s">
        <v>445</v>
      </c>
      <c r="I95" s="85" t="s">
        <v>307</v>
      </c>
      <c r="J95" s="85"/>
      <c r="K95" s="95">
        <v>2.4299999999999997</v>
      </c>
      <c r="L95" s="98" t="s">
        <v>162</v>
      </c>
      <c r="M95" s="99">
        <v>4.9000000000000002E-2</v>
      </c>
      <c r="N95" s="99">
        <v>3.3999999999999998E-3</v>
      </c>
      <c r="O95" s="95">
        <v>129041.84999999998</v>
      </c>
      <c r="P95" s="97">
        <v>117.47</v>
      </c>
      <c r="Q95" s="85"/>
      <c r="R95" s="95">
        <v>151.58544999999998</v>
      </c>
      <c r="S95" s="96">
        <v>1.6170334994626388E-4</v>
      </c>
      <c r="T95" s="96">
        <f t="shared" si="1"/>
        <v>3.0233530724996615E-3</v>
      </c>
      <c r="U95" s="96">
        <f>R95/'סכום נכסי הקרן'!$C$42</f>
        <v>7.2510496386544066E-4</v>
      </c>
    </row>
    <row r="96" spans="2:21" s="137" customFormat="1">
      <c r="B96" s="88" t="s">
        <v>506</v>
      </c>
      <c r="C96" s="85" t="s">
        <v>507</v>
      </c>
      <c r="D96" s="98" t="s">
        <v>118</v>
      </c>
      <c r="E96" s="98" t="s">
        <v>305</v>
      </c>
      <c r="F96" s="85" t="s">
        <v>419</v>
      </c>
      <c r="G96" s="98" t="s">
        <v>353</v>
      </c>
      <c r="H96" s="85" t="s">
        <v>445</v>
      </c>
      <c r="I96" s="85" t="s">
        <v>307</v>
      </c>
      <c r="J96" s="85"/>
      <c r="K96" s="95">
        <v>5.87</v>
      </c>
      <c r="L96" s="98" t="s">
        <v>162</v>
      </c>
      <c r="M96" s="99">
        <v>2.3E-2</v>
      </c>
      <c r="N96" s="99">
        <v>1.8100000000000002E-2</v>
      </c>
      <c r="O96" s="95">
        <v>30682.509999999995</v>
      </c>
      <c r="P96" s="97">
        <v>105.3</v>
      </c>
      <c r="Q96" s="85"/>
      <c r="R96" s="95">
        <v>32.308679999999995</v>
      </c>
      <c r="S96" s="96">
        <v>2.1754919155910626E-5</v>
      </c>
      <c r="T96" s="96">
        <f t="shared" si="1"/>
        <v>6.4439263099729134E-4</v>
      </c>
      <c r="U96" s="96">
        <f>R96/'סכום נכסי הקרן'!$C$42</f>
        <v>1.5454771050875981E-4</v>
      </c>
    </row>
    <row r="97" spans="2:21" s="137" customFormat="1">
      <c r="B97" s="88" t="s">
        <v>508</v>
      </c>
      <c r="C97" s="85" t="s">
        <v>509</v>
      </c>
      <c r="D97" s="98" t="s">
        <v>118</v>
      </c>
      <c r="E97" s="98" t="s">
        <v>305</v>
      </c>
      <c r="F97" s="85" t="s">
        <v>419</v>
      </c>
      <c r="G97" s="98" t="s">
        <v>353</v>
      </c>
      <c r="H97" s="85" t="s">
        <v>445</v>
      </c>
      <c r="I97" s="85" t="s">
        <v>307</v>
      </c>
      <c r="J97" s="85"/>
      <c r="K97" s="95">
        <v>2.3200000000000003</v>
      </c>
      <c r="L97" s="98" t="s">
        <v>162</v>
      </c>
      <c r="M97" s="99">
        <v>5.8499999999999996E-2</v>
      </c>
      <c r="N97" s="99">
        <v>3.4000000000000002E-3</v>
      </c>
      <c r="O97" s="95">
        <v>81585.449999999983</v>
      </c>
      <c r="P97" s="97">
        <v>125.02</v>
      </c>
      <c r="Q97" s="85"/>
      <c r="R97" s="95">
        <v>101.99812999999997</v>
      </c>
      <c r="S97" s="96">
        <v>6.9270629380755689E-5</v>
      </c>
      <c r="T97" s="96">
        <f t="shared" si="1"/>
        <v>2.0343401014063017E-3</v>
      </c>
      <c r="U97" s="96">
        <f>R97/'סכום נכסי הקרן'!$C$42</f>
        <v>4.8790533898862006E-4</v>
      </c>
    </row>
    <row r="98" spans="2:21" s="137" customFormat="1">
      <c r="B98" s="88" t="s">
        <v>510</v>
      </c>
      <c r="C98" s="85" t="s">
        <v>511</v>
      </c>
      <c r="D98" s="98" t="s">
        <v>118</v>
      </c>
      <c r="E98" s="98" t="s">
        <v>305</v>
      </c>
      <c r="F98" s="85" t="s">
        <v>419</v>
      </c>
      <c r="G98" s="98" t="s">
        <v>353</v>
      </c>
      <c r="H98" s="85" t="s">
        <v>445</v>
      </c>
      <c r="I98" s="85" t="s">
        <v>307</v>
      </c>
      <c r="J98" s="85"/>
      <c r="K98" s="95">
        <v>7.27</v>
      </c>
      <c r="L98" s="98" t="s">
        <v>162</v>
      </c>
      <c r="M98" s="99">
        <v>2.2499999999999999E-2</v>
      </c>
      <c r="N98" s="99">
        <v>2.41E-2</v>
      </c>
      <c r="O98" s="95">
        <v>101999.99999999999</v>
      </c>
      <c r="P98" s="97">
        <v>100.94</v>
      </c>
      <c r="Q98" s="85"/>
      <c r="R98" s="95">
        <v>102.95879999999998</v>
      </c>
      <c r="S98" s="96">
        <v>5.4245797280264626E-4</v>
      </c>
      <c r="T98" s="96">
        <f t="shared" si="1"/>
        <v>2.0535005458695286E-3</v>
      </c>
      <c r="U98" s="96">
        <f>R98/'סכום נכסי הקרן'!$C$42</f>
        <v>4.9250067835421632E-4</v>
      </c>
    </row>
    <row r="99" spans="2:21" s="137" customFormat="1">
      <c r="B99" s="88" t="s">
        <v>512</v>
      </c>
      <c r="C99" s="85" t="s">
        <v>513</v>
      </c>
      <c r="D99" s="98" t="s">
        <v>118</v>
      </c>
      <c r="E99" s="98" t="s">
        <v>305</v>
      </c>
      <c r="F99" s="85" t="s">
        <v>514</v>
      </c>
      <c r="G99" s="98" t="s">
        <v>353</v>
      </c>
      <c r="H99" s="85" t="s">
        <v>445</v>
      </c>
      <c r="I99" s="85" t="s">
        <v>158</v>
      </c>
      <c r="J99" s="85"/>
      <c r="K99" s="95">
        <v>6.8999999999999995</v>
      </c>
      <c r="L99" s="98" t="s">
        <v>162</v>
      </c>
      <c r="M99" s="99">
        <v>1.9599999999999999E-2</v>
      </c>
      <c r="N99" s="99">
        <v>1.8500000000000003E-2</v>
      </c>
      <c r="O99" s="95">
        <v>123872.49999999999</v>
      </c>
      <c r="P99" s="97">
        <v>102.53</v>
      </c>
      <c r="Q99" s="85"/>
      <c r="R99" s="95">
        <v>127.00647999999998</v>
      </c>
      <c r="S99" s="96">
        <v>1.9232094888219488E-4</v>
      </c>
      <c r="T99" s="96">
        <f t="shared" si="1"/>
        <v>2.5331285524789271E-3</v>
      </c>
      <c r="U99" s="96">
        <f>R99/'סכום נכסי הקרן'!$C$42</f>
        <v>6.0753211532555936E-4</v>
      </c>
    </row>
    <row r="100" spans="2:21" s="137" customFormat="1">
      <c r="B100" s="88" t="s">
        <v>515</v>
      </c>
      <c r="C100" s="85" t="s">
        <v>516</v>
      </c>
      <c r="D100" s="98" t="s">
        <v>118</v>
      </c>
      <c r="E100" s="98" t="s">
        <v>305</v>
      </c>
      <c r="F100" s="85" t="s">
        <v>514</v>
      </c>
      <c r="G100" s="98" t="s">
        <v>353</v>
      </c>
      <c r="H100" s="85" t="s">
        <v>445</v>
      </c>
      <c r="I100" s="85" t="s">
        <v>158</v>
      </c>
      <c r="J100" s="85"/>
      <c r="K100" s="95">
        <v>4.12</v>
      </c>
      <c r="L100" s="98" t="s">
        <v>162</v>
      </c>
      <c r="M100" s="99">
        <v>2.75E-2</v>
      </c>
      <c r="N100" s="99">
        <v>7.9000000000000008E-3</v>
      </c>
      <c r="O100" s="95">
        <v>58434.799999999988</v>
      </c>
      <c r="P100" s="97">
        <v>108.86</v>
      </c>
      <c r="Q100" s="85"/>
      <c r="R100" s="95">
        <v>63.61211999999999</v>
      </c>
      <c r="S100" s="96">
        <v>1.2561869029008654E-4</v>
      </c>
      <c r="T100" s="96">
        <f t="shared" si="1"/>
        <v>1.2687358743877935E-3</v>
      </c>
      <c r="U100" s="96">
        <f>R100/'סכום נכסי הקרן'!$C$42</f>
        <v>3.0428688224367229E-4</v>
      </c>
    </row>
    <row r="101" spans="2:21" s="137" customFormat="1">
      <c r="B101" s="88" t="s">
        <v>517</v>
      </c>
      <c r="C101" s="85" t="s">
        <v>518</v>
      </c>
      <c r="D101" s="98" t="s">
        <v>118</v>
      </c>
      <c r="E101" s="98" t="s">
        <v>305</v>
      </c>
      <c r="F101" s="85" t="s">
        <v>329</v>
      </c>
      <c r="G101" s="98" t="s">
        <v>311</v>
      </c>
      <c r="H101" s="85" t="s">
        <v>445</v>
      </c>
      <c r="I101" s="85" t="s">
        <v>158</v>
      </c>
      <c r="J101" s="85"/>
      <c r="K101" s="95">
        <v>4.46</v>
      </c>
      <c r="L101" s="98" t="s">
        <v>162</v>
      </c>
      <c r="M101" s="99">
        <v>1.4199999999999999E-2</v>
      </c>
      <c r="N101" s="99">
        <v>1.44E-2</v>
      </c>
      <c r="O101" s="95">
        <f>250000/50000</f>
        <v>5</v>
      </c>
      <c r="P101" s="97">
        <v>5070000</v>
      </c>
      <c r="Q101" s="85"/>
      <c r="R101" s="95">
        <v>253.50000999999995</v>
      </c>
      <c r="S101" s="96">
        <f>1179.63478507054%/1000</f>
        <v>1.1796347850705399E-2</v>
      </c>
      <c r="T101" s="96">
        <f t="shared" si="1"/>
        <v>5.0560263805806875E-3</v>
      </c>
      <c r="U101" s="96">
        <f>R101/'סכום נכסי הקרן'!$C$42</f>
        <v>1.2126105479842481E-3</v>
      </c>
    </row>
    <row r="102" spans="2:21" s="137" customFormat="1">
      <c r="B102" s="88" t="s">
        <v>519</v>
      </c>
      <c r="C102" s="85" t="s">
        <v>520</v>
      </c>
      <c r="D102" s="98" t="s">
        <v>118</v>
      </c>
      <c r="E102" s="98" t="s">
        <v>305</v>
      </c>
      <c r="F102" s="85" t="s">
        <v>329</v>
      </c>
      <c r="G102" s="98" t="s">
        <v>311</v>
      </c>
      <c r="H102" s="85" t="s">
        <v>445</v>
      </c>
      <c r="I102" s="85" t="s">
        <v>158</v>
      </c>
      <c r="J102" s="85"/>
      <c r="K102" s="95">
        <v>5.0699999999999994</v>
      </c>
      <c r="L102" s="98" t="s">
        <v>162</v>
      </c>
      <c r="M102" s="99">
        <v>1.5900000000000001E-2</v>
      </c>
      <c r="N102" s="99">
        <v>1.5599999999999998E-2</v>
      </c>
      <c r="O102" s="95">
        <f>300000/50000</f>
        <v>6</v>
      </c>
      <c r="P102" s="97">
        <v>5039000</v>
      </c>
      <c r="Q102" s="85"/>
      <c r="R102" s="95">
        <v>302.33999</v>
      </c>
      <c r="S102" s="96">
        <f>2004.00801603206%/50000</f>
        <v>4.0080160320641196E-4</v>
      </c>
      <c r="T102" s="96">
        <f t="shared" si="1"/>
        <v>6.0301337477047896E-3</v>
      </c>
      <c r="U102" s="96">
        <f>R102/'סכום נכסי הקרן'!$C$42</f>
        <v>1.4462352918702139E-3</v>
      </c>
    </row>
    <row r="103" spans="2:21" s="137" customFormat="1">
      <c r="B103" s="88" t="s">
        <v>521</v>
      </c>
      <c r="C103" s="85" t="s">
        <v>522</v>
      </c>
      <c r="D103" s="98" t="s">
        <v>118</v>
      </c>
      <c r="E103" s="98" t="s">
        <v>305</v>
      </c>
      <c r="F103" s="85" t="s">
        <v>523</v>
      </c>
      <c r="G103" s="98" t="s">
        <v>524</v>
      </c>
      <c r="H103" s="85" t="s">
        <v>445</v>
      </c>
      <c r="I103" s="85" t="s">
        <v>307</v>
      </c>
      <c r="J103" s="85"/>
      <c r="K103" s="95">
        <v>4.9400000000000004</v>
      </c>
      <c r="L103" s="98" t="s">
        <v>162</v>
      </c>
      <c r="M103" s="99">
        <v>1.9400000000000001E-2</v>
      </c>
      <c r="N103" s="99">
        <v>8.8999999999999999E-3</v>
      </c>
      <c r="O103" s="95">
        <v>184946.98</v>
      </c>
      <c r="P103" s="97">
        <v>106.94</v>
      </c>
      <c r="Q103" s="85"/>
      <c r="R103" s="95">
        <v>197.78228999999996</v>
      </c>
      <c r="S103" s="96">
        <v>2.7920272457517415E-4</v>
      </c>
      <c r="T103" s="96">
        <f t="shared" si="1"/>
        <v>3.9447433388726883E-3</v>
      </c>
      <c r="U103" s="96">
        <f>R103/'סכום נכסי הקרן'!$C$42</f>
        <v>9.460863179393148E-4</v>
      </c>
    </row>
    <row r="104" spans="2:21" s="137" customFormat="1">
      <c r="B104" s="88" t="s">
        <v>525</v>
      </c>
      <c r="C104" s="85" t="s">
        <v>526</v>
      </c>
      <c r="D104" s="98" t="s">
        <v>118</v>
      </c>
      <c r="E104" s="98" t="s">
        <v>305</v>
      </c>
      <c r="F104" s="85" t="s">
        <v>523</v>
      </c>
      <c r="G104" s="98" t="s">
        <v>524</v>
      </c>
      <c r="H104" s="85" t="s">
        <v>445</v>
      </c>
      <c r="I104" s="85" t="s">
        <v>307</v>
      </c>
      <c r="J104" s="85"/>
      <c r="K104" s="95">
        <v>6.839999999999999</v>
      </c>
      <c r="L104" s="98" t="s">
        <v>162</v>
      </c>
      <c r="M104" s="99">
        <v>1.23E-2</v>
      </c>
      <c r="N104" s="99">
        <v>1.3999999999999999E-2</v>
      </c>
      <c r="O104" s="95">
        <v>254473.99999999997</v>
      </c>
      <c r="P104" s="97">
        <v>100.07</v>
      </c>
      <c r="Q104" s="85"/>
      <c r="R104" s="95">
        <v>254.65214999999998</v>
      </c>
      <c r="S104" s="96">
        <v>2.401647443659333E-4</v>
      </c>
      <c r="T104" s="96">
        <f t="shared" si="1"/>
        <v>5.0790056705385953E-3</v>
      </c>
      <c r="U104" s="96">
        <f>R104/'סכום נכסי הקרן'!$C$42</f>
        <v>1.2181217789966438E-3</v>
      </c>
    </row>
    <row r="105" spans="2:21" s="137" customFormat="1">
      <c r="B105" s="88" t="s">
        <v>527</v>
      </c>
      <c r="C105" s="85" t="s">
        <v>528</v>
      </c>
      <c r="D105" s="98" t="s">
        <v>118</v>
      </c>
      <c r="E105" s="98" t="s">
        <v>305</v>
      </c>
      <c r="F105" s="85" t="s">
        <v>529</v>
      </c>
      <c r="G105" s="98" t="s">
        <v>479</v>
      </c>
      <c r="H105" s="85" t="s">
        <v>445</v>
      </c>
      <c r="I105" s="85" t="s">
        <v>158</v>
      </c>
      <c r="J105" s="85"/>
      <c r="K105" s="95">
        <v>1</v>
      </c>
      <c r="L105" s="98" t="s">
        <v>162</v>
      </c>
      <c r="M105" s="99">
        <v>3.6000000000000004E-2</v>
      </c>
      <c r="N105" s="99">
        <v>-9.8000000000000014E-3</v>
      </c>
      <c r="O105" s="95">
        <v>75591.999999999985</v>
      </c>
      <c r="P105" s="97">
        <v>111.75</v>
      </c>
      <c r="Q105" s="85"/>
      <c r="R105" s="95">
        <v>84.47405999999998</v>
      </c>
      <c r="S105" s="96">
        <v>1.8271647909656955E-4</v>
      </c>
      <c r="T105" s="96">
        <f t="shared" si="1"/>
        <v>1.6848246902820866E-3</v>
      </c>
      <c r="U105" s="96">
        <f>R105/'סכום נכסי הקרן'!$C$42</f>
        <v>4.0407941675053285E-4</v>
      </c>
    </row>
    <row r="106" spans="2:21" s="137" customFormat="1">
      <c r="B106" s="88" t="s">
        <v>530</v>
      </c>
      <c r="C106" s="85" t="s">
        <v>531</v>
      </c>
      <c r="D106" s="98" t="s">
        <v>118</v>
      </c>
      <c r="E106" s="98" t="s">
        <v>305</v>
      </c>
      <c r="F106" s="85" t="s">
        <v>529</v>
      </c>
      <c r="G106" s="98" t="s">
        <v>479</v>
      </c>
      <c r="H106" s="85" t="s">
        <v>445</v>
      </c>
      <c r="I106" s="85" t="s">
        <v>158</v>
      </c>
      <c r="J106" s="85"/>
      <c r="K106" s="95">
        <v>7.41</v>
      </c>
      <c r="L106" s="98" t="s">
        <v>162</v>
      </c>
      <c r="M106" s="99">
        <v>2.2499999999999999E-2</v>
      </c>
      <c r="N106" s="99">
        <v>1.47E-2</v>
      </c>
      <c r="O106" s="95">
        <v>41680.999999999993</v>
      </c>
      <c r="P106" s="97">
        <v>108.5</v>
      </c>
      <c r="Q106" s="85"/>
      <c r="R106" s="95">
        <v>45.223879999999987</v>
      </c>
      <c r="S106" s="96">
        <v>1.0188060659108444E-4</v>
      </c>
      <c r="T106" s="96">
        <f t="shared" si="1"/>
        <v>9.0198469937817884E-4</v>
      </c>
      <c r="U106" s="96">
        <f>R106/'סכום נכסי הקרן'!$C$42</f>
        <v>2.163272258205192E-4</v>
      </c>
    </row>
    <row r="107" spans="2:21" s="137" customFormat="1">
      <c r="B107" s="88" t="s">
        <v>532</v>
      </c>
      <c r="C107" s="85" t="s">
        <v>533</v>
      </c>
      <c r="D107" s="98" t="s">
        <v>118</v>
      </c>
      <c r="E107" s="98" t="s">
        <v>305</v>
      </c>
      <c r="F107" s="85" t="s">
        <v>338</v>
      </c>
      <c r="G107" s="98" t="s">
        <v>311</v>
      </c>
      <c r="H107" s="85" t="s">
        <v>534</v>
      </c>
      <c r="I107" s="85" t="s">
        <v>158</v>
      </c>
      <c r="J107" s="85"/>
      <c r="K107" s="95">
        <v>2.6700000000000004</v>
      </c>
      <c r="L107" s="98" t="s">
        <v>162</v>
      </c>
      <c r="M107" s="99">
        <v>2.7999999999999997E-2</v>
      </c>
      <c r="N107" s="99">
        <v>1.0200000000000001E-2</v>
      </c>
      <c r="O107" s="95">
        <f>200000/50000</f>
        <v>4</v>
      </c>
      <c r="P107" s="97">
        <v>5355000</v>
      </c>
      <c r="Q107" s="85"/>
      <c r="R107" s="95">
        <v>214.20000999999996</v>
      </c>
      <c r="S107" s="96">
        <f>1130.77401481314%/50000</f>
        <v>2.2615480296262798E-4</v>
      </c>
      <c r="T107" s="96">
        <f t="shared" si="1"/>
        <v>4.2721927359318339E-3</v>
      </c>
      <c r="U107" s="96">
        <f>R107/'סכום נכסי הקרן'!$C$42</f>
        <v>1.0246200444107732E-3</v>
      </c>
    </row>
    <row r="108" spans="2:21" s="137" customFormat="1">
      <c r="B108" s="88" t="s">
        <v>535</v>
      </c>
      <c r="C108" s="85" t="s">
        <v>536</v>
      </c>
      <c r="D108" s="98" t="s">
        <v>118</v>
      </c>
      <c r="E108" s="98" t="s">
        <v>305</v>
      </c>
      <c r="F108" s="85" t="s">
        <v>338</v>
      </c>
      <c r="G108" s="98" t="s">
        <v>311</v>
      </c>
      <c r="H108" s="85" t="s">
        <v>534</v>
      </c>
      <c r="I108" s="85" t="s">
        <v>158</v>
      </c>
      <c r="J108" s="85"/>
      <c r="K108" s="95">
        <v>3.9300000000000006</v>
      </c>
      <c r="L108" s="98" t="s">
        <v>162</v>
      </c>
      <c r="M108" s="99">
        <v>1.49E-2</v>
      </c>
      <c r="N108" s="99">
        <v>1.3399999999999999E-2</v>
      </c>
      <c r="O108" s="95">
        <f>50000/50000</f>
        <v>1</v>
      </c>
      <c r="P108" s="97">
        <v>5089000</v>
      </c>
      <c r="Q108" s="95">
        <v>0.76217999999999986</v>
      </c>
      <c r="R108" s="95">
        <v>51.65218999999999</v>
      </c>
      <c r="S108" s="96">
        <f>826.719576719577%/50000</f>
        <v>1.6534391534391542E-4</v>
      </c>
      <c r="T108" s="96">
        <f t="shared" si="1"/>
        <v>1.0301965481372801E-3</v>
      </c>
      <c r="U108" s="96">
        <f>R108/'סכום נכסי הקרן'!$C$42</f>
        <v>2.4707687554129289E-4</v>
      </c>
    </row>
    <row r="109" spans="2:21" s="137" customFormat="1">
      <c r="B109" s="88" t="s">
        <v>537</v>
      </c>
      <c r="C109" s="85" t="s">
        <v>538</v>
      </c>
      <c r="D109" s="98" t="s">
        <v>118</v>
      </c>
      <c r="E109" s="98" t="s">
        <v>305</v>
      </c>
      <c r="F109" s="85" t="s">
        <v>338</v>
      </c>
      <c r="G109" s="98" t="s">
        <v>311</v>
      </c>
      <c r="H109" s="85" t="s">
        <v>534</v>
      </c>
      <c r="I109" s="85" t="s">
        <v>158</v>
      </c>
      <c r="J109" s="85"/>
      <c r="K109" s="95">
        <v>5.4799999999999995</v>
      </c>
      <c r="L109" s="98" t="s">
        <v>162</v>
      </c>
      <c r="M109" s="99">
        <v>2.2000000000000002E-2</v>
      </c>
      <c r="N109" s="99">
        <v>1.67E-2</v>
      </c>
      <c r="O109" s="95">
        <f>50000/50000</f>
        <v>1</v>
      </c>
      <c r="P109" s="97">
        <v>5177777</v>
      </c>
      <c r="Q109" s="85"/>
      <c r="R109" s="95">
        <v>51.77776999999999</v>
      </c>
      <c r="S109" s="96">
        <f>993.245927691696%/50000</f>
        <v>1.9864918553833921E-4</v>
      </c>
      <c r="T109" s="96">
        <f t="shared" si="1"/>
        <v>1.0327012257223948E-3</v>
      </c>
      <c r="U109" s="96">
        <f>R109/'סכום נכסי הקרן'!$C$42</f>
        <v>2.4767758412752079E-4</v>
      </c>
    </row>
    <row r="110" spans="2:21" s="137" customFormat="1">
      <c r="B110" s="88" t="s">
        <v>539</v>
      </c>
      <c r="C110" s="85" t="s">
        <v>540</v>
      </c>
      <c r="D110" s="98" t="s">
        <v>118</v>
      </c>
      <c r="E110" s="98" t="s">
        <v>305</v>
      </c>
      <c r="F110" s="85" t="s">
        <v>541</v>
      </c>
      <c r="G110" s="98" t="s">
        <v>353</v>
      </c>
      <c r="H110" s="85" t="s">
        <v>534</v>
      </c>
      <c r="I110" s="85" t="s">
        <v>158</v>
      </c>
      <c r="J110" s="85"/>
      <c r="K110" s="95">
        <v>1.74</v>
      </c>
      <c r="L110" s="98" t="s">
        <v>162</v>
      </c>
      <c r="M110" s="99">
        <v>4.5999999999999999E-2</v>
      </c>
      <c r="N110" s="99">
        <v>3.9999999999999996E-4</v>
      </c>
      <c r="O110" s="95">
        <v>43905.419999999991</v>
      </c>
      <c r="P110" s="97">
        <v>131.72999999999999</v>
      </c>
      <c r="Q110" s="85"/>
      <c r="R110" s="95">
        <v>57.836609999999993</v>
      </c>
      <c r="S110" s="96">
        <v>1.5239922454268198E-4</v>
      </c>
      <c r="T110" s="96">
        <f t="shared" si="1"/>
        <v>1.1535440409779741E-3</v>
      </c>
      <c r="U110" s="96">
        <f>R110/'סכום נכסי הקרן'!$C$42</f>
        <v>2.7665988394103512E-4</v>
      </c>
    </row>
    <row r="111" spans="2:21" s="137" customFormat="1">
      <c r="B111" s="88" t="s">
        <v>542</v>
      </c>
      <c r="C111" s="85" t="s">
        <v>543</v>
      </c>
      <c r="D111" s="98" t="s">
        <v>118</v>
      </c>
      <c r="E111" s="98" t="s">
        <v>305</v>
      </c>
      <c r="F111" s="85" t="s">
        <v>544</v>
      </c>
      <c r="G111" s="98" t="s">
        <v>311</v>
      </c>
      <c r="H111" s="85" t="s">
        <v>534</v>
      </c>
      <c r="I111" s="85" t="s">
        <v>307</v>
      </c>
      <c r="J111" s="85"/>
      <c r="K111" s="95">
        <v>1.7400000000000002</v>
      </c>
      <c r="L111" s="98" t="s">
        <v>162</v>
      </c>
      <c r="M111" s="99">
        <v>0.02</v>
      </c>
      <c r="N111" s="99">
        <v>-5.9999999999999995E-4</v>
      </c>
      <c r="O111" s="95">
        <v>5485.6</v>
      </c>
      <c r="P111" s="97">
        <v>107.21</v>
      </c>
      <c r="Q111" s="85"/>
      <c r="R111" s="95">
        <v>5.8811199999999992</v>
      </c>
      <c r="S111" s="96">
        <v>9.6410850544200378E-6</v>
      </c>
      <c r="T111" s="96">
        <f t="shared" si="1"/>
        <v>1.172982118121443E-4</v>
      </c>
      <c r="U111" s="96">
        <f>R111/'סכום נכסי הקרן'!$C$42</f>
        <v>2.8132180925598865E-5</v>
      </c>
    </row>
    <row r="112" spans="2:21" s="137" customFormat="1">
      <c r="B112" s="88" t="s">
        <v>545</v>
      </c>
      <c r="C112" s="85" t="s">
        <v>546</v>
      </c>
      <c r="D112" s="98" t="s">
        <v>118</v>
      </c>
      <c r="E112" s="98" t="s">
        <v>305</v>
      </c>
      <c r="F112" s="85" t="s">
        <v>498</v>
      </c>
      <c r="G112" s="98" t="s">
        <v>353</v>
      </c>
      <c r="H112" s="85" t="s">
        <v>534</v>
      </c>
      <c r="I112" s="85" t="s">
        <v>307</v>
      </c>
      <c r="J112" s="85"/>
      <c r="K112" s="95">
        <v>7.06</v>
      </c>
      <c r="L112" s="98" t="s">
        <v>162</v>
      </c>
      <c r="M112" s="99">
        <v>2.81E-2</v>
      </c>
      <c r="N112" s="99">
        <v>2.5099999999999997E-2</v>
      </c>
      <c r="O112" s="95">
        <v>3604.9999999999995</v>
      </c>
      <c r="P112" s="97">
        <v>104.36</v>
      </c>
      <c r="Q112" s="85"/>
      <c r="R112" s="95">
        <v>3.7621699999999998</v>
      </c>
      <c r="S112" s="96">
        <v>6.8860656974600816E-6</v>
      </c>
      <c r="T112" s="96">
        <f t="shared" si="1"/>
        <v>7.5036015849582217E-5</v>
      </c>
      <c r="U112" s="96">
        <f>R112/'סכום נכסי הקרן'!$C$42</f>
        <v>1.7996240021094673E-5</v>
      </c>
    </row>
    <row r="113" spans="2:21" s="137" customFormat="1">
      <c r="B113" s="88" t="s">
        <v>547</v>
      </c>
      <c r="C113" s="85" t="s">
        <v>548</v>
      </c>
      <c r="D113" s="98" t="s">
        <v>118</v>
      </c>
      <c r="E113" s="98" t="s">
        <v>305</v>
      </c>
      <c r="F113" s="85" t="s">
        <v>498</v>
      </c>
      <c r="G113" s="98" t="s">
        <v>353</v>
      </c>
      <c r="H113" s="85" t="s">
        <v>534</v>
      </c>
      <c r="I113" s="85" t="s">
        <v>307</v>
      </c>
      <c r="J113" s="85"/>
      <c r="K113" s="95">
        <v>5.1899999999999995</v>
      </c>
      <c r="L113" s="98" t="s">
        <v>162</v>
      </c>
      <c r="M113" s="99">
        <v>3.7000000000000005E-2</v>
      </c>
      <c r="N113" s="99">
        <v>1.6799999999999999E-2</v>
      </c>
      <c r="O113" s="95">
        <v>130626.87999999998</v>
      </c>
      <c r="P113" s="97">
        <v>112.06</v>
      </c>
      <c r="Q113" s="85"/>
      <c r="R113" s="95">
        <v>146.38047999999998</v>
      </c>
      <c r="S113" s="96">
        <v>1.9304207175577552E-4</v>
      </c>
      <c r="T113" s="96">
        <f t="shared" si="1"/>
        <v>2.9195405889020035E-3</v>
      </c>
      <c r="U113" s="96">
        <f>R113/'סכום נכסי הקרן'!$C$42</f>
        <v>7.0020712846124652E-4</v>
      </c>
    </row>
    <row r="114" spans="2:21" s="137" customFormat="1">
      <c r="B114" s="88" t="s">
        <v>549</v>
      </c>
      <c r="C114" s="85" t="s">
        <v>550</v>
      </c>
      <c r="D114" s="98" t="s">
        <v>118</v>
      </c>
      <c r="E114" s="98" t="s">
        <v>305</v>
      </c>
      <c r="F114" s="85" t="s">
        <v>316</v>
      </c>
      <c r="G114" s="98" t="s">
        <v>311</v>
      </c>
      <c r="H114" s="85" t="s">
        <v>534</v>
      </c>
      <c r="I114" s="85" t="s">
        <v>307</v>
      </c>
      <c r="J114" s="85"/>
      <c r="K114" s="95">
        <v>3.0700000000000003</v>
      </c>
      <c r="L114" s="98" t="s">
        <v>162</v>
      </c>
      <c r="M114" s="99">
        <v>4.4999999999999998E-2</v>
      </c>
      <c r="N114" s="99">
        <v>6.7000000000000002E-3</v>
      </c>
      <c r="O114" s="95">
        <v>102118.99999999999</v>
      </c>
      <c r="P114" s="97">
        <v>135.66999999999999</v>
      </c>
      <c r="Q114" s="95">
        <v>1.3879300000000001</v>
      </c>
      <c r="R114" s="95">
        <v>139.93277999999998</v>
      </c>
      <c r="S114" s="96">
        <v>5.9999965851623926E-5</v>
      </c>
      <c r="T114" s="96">
        <f t="shared" si="1"/>
        <v>2.7909420089884561E-3</v>
      </c>
      <c r="U114" s="96">
        <f>R114/'סכום נכסי הקרן'!$C$42</f>
        <v>6.6936472719176317E-4</v>
      </c>
    </row>
    <row r="115" spans="2:21" s="137" customFormat="1">
      <c r="B115" s="88" t="s">
        <v>551</v>
      </c>
      <c r="C115" s="85" t="s">
        <v>552</v>
      </c>
      <c r="D115" s="98" t="s">
        <v>118</v>
      </c>
      <c r="E115" s="98" t="s">
        <v>305</v>
      </c>
      <c r="F115" s="85" t="s">
        <v>553</v>
      </c>
      <c r="G115" s="98" t="s">
        <v>353</v>
      </c>
      <c r="H115" s="85" t="s">
        <v>534</v>
      </c>
      <c r="I115" s="85" t="s">
        <v>158</v>
      </c>
      <c r="J115" s="85"/>
      <c r="K115" s="95">
        <v>2.65</v>
      </c>
      <c r="L115" s="98" t="s">
        <v>162</v>
      </c>
      <c r="M115" s="99">
        <v>4.9500000000000002E-2</v>
      </c>
      <c r="N115" s="99">
        <v>4.6999999999999993E-3</v>
      </c>
      <c r="O115" s="95">
        <v>0.59999999999999987</v>
      </c>
      <c r="P115" s="97">
        <v>115.71</v>
      </c>
      <c r="Q115" s="85"/>
      <c r="R115" s="95">
        <v>6.8999999999999986E-4</v>
      </c>
      <c r="S115" s="96">
        <v>8.0863594836688559E-10</v>
      </c>
      <c r="T115" s="96">
        <f t="shared" si="1"/>
        <v>1.3761964753376833E-8</v>
      </c>
      <c r="U115" s="96">
        <f>R115/'סכום נכסי הקרן'!$C$42</f>
        <v>3.300596627625897E-9</v>
      </c>
    </row>
    <row r="116" spans="2:21" s="137" customFormat="1">
      <c r="B116" s="88" t="s">
        <v>554</v>
      </c>
      <c r="C116" s="85" t="s">
        <v>555</v>
      </c>
      <c r="D116" s="98" t="s">
        <v>118</v>
      </c>
      <c r="E116" s="98" t="s">
        <v>305</v>
      </c>
      <c r="F116" s="85" t="s">
        <v>556</v>
      </c>
      <c r="G116" s="98" t="s">
        <v>380</v>
      </c>
      <c r="H116" s="85" t="s">
        <v>534</v>
      </c>
      <c r="I116" s="85" t="s">
        <v>307</v>
      </c>
      <c r="J116" s="85"/>
      <c r="K116" s="95">
        <v>0.77000000000000013</v>
      </c>
      <c r="L116" s="98" t="s">
        <v>162</v>
      </c>
      <c r="M116" s="99">
        <v>4.5999999999999999E-2</v>
      </c>
      <c r="N116" s="99">
        <v>0</v>
      </c>
      <c r="O116" s="95">
        <v>37222.799999999996</v>
      </c>
      <c r="P116" s="97">
        <v>108.23</v>
      </c>
      <c r="Q116" s="85"/>
      <c r="R116" s="95">
        <v>40.286239999999992</v>
      </c>
      <c r="S116" s="96">
        <v>8.6790467849838122E-5</v>
      </c>
      <c r="T116" s="96">
        <f t="shared" si="1"/>
        <v>8.0350407960301431E-4</v>
      </c>
      <c r="U116" s="96">
        <f>R116/'סכום נכסי הקרן'!$C$42</f>
        <v>1.9270815635322828E-4</v>
      </c>
    </row>
    <row r="117" spans="2:21" s="137" customFormat="1">
      <c r="B117" s="88" t="s">
        <v>557</v>
      </c>
      <c r="C117" s="85" t="s">
        <v>558</v>
      </c>
      <c r="D117" s="98" t="s">
        <v>118</v>
      </c>
      <c r="E117" s="98" t="s">
        <v>305</v>
      </c>
      <c r="F117" s="85" t="s">
        <v>556</v>
      </c>
      <c r="G117" s="98" t="s">
        <v>380</v>
      </c>
      <c r="H117" s="85" t="s">
        <v>534</v>
      </c>
      <c r="I117" s="85" t="s">
        <v>307</v>
      </c>
      <c r="J117" s="85"/>
      <c r="K117" s="95">
        <v>3.3499999999999996</v>
      </c>
      <c r="L117" s="98" t="s">
        <v>162</v>
      </c>
      <c r="M117" s="99">
        <v>1.9799999999999998E-2</v>
      </c>
      <c r="N117" s="99">
        <v>5.4999999999999997E-3</v>
      </c>
      <c r="O117" s="95">
        <v>225655.75999999995</v>
      </c>
      <c r="P117" s="97">
        <v>105.63</v>
      </c>
      <c r="Q117" s="85"/>
      <c r="R117" s="95">
        <v>238.36017999999996</v>
      </c>
      <c r="S117" s="96">
        <v>2.7003012212335146E-4</v>
      </c>
      <c r="T117" s="96">
        <f t="shared" si="1"/>
        <v>4.754064341693562E-3</v>
      </c>
      <c r="U117" s="96">
        <f>R117/'סכום נכסי הקרן'!$C$42</f>
        <v>1.1401895743018866E-3</v>
      </c>
    </row>
    <row r="118" spans="2:21" s="137" customFormat="1">
      <c r="B118" s="88" t="s">
        <v>559</v>
      </c>
      <c r="C118" s="85" t="s">
        <v>560</v>
      </c>
      <c r="D118" s="98" t="s">
        <v>118</v>
      </c>
      <c r="E118" s="98" t="s">
        <v>305</v>
      </c>
      <c r="F118" s="85" t="s">
        <v>561</v>
      </c>
      <c r="G118" s="98" t="s">
        <v>380</v>
      </c>
      <c r="H118" s="85" t="s">
        <v>534</v>
      </c>
      <c r="I118" s="85" t="s">
        <v>307</v>
      </c>
      <c r="J118" s="85"/>
      <c r="K118" s="95">
        <v>0.25</v>
      </c>
      <c r="L118" s="98" t="s">
        <v>162</v>
      </c>
      <c r="M118" s="99">
        <v>3.3500000000000002E-2</v>
      </c>
      <c r="N118" s="99">
        <v>1.03E-2</v>
      </c>
      <c r="O118" s="95">
        <v>47468.999999999993</v>
      </c>
      <c r="P118" s="97">
        <v>111.01</v>
      </c>
      <c r="Q118" s="85"/>
      <c r="R118" s="95">
        <v>52.695329999999984</v>
      </c>
      <c r="S118" s="96">
        <v>2.4162176442770258E-4</v>
      </c>
      <c r="T118" s="96">
        <f t="shared" si="1"/>
        <v>1.0510018465616823E-3</v>
      </c>
      <c r="U118" s="96">
        <f>R118/'סכום נכסי הקרן'!$C$42</f>
        <v>2.5206670795599093E-4</v>
      </c>
    </row>
    <row r="119" spans="2:21" s="137" customFormat="1">
      <c r="B119" s="88" t="s">
        <v>562</v>
      </c>
      <c r="C119" s="85" t="s">
        <v>563</v>
      </c>
      <c r="D119" s="98" t="s">
        <v>118</v>
      </c>
      <c r="E119" s="98" t="s">
        <v>305</v>
      </c>
      <c r="F119" s="85" t="s">
        <v>564</v>
      </c>
      <c r="G119" s="98" t="s">
        <v>353</v>
      </c>
      <c r="H119" s="85" t="s">
        <v>534</v>
      </c>
      <c r="I119" s="85" t="s">
        <v>158</v>
      </c>
      <c r="J119" s="85"/>
      <c r="K119" s="95">
        <v>1.2300000000000002</v>
      </c>
      <c r="L119" s="98" t="s">
        <v>162</v>
      </c>
      <c r="M119" s="99">
        <v>4.4999999999999998E-2</v>
      </c>
      <c r="N119" s="99">
        <v>-4.0000000000000002E-4</v>
      </c>
      <c r="O119" s="95">
        <v>9999.9999999999982</v>
      </c>
      <c r="P119" s="97">
        <v>115.48</v>
      </c>
      <c r="Q119" s="85"/>
      <c r="R119" s="95">
        <v>11.547999999999998</v>
      </c>
      <c r="S119" s="96">
        <v>2.8776978417266183E-5</v>
      </c>
      <c r="T119" s="96">
        <f t="shared" si="1"/>
        <v>2.3032343329274735E-4</v>
      </c>
      <c r="U119" s="96">
        <f>R119/'סכום נכסי הקרן'!$C$42</f>
        <v>5.5239550515686759E-5</v>
      </c>
    </row>
    <row r="120" spans="2:21" s="137" customFormat="1">
      <c r="B120" s="88" t="s">
        <v>565</v>
      </c>
      <c r="C120" s="85" t="s">
        <v>566</v>
      </c>
      <c r="D120" s="98" t="s">
        <v>118</v>
      </c>
      <c r="E120" s="98" t="s">
        <v>305</v>
      </c>
      <c r="F120" s="85" t="s">
        <v>564</v>
      </c>
      <c r="G120" s="98" t="s">
        <v>353</v>
      </c>
      <c r="H120" s="85" t="s">
        <v>534</v>
      </c>
      <c r="I120" s="85" t="s">
        <v>158</v>
      </c>
      <c r="J120" s="85"/>
      <c r="K120" s="95">
        <v>3.3800000000000003</v>
      </c>
      <c r="L120" s="98" t="s">
        <v>162</v>
      </c>
      <c r="M120" s="99">
        <v>3.3000000000000002E-2</v>
      </c>
      <c r="N120" s="99">
        <v>9.1999999999999998E-3</v>
      </c>
      <c r="O120" s="95">
        <v>234.94999999999996</v>
      </c>
      <c r="P120" s="97">
        <v>109.38</v>
      </c>
      <c r="Q120" s="85"/>
      <c r="R120" s="95">
        <v>0.25698999999999994</v>
      </c>
      <c r="S120" s="96">
        <v>3.915698404892464E-7</v>
      </c>
      <c r="T120" s="96">
        <f t="shared" si="1"/>
        <v>5.1256337999569744E-6</v>
      </c>
      <c r="U120" s="96">
        <f>R120/'סכום נכסי הקרן'!$C$42</f>
        <v>1.2293048222225786E-6</v>
      </c>
    </row>
    <row r="121" spans="2:21" s="137" customFormat="1">
      <c r="B121" s="88" t="s">
        <v>567</v>
      </c>
      <c r="C121" s="85" t="s">
        <v>568</v>
      </c>
      <c r="D121" s="98" t="s">
        <v>118</v>
      </c>
      <c r="E121" s="98" t="s">
        <v>305</v>
      </c>
      <c r="F121" s="85" t="s">
        <v>564</v>
      </c>
      <c r="G121" s="98" t="s">
        <v>353</v>
      </c>
      <c r="H121" s="85" t="s">
        <v>534</v>
      </c>
      <c r="I121" s="85" t="s">
        <v>158</v>
      </c>
      <c r="J121" s="85"/>
      <c r="K121" s="95">
        <v>5.42</v>
      </c>
      <c r="L121" s="98" t="s">
        <v>162</v>
      </c>
      <c r="M121" s="99">
        <v>1.6E-2</v>
      </c>
      <c r="N121" s="99">
        <v>1.1200000000000002E-2</v>
      </c>
      <c r="O121" s="95">
        <v>53189.999999999993</v>
      </c>
      <c r="P121" s="97">
        <v>104.12</v>
      </c>
      <c r="Q121" s="85"/>
      <c r="R121" s="95">
        <v>55.381429999999995</v>
      </c>
      <c r="S121" s="96">
        <v>3.9225656484945335E-4</v>
      </c>
      <c r="T121" s="96">
        <f t="shared" si="1"/>
        <v>1.1045757792052266E-3</v>
      </c>
      <c r="U121" s="96">
        <f>R121/'סכום נכסי הקרן'!$C$42</f>
        <v>2.6491559578420247E-4</v>
      </c>
    </row>
    <row r="122" spans="2:21" s="137" customFormat="1">
      <c r="B122" s="88" t="s">
        <v>569</v>
      </c>
      <c r="C122" s="85" t="s">
        <v>570</v>
      </c>
      <c r="D122" s="98" t="s">
        <v>118</v>
      </c>
      <c r="E122" s="98" t="s">
        <v>305</v>
      </c>
      <c r="F122" s="85" t="s">
        <v>571</v>
      </c>
      <c r="G122" s="98" t="s">
        <v>353</v>
      </c>
      <c r="H122" s="85" t="s">
        <v>572</v>
      </c>
      <c r="I122" s="85" t="s">
        <v>158</v>
      </c>
      <c r="J122" s="85"/>
      <c r="K122" s="95">
        <v>1.71</v>
      </c>
      <c r="L122" s="98" t="s">
        <v>162</v>
      </c>
      <c r="M122" s="99">
        <v>5.3499999999999999E-2</v>
      </c>
      <c r="N122" s="99">
        <v>6.6999999999999994E-3</v>
      </c>
      <c r="O122" s="95">
        <v>2044.6999999999998</v>
      </c>
      <c r="P122" s="97">
        <v>111.61</v>
      </c>
      <c r="Q122" s="85"/>
      <c r="R122" s="95">
        <v>2.2820899999999997</v>
      </c>
      <c r="S122" s="96">
        <v>8.7031286911255486E-6</v>
      </c>
      <c r="T122" s="96">
        <f t="shared" si="1"/>
        <v>4.5516003107295274E-5</v>
      </c>
      <c r="U122" s="96">
        <f>R122/'סכום נכסי הקרן'!$C$42</f>
        <v>1.0916316750635918E-5</v>
      </c>
    </row>
    <row r="123" spans="2:21" s="137" customFormat="1">
      <c r="B123" s="88" t="s">
        <v>573</v>
      </c>
      <c r="C123" s="85" t="s">
        <v>574</v>
      </c>
      <c r="D123" s="98" t="s">
        <v>118</v>
      </c>
      <c r="E123" s="98" t="s">
        <v>305</v>
      </c>
      <c r="F123" s="85" t="s">
        <v>575</v>
      </c>
      <c r="G123" s="98" t="s">
        <v>353</v>
      </c>
      <c r="H123" s="85" t="s">
        <v>572</v>
      </c>
      <c r="I123" s="85" t="s">
        <v>307</v>
      </c>
      <c r="J123" s="85"/>
      <c r="K123" s="95">
        <v>2.1</v>
      </c>
      <c r="L123" s="98" t="s">
        <v>162</v>
      </c>
      <c r="M123" s="99">
        <v>4.5999999999999999E-2</v>
      </c>
      <c r="N123" s="99">
        <v>4.8000000000000004E-3</v>
      </c>
      <c r="O123" s="95">
        <v>7.9999999999999988E-2</v>
      </c>
      <c r="P123" s="97">
        <v>112.06</v>
      </c>
      <c r="Q123" s="85"/>
      <c r="R123" s="95">
        <v>8.9999999999999979E-5</v>
      </c>
      <c r="S123" s="96">
        <v>2.2657941999520329E-10</v>
      </c>
      <c r="T123" s="96">
        <f t="shared" si="1"/>
        <v>1.795038880875239E-9</v>
      </c>
      <c r="U123" s="96">
        <f>R123/'סכום נכסי הקרן'!$C$42</f>
        <v>4.3051260360337788E-10</v>
      </c>
    </row>
    <row r="124" spans="2:21" s="137" customFormat="1">
      <c r="B124" s="88" t="s">
        <v>576</v>
      </c>
      <c r="C124" s="85" t="s">
        <v>577</v>
      </c>
      <c r="D124" s="98" t="s">
        <v>118</v>
      </c>
      <c r="E124" s="98" t="s">
        <v>305</v>
      </c>
      <c r="F124" s="85" t="s">
        <v>578</v>
      </c>
      <c r="G124" s="98" t="s">
        <v>353</v>
      </c>
      <c r="H124" s="85" t="s">
        <v>572</v>
      </c>
      <c r="I124" s="85" t="s">
        <v>158</v>
      </c>
      <c r="J124" s="85"/>
      <c r="K124" s="95">
        <v>7.1500000000000012</v>
      </c>
      <c r="L124" s="98" t="s">
        <v>162</v>
      </c>
      <c r="M124" s="99">
        <v>1.9E-2</v>
      </c>
      <c r="N124" s="99">
        <v>2.5900000000000003E-2</v>
      </c>
      <c r="O124" s="95">
        <v>146985.99999999997</v>
      </c>
      <c r="P124" s="97">
        <v>96.48</v>
      </c>
      <c r="Q124" s="85"/>
      <c r="R124" s="95">
        <v>141.81207999999995</v>
      </c>
      <c r="S124" s="96">
        <v>5.5769464258612826E-4</v>
      </c>
      <c r="T124" s="96">
        <f t="shared" si="1"/>
        <v>2.828424415308776E-3</v>
      </c>
      <c r="U124" s="96">
        <f>R124/'סכום נכסי הקרן'!$C$42</f>
        <v>6.7835430870233891E-4</v>
      </c>
    </row>
    <row r="125" spans="2:21" s="137" customFormat="1">
      <c r="B125" s="88" t="s">
        <v>579</v>
      </c>
      <c r="C125" s="85" t="s">
        <v>580</v>
      </c>
      <c r="D125" s="98" t="s">
        <v>118</v>
      </c>
      <c r="E125" s="98" t="s">
        <v>305</v>
      </c>
      <c r="F125" s="85" t="s">
        <v>397</v>
      </c>
      <c r="G125" s="98" t="s">
        <v>311</v>
      </c>
      <c r="H125" s="85" t="s">
        <v>572</v>
      </c>
      <c r="I125" s="85" t="s">
        <v>307</v>
      </c>
      <c r="J125" s="85"/>
      <c r="K125" s="95">
        <v>3.05</v>
      </c>
      <c r="L125" s="98" t="s">
        <v>162</v>
      </c>
      <c r="M125" s="99">
        <v>5.0999999999999997E-2</v>
      </c>
      <c r="N125" s="99">
        <v>5.6000000000000008E-3</v>
      </c>
      <c r="O125" s="95">
        <v>553999.99999999988</v>
      </c>
      <c r="P125" s="97">
        <v>138.74</v>
      </c>
      <c r="Q125" s="95">
        <v>8.5500799999999977</v>
      </c>
      <c r="R125" s="95">
        <v>777.16969999999981</v>
      </c>
      <c r="S125" s="96">
        <v>4.82897080261214E-4</v>
      </c>
      <c r="T125" s="96">
        <f t="shared" si="1"/>
        <v>1.5500553650423835E-2</v>
      </c>
      <c r="U125" s="96">
        <f>R125/'סכום נכסי הקרן'!$C$42</f>
        <v>3.7175705665406233E-3</v>
      </c>
    </row>
    <row r="126" spans="2:21" s="137" customFormat="1">
      <c r="B126" s="88" t="s">
        <v>581</v>
      </c>
      <c r="C126" s="85" t="s">
        <v>582</v>
      </c>
      <c r="D126" s="98" t="s">
        <v>118</v>
      </c>
      <c r="E126" s="98" t="s">
        <v>305</v>
      </c>
      <c r="F126" s="85" t="s">
        <v>583</v>
      </c>
      <c r="G126" s="98" t="s">
        <v>353</v>
      </c>
      <c r="H126" s="85" t="s">
        <v>572</v>
      </c>
      <c r="I126" s="85" t="s">
        <v>307</v>
      </c>
      <c r="J126" s="85"/>
      <c r="K126" s="95">
        <v>1.2500000000000002</v>
      </c>
      <c r="L126" s="98" t="s">
        <v>162</v>
      </c>
      <c r="M126" s="99">
        <v>5.4000000000000006E-2</v>
      </c>
      <c r="N126" s="99">
        <v>1.7000000000000001E-3</v>
      </c>
      <c r="O126" s="95">
        <v>54863.599999999991</v>
      </c>
      <c r="P126" s="97">
        <v>130.19999999999999</v>
      </c>
      <c r="Q126" s="85"/>
      <c r="R126" s="95">
        <v>71.432399999999973</v>
      </c>
      <c r="S126" s="96">
        <v>3.5897227628862798E-4</v>
      </c>
      <c r="T126" s="96">
        <f t="shared" si="1"/>
        <v>1.4247103928248044E-3</v>
      </c>
      <c r="U126" s="96">
        <f>R126/'סכום נכסי הקרן'!$C$42</f>
        <v>3.4169498339597693E-4</v>
      </c>
    </row>
    <row r="127" spans="2:21" s="137" customFormat="1">
      <c r="B127" s="88" t="s">
        <v>584</v>
      </c>
      <c r="C127" s="85" t="s">
        <v>585</v>
      </c>
      <c r="D127" s="98" t="s">
        <v>118</v>
      </c>
      <c r="E127" s="98" t="s">
        <v>305</v>
      </c>
      <c r="F127" s="85" t="s">
        <v>586</v>
      </c>
      <c r="G127" s="98" t="s">
        <v>353</v>
      </c>
      <c r="H127" s="85" t="s">
        <v>572</v>
      </c>
      <c r="I127" s="85" t="s">
        <v>158</v>
      </c>
      <c r="J127" s="85"/>
      <c r="K127" s="95">
        <v>7.03</v>
      </c>
      <c r="L127" s="98" t="s">
        <v>162</v>
      </c>
      <c r="M127" s="99">
        <v>2.6000000000000002E-2</v>
      </c>
      <c r="N127" s="99">
        <v>2.41E-2</v>
      </c>
      <c r="O127" s="95">
        <v>208999.99999999997</v>
      </c>
      <c r="P127" s="97">
        <v>102.8</v>
      </c>
      <c r="Q127" s="85"/>
      <c r="R127" s="95">
        <v>214.85198999999997</v>
      </c>
      <c r="S127" s="96">
        <v>3.4105187578531676E-4</v>
      </c>
      <c r="T127" s="96">
        <f t="shared" si="1"/>
        <v>4.2851963964824231E-3</v>
      </c>
      <c r="U127" s="96">
        <f>R127/'סכום נכסי הקרן'!$C$42</f>
        <v>1.0277387733807436E-3</v>
      </c>
    </row>
    <row r="128" spans="2:21" s="137" customFormat="1">
      <c r="B128" s="88" t="s">
        <v>587</v>
      </c>
      <c r="C128" s="85" t="s">
        <v>588</v>
      </c>
      <c r="D128" s="98" t="s">
        <v>118</v>
      </c>
      <c r="E128" s="98" t="s">
        <v>305</v>
      </c>
      <c r="F128" s="85" t="s">
        <v>586</v>
      </c>
      <c r="G128" s="98" t="s">
        <v>353</v>
      </c>
      <c r="H128" s="85" t="s">
        <v>572</v>
      </c>
      <c r="I128" s="85" t="s">
        <v>158</v>
      </c>
      <c r="J128" s="85"/>
      <c r="K128" s="95">
        <v>3.8699999999999997</v>
      </c>
      <c r="L128" s="98" t="s">
        <v>162</v>
      </c>
      <c r="M128" s="99">
        <v>4.4000000000000004E-2</v>
      </c>
      <c r="N128" s="99">
        <v>1.3099999999999999E-2</v>
      </c>
      <c r="O128" s="95">
        <v>5404.7999999999993</v>
      </c>
      <c r="P128" s="97">
        <v>113.83</v>
      </c>
      <c r="Q128" s="85"/>
      <c r="R128" s="95">
        <v>6.1522799999999984</v>
      </c>
      <c r="S128" s="96">
        <v>3.9594444118853653E-5</v>
      </c>
      <c r="T128" s="96">
        <f t="shared" si="1"/>
        <v>1.2270646451145685E-4</v>
      </c>
      <c r="U128" s="96">
        <f>R128/'סכום נכסי הקרן'!$C$42</f>
        <v>2.9429267565522106E-5</v>
      </c>
    </row>
    <row r="129" spans="2:21" s="137" customFormat="1">
      <c r="B129" s="88" t="s">
        <v>589</v>
      </c>
      <c r="C129" s="85" t="s">
        <v>590</v>
      </c>
      <c r="D129" s="98" t="s">
        <v>118</v>
      </c>
      <c r="E129" s="98" t="s">
        <v>305</v>
      </c>
      <c r="F129" s="85" t="s">
        <v>501</v>
      </c>
      <c r="G129" s="98" t="s">
        <v>353</v>
      </c>
      <c r="H129" s="85" t="s">
        <v>572</v>
      </c>
      <c r="I129" s="85" t="s">
        <v>307</v>
      </c>
      <c r="J129" s="85"/>
      <c r="K129" s="95">
        <v>4.88</v>
      </c>
      <c r="L129" s="98" t="s">
        <v>162</v>
      </c>
      <c r="M129" s="99">
        <v>2.0499999999999997E-2</v>
      </c>
      <c r="N129" s="99">
        <v>1.5400000000000002E-2</v>
      </c>
      <c r="O129" s="95">
        <v>10085.999999999998</v>
      </c>
      <c r="P129" s="97">
        <v>104.55</v>
      </c>
      <c r="Q129" s="85"/>
      <c r="R129" s="95">
        <v>10.544909999999998</v>
      </c>
      <c r="S129" s="96">
        <v>2.1613119587880707E-5</v>
      </c>
      <c r="T129" s="96">
        <f t="shared" si="1"/>
        <v>2.1031692717033465E-4</v>
      </c>
      <c r="U129" s="96">
        <f>R129/'סכום נכסי הקרן'!$C$42</f>
        <v>5.0441296209592174E-5</v>
      </c>
    </row>
    <row r="130" spans="2:21" s="137" customFormat="1">
      <c r="B130" s="88" t="s">
        <v>591</v>
      </c>
      <c r="C130" s="85" t="s">
        <v>592</v>
      </c>
      <c r="D130" s="98" t="s">
        <v>118</v>
      </c>
      <c r="E130" s="98" t="s">
        <v>305</v>
      </c>
      <c r="F130" s="85" t="s">
        <v>593</v>
      </c>
      <c r="G130" s="98" t="s">
        <v>353</v>
      </c>
      <c r="H130" s="85" t="s">
        <v>572</v>
      </c>
      <c r="I130" s="85" t="s">
        <v>158</v>
      </c>
      <c r="J130" s="85"/>
      <c r="K130" s="95">
        <v>4.12</v>
      </c>
      <c r="L130" s="98" t="s">
        <v>162</v>
      </c>
      <c r="M130" s="99">
        <v>4.3400000000000001E-2</v>
      </c>
      <c r="N130" s="99">
        <v>2.4E-2</v>
      </c>
      <c r="O130" s="95">
        <v>10.939999999999998</v>
      </c>
      <c r="P130" s="97">
        <v>108.3</v>
      </c>
      <c r="Q130" s="85"/>
      <c r="R130" s="95">
        <v>1.2089999999999998E-2</v>
      </c>
      <c r="S130" s="96">
        <v>6.7898133921698413E-9</v>
      </c>
      <c r="T130" s="96">
        <f t="shared" si="1"/>
        <v>2.411335563309071E-7</v>
      </c>
      <c r="U130" s="96">
        <f>R130/'סכום נכסי הקרן'!$C$42</f>
        <v>5.7832193084053763E-8</v>
      </c>
    </row>
    <row r="131" spans="2:21" s="137" customFormat="1">
      <c r="B131" s="88" t="s">
        <v>594</v>
      </c>
      <c r="C131" s="85" t="s">
        <v>595</v>
      </c>
      <c r="D131" s="98" t="s">
        <v>118</v>
      </c>
      <c r="E131" s="98" t="s">
        <v>305</v>
      </c>
      <c r="F131" s="85" t="s">
        <v>596</v>
      </c>
      <c r="G131" s="98" t="s">
        <v>353</v>
      </c>
      <c r="H131" s="85" t="s">
        <v>597</v>
      </c>
      <c r="I131" s="85" t="s">
        <v>158</v>
      </c>
      <c r="J131" s="85"/>
      <c r="K131" s="95">
        <v>0.74999999999999978</v>
      </c>
      <c r="L131" s="98" t="s">
        <v>162</v>
      </c>
      <c r="M131" s="99">
        <v>5.5999999999999994E-2</v>
      </c>
      <c r="N131" s="99">
        <v>7.499999999999998E-3</v>
      </c>
      <c r="O131" s="95">
        <v>36584.239999999991</v>
      </c>
      <c r="P131" s="97">
        <v>111.42</v>
      </c>
      <c r="Q131" s="85"/>
      <c r="R131" s="95">
        <v>40.762160000000002</v>
      </c>
      <c r="S131" s="96">
        <v>2.8893852277753202E-4</v>
      </c>
      <c r="T131" s="96">
        <f t="shared" si="1"/>
        <v>8.1299624520508277E-4</v>
      </c>
      <c r="U131" s="96">
        <f>R131/'סכום נכסי הקרן'!$C$42</f>
        <v>1.9498470700108299E-4</v>
      </c>
    </row>
    <row r="132" spans="2:21" s="137" customFormat="1">
      <c r="B132" s="88" t="s">
        <v>598</v>
      </c>
      <c r="C132" s="85" t="s">
        <v>599</v>
      </c>
      <c r="D132" s="98" t="s">
        <v>118</v>
      </c>
      <c r="E132" s="98" t="s">
        <v>305</v>
      </c>
      <c r="F132" s="85" t="s">
        <v>600</v>
      </c>
      <c r="G132" s="98" t="s">
        <v>601</v>
      </c>
      <c r="H132" s="85" t="s">
        <v>597</v>
      </c>
      <c r="I132" s="85" t="s">
        <v>158</v>
      </c>
      <c r="J132" s="85"/>
      <c r="K132" s="95">
        <v>0.28999999999999998</v>
      </c>
      <c r="L132" s="98" t="s">
        <v>162</v>
      </c>
      <c r="M132" s="99">
        <v>4.2000000000000003E-2</v>
      </c>
      <c r="N132" s="99">
        <v>1.4100000000000001E-2</v>
      </c>
      <c r="O132" s="95">
        <v>17181.810000000001</v>
      </c>
      <c r="P132" s="97">
        <v>103.52</v>
      </c>
      <c r="Q132" s="85"/>
      <c r="R132" s="95">
        <v>17.786609999999996</v>
      </c>
      <c r="S132" s="96">
        <v>1.2749612865915969E-4</v>
      </c>
      <c r="T132" s="96">
        <f t="shared" si="1"/>
        <v>3.5475173898849262E-4</v>
      </c>
      <c r="U132" s="96">
        <f>R132/'סכום נכסי הקרן'!$C$42</f>
        <v>8.5081775337531964E-5</v>
      </c>
    </row>
    <row r="133" spans="2:21" s="137" customFormat="1">
      <c r="B133" s="88" t="s">
        <v>602</v>
      </c>
      <c r="C133" s="85" t="s">
        <v>603</v>
      </c>
      <c r="D133" s="98" t="s">
        <v>118</v>
      </c>
      <c r="E133" s="98" t="s">
        <v>305</v>
      </c>
      <c r="F133" s="85" t="s">
        <v>604</v>
      </c>
      <c r="G133" s="98" t="s">
        <v>353</v>
      </c>
      <c r="H133" s="85" t="s">
        <v>597</v>
      </c>
      <c r="I133" s="85" t="s">
        <v>158</v>
      </c>
      <c r="J133" s="85"/>
      <c r="K133" s="95">
        <v>1.3299999999999998</v>
      </c>
      <c r="L133" s="98" t="s">
        <v>162</v>
      </c>
      <c r="M133" s="99">
        <v>4.8000000000000001E-2</v>
      </c>
      <c r="N133" s="99">
        <v>2.9999999999999997E-4</v>
      </c>
      <c r="O133" s="95">
        <v>28599.999999999996</v>
      </c>
      <c r="P133" s="97">
        <v>107.73</v>
      </c>
      <c r="Q133" s="85"/>
      <c r="R133" s="95">
        <v>30.810769999999998</v>
      </c>
      <c r="S133" s="96">
        <v>1.4130825754072245E-4</v>
      </c>
      <c r="T133" s="96">
        <f t="shared" si="1"/>
        <v>6.1451700110782658E-4</v>
      </c>
      <c r="U133" s="96">
        <f>R133/'סכום נכסי הקרן'!$C$42</f>
        <v>1.4738249790805389E-4</v>
      </c>
    </row>
    <row r="134" spans="2:21" s="137" customFormat="1">
      <c r="B134" s="88" t="s">
        <v>605</v>
      </c>
      <c r="C134" s="85" t="s">
        <v>606</v>
      </c>
      <c r="D134" s="98" t="s">
        <v>118</v>
      </c>
      <c r="E134" s="98" t="s">
        <v>305</v>
      </c>
      <c r="F134" s="85" t="s">
        <v>607</v>
      </c>
      <c r="G134" s="98" t="s">
        <v>444</v>
      </c>
      <c r="H134" s="85" t="s">
        <v>597</v>
      </c>
      <c r="I134" s="85" t="s">
        <v>307</v>
      </c>
      <c r="J134" s="85"/>
      <c r="K134" s="95">
        <v>0.9900000000000001</v>
      </c>
      <c r="L134" s="98" t="s">
        <v>162</v>
      </c>
      <c r="M134" s="99">
        <v>4.8000000000000001E-2</v>
      </c>
      <c r="N134" s="99">
        <v>-1.0000000000000002E-4</v>
      </c>
      <c r="O134" s="95">
        <v>61968.719999999994</v>
      </c>
      <c r="P134" s="97">
        <v>125.33</v>
      </c>
      <c r="Q134" s="85"/>
      <c r="R134" s="95">
        <v>77.665399999999977</v>
      </c>
      <c r="S134" s="96">
        <v>1.514493925593031E-4</v>
      </c>
      <c r="T134" s="96">
        <f t="shared" si="1"/>
        <v>1.549026807763642E-3</v>
      </c>
      <c r="U134" s="96">
        <f>R134/'סכום נכסי הקרן'!$C$42</f>
        <v>3.7151037293219757E-4</v>
      </c>
    </row>
    <row r="135" spans="2:21" s="137" customFormat="1">
      <c r="B135" s="88" t="s">
        <v>608</v>
      </c>
      <c r="C135" s="85" t="s">
        <v>609</v>
      </c>
      <c r="D135" s="98" t="s">
        <v>118</v>
      </c>
      <c r="E135" s="98" t="s">
        <v>305</v>
      </c>
      <c r="F135" s="85" t="s">
        <v>610</v>
      </c>
      <c r="G135" s="98" t="s">
        <v>353</v>
      </c>
      <c r="H135" s="85" t="s">
        <v>597</v>
      </c>
      <c r="I135" s="85" t="s">
        <v>307</v>
      </c>
      <c r="J135" s="85"/>
      <c r="K135" s="95">
        <v>1.57</v>
      </c>
      <c r="L135" s="98" t="s">
        <v>162</v>
      </c>
      <c r="M135" s="99">
        <v>5.4000000000000006E-2</v>
      </c>
      <c r="N135" s="99">
        <v>2.2099999999999995E-2</v>
      </c>
      <c r="O135" s="95">
        <v>29237.999999999996</v>
      </c>
      <c r="P135" s="97">
        <v>107.24</v>
      </c>
      <c r="Q135" s="85"/>
      <c r="R135" s="95">
        <v>31.354819999999997</v>
      </c>
      <c r="S135" s="96">
        <v>5.9066666666666664E-4</v>
      </c>
      <c r="T135" s="96">
        <f t="shared" si="1"/>
        <v>6.2536801114271745E-4</v>
      </c>
      <c r="U135" s="96">
        <f>R135/'סכום נכסי הקרן'!$C$42</f>
        <v>1.4998494659683629E-4</v>
      </c>
    </row>
    <row r="136" spans="2:21" s="137" customFormat="1">
      <c r="B136" s="88" t="s">
        <v>611</v>
      </c>
      <c r="C136" s="85" t="s">
        <v>612</v>
      </c>
      <c r="D136" s="98" t="s">
        <v>118</v>
      </c>
      <c r="E136" s="98" t="s">
        <v>305</v>
      </c>
      <c r="F136" s="85" t="s">
        <v>610</v>
      </c>
      <c r="G136" s="98" t="s">
        <v>353</v>
      </c>
      <c r="H136" s="85" t="s">
        <v>597</v>
      </c>
      <c r="I136" s="85" t="s">
        <v>307</v>
      </c>
      <c r="J136" s="85"/>
      <c r="K136" s="95">
        <v>0.67</v>
      </c>
      <c r="L136" s="98" t="s">
        <v>162</v>
      </c>
      <c r="M136" s="99">
        <v>6.4000000000000001E-2</v>
      </c>
      <c r="N136" s="99">
        <v>2.1000000000000001E-2</v>
      </c>
      <c r="O136" s="95">
        <v>3860.8599999999992</v>
      </c>
      <c r="P136" s="97">
        <v>114.97</v>
      </c>
      <c r="Q136" s="85"/>
      <c r="R136" s="95">
        <v>4.4388299999999994</v>
      </c>
      <c r="S136" s="96">
        <v>1.1251296816533971E-4</v>
      </c>
      <c r="T136" s="96">
        <f t="shared" si="1"/>
        <v>8.8531915951060424E-5</v>
      </c>
      <c r="U136" s="96">
        <f>R136/'סכום נכסי הקרן'!$C$42</f>
        <v>2.1233025113919799E-5</v>
      </c>
    </row>
    <row r="137" spans="2:21" s="137" customFormat="1">
      <c r="B137" s="88" t="s">
        <v>613</v>
      </c>
      <c r="C137" s="85" t="s">
        <v>614</v>
      </c>
      <c r="D137" s="98" t="s">
        <v>118</v>
      </c>
      <c r="E137" s="98" t="s">
        <v>305</v>
      </c>
      <c r="F137" s="85" t="s">
        <v>610</v>
      </c>
      <c r="G137" s="98" t="s">
        <v>353</v>
      </c>
      <c r="H137" s="85" t="s">
        <v>597</v>
      </c>
      <c r="I137" s="85" t="s">
        <v>307</v>
      </c>
      <c r="J137" s="85"/>
      <c r="K137" s="95">
        <v>2.44</v>
      </c>
      <c r="L137" s="98" t="s">
        <v>162</v>
      </c>
      <c r="M137" s="99">
        <v>2.5000000000000001E-2</v>
      </c>
      <c r="N137" s="99">
        <v>4.3700000000000003E-2</v>
      </c>
      <c r="O137" s="95">
        <v>66691.659999999989</v>
      </c>
      <c r="P137" s="97">
        <v>97.15</v>
      </c>
      <c r="Q137" s="85"/>
      <c r="R137" s="95">
        <v>64.790959999999998</v>
      </c>
      <c r="S137" s="96">
        <v>1.3697902488232192E-4</v>
      </c>
      <c r="T137" s="96">
        <f t="shared" si="1"/>
        <v>1.2922476925470267E-3</v>
      </c>
      <c r="U137" s="96">
        <f>R137/'סכום נכסי הקרן'!$C$42</f>
        <v>3.0992583199513686E-4</v>
      </c>
    </row>
    <row r="138" spans="2:21" s="137" customFormat="1">
      <c r="B138" s="88" t="s">
        <v>615</v>
      </c>
      <c r="C138" s="85" t="s">
        <v>616</v>
      </c>
      <c r="D138" s="98" t="s">
        <v>118</v>
      </c>
      <c r="E138" s="98" t="s">
        <v>305</v>
      </c>
      <c r="F138" s="85" t="s">
        <v>617</v>
      </c>
      <c r="G138" s="98" t="s">
        <v>524</v>
      </c>
      <c r="H138" s="85" t="s">
        <v>597</v>
      </c>
      <c r="I138" s="85" t="s">
        <v>307</v>
      </c>
      <c r="J138" s="85"/>
      <c r="K138" s="95">
        <v>1.47</v>
      </c>
      <c r="L138" s="98" t="s">
        <v>162</v>
      </c>
      <c r="M138" s="99">
        <v>0.05</v>
      </c>
      <c r="N138" s="99">
        <v>7.8000000000000005E-3</v>
      </c>
      <c r="O138" s="95">
        <v>33.749999999999993</v>
      </c>
      <c r="P138" s="97">
        <v>106.37</v>
      </c>
      <c r="Q138" s="85"/>
      <c r="R138" s="95">
        <v>3.5889999999999991E-2</v>
      </c>
      <c r="S138" s="96">
        <v>2.1871309216569698E-7</v>
      </c>
      <c r="T138" s="96">
        <f t="shared" si="1"/>
        <v>7.1582161594013695E-7</v>
      </c>
      <c r="U138" s="96">
        <f>R138/'סכום נכסי הקרן'!$C$42</f>
        <v>1.7167885937028035E-7</v>
      </c>
    </row>
    <row r="139" spans="2:21" s="137" customFormat="1">
      <c r="B139" s="88" t="s">
        <v>618</v>
      </c>
      <c r="C139" s="85" t="s">
        <v>619</v>
      </c>
      <c r="D139" s="98" t="s">
        <v>118</v>
      </c>
      <c r="E139" s="98" t="s">
        <v>305</v>
      </c>
      <c r="F139" s="85" t="s">
        <v>544</v>
      </c>
      <c r="G139" s="98" t="s">
        <v>311</v>
      </c>
      <c r="H139" s="85" t="s">
        <v>597</v>
      </c>
      <c r="I139" s="85" t="s">
        <v>307</v>
      </c>
      <c r="J139" s="85"/>
      <c r="K139" s="95">
        <v>1.7299999999999998</v>
      </c>
      <c r="L139" s="98" t="s">
        <v>162</v>
      </c>
      <c r="M139" s="99">
        <v>2.4E-2</v>
      </c>
      <c r="N139" s="99">
        <v>1.9E-3</v>
      </c>
      <c r="O139" s="95">
        <v>28010.999999999996</v>
      </c>
      <c r="P139" s="97">
        <v>106.54</v>
      </c>
      <c r="Q139" s="85"/>
      <c r="R139" s="95">
        <v>29.842909999999996</v>
      </c>
      <c r="S139" s="96">
        <v>2.1455982719397016E-4</v>
      </c>
      <c r="T139" s="96">
        <f t="shared" ref="T139:T141" si="2">R139/$R$11</f>
        <v>5.9521315298289429E-4</v>
      </c>
      <c r="U139" s="96">
        <f>R139/'סכום נכסי הקרן'!$C$42</f>
        <v>1.4275276536890313E-4</v>
      </c>
    </row>
    <row r="140" spans="2:21" s="137" customFormat="1">
      <c r="B140" s="88" t="s">
        <v>620</v>
      </c>
      <c r="C140" s="85" t="s">
        <v>621</v>
      </c>
      <c r="D140" s="98" t="s">
        <v>118</v>
      </c>
      <c r="E140" s="98" t="s">
        <v>305</v>
      </c>
      <c r="F140" s="85" t="s">
        <v>622</v>
      </c>
      <c r="G140" s="98" t="s">
        <v>601</v>
      </c>
      <c r="H140" s="85" t="s">
        <v>623</v>
      </c>
      <c r="I140" s="85" t="s">
        <v>158</v>
      </c>
      <c r="J140" s="85"/>
      <c r="K140" s="95">
        <v>2</v>
      </c>
      <c r="L140" s="98" t="s">
        <v>162</v>
      </c>
      <c r="M140" s="99">
        <v>2.8500000000000001E-2</v>
      </c>
      <c r="N140" s="99">
        <v>2.6799999999999997E-2</v>
      </c>
      <c r="O140" s="95">
        <v>75391.999999999985</v>
      </c>
      <c r="P140" s="97">
        <v>102.85</v>
      </c>
      <c r="Q140" s="85"/>
      <c r="R140" s="95">
        <v>77.540669999999977</v>
      </c>
      <c r="S140" s="96">
        <v>2.0681310258881215E-4</v>
      </c>
      <c r="T140" s="96">
        <f t="shared" si="2"/>
        <v>1.5465390833235134E-3</v>
      </c>
      <c r="U140" s="96">
        <f>R140/'סכום נכסי הקרן'!$C$42</f>
        <v>3.70913730298337E-4</v>
      </c>
    </row>
    <row r="141" spans="2:21" s="137" customFormat="1">
      <c r="B141" s="88" t="s">
        <v>624</v>
      </c>
      <c r="C141" s="85" t="s">
        <v>625</v>
      </c>
      <c r="D141" s="98" t="s">
        <v>118</v>
      </c>
      <c r="E141" s="98" t="s">
        <v>305</v>
      </c>
      <c r="F141" s="85" t="s">
        <v>626</v>
      </c>
      <c r="G141" s="98" t="s">
        <v>479</v>
      </c>
      <c r="H141" s="85" t="s">
        <v>627</v>
      </c>
      <c r="I141" s="85" t="s">
        <v>158</v>
      </c>
      <c r="J141" s="85"/>
      <c r="K141" s="95">
        <v>0.41</v>
      </c>
      <c r="L141" s="98" t="s">
        <v>162</v>
      </c>
      <c r="M141" s="99">
        <v>3.85E-2</v>
      </c>
      <c r="N141" s="99">
        <v>1.3499999999999998E-2</v>
      </c>
      <c r="O141" s="95">
        <v>3691.9999999999995</v>
      </c>
      <c r="P141" s="97">
        <v>101.41</v>
      </c>
      <c r="Q141" s="85"/>
      <c r="R141" s="95">
        <v>3.7440599999999993</v>
      </c>
      <c r="S141" s="96">
        <v>9.2299999999999994E-5</v>
      </c>
      <c r="T141" s="96">
        <f t="shared" si="2"/>
        <v>7.4674814136997195E-5</v>
      </c>
      <c r="U141" s="96">
        <f>R141/'סכום נכסי הקרן'!$C$42</f>
        <v>1.7909611318302922E-5</v>
      </c>
    </row>
    <row r="142" spans="2:21" s="137" customFormat="1">
      <c r="B142" s="84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95"/>
      <c r="P142" s="97"/>
      <c r="Q142" s="85"/>
      <c r="R142" s="85"/>
      <c r="S142" s="85"/>
      <c r="T142" s="96"/>
      <c r="U142" s="85"/>
    </row>
    <row r="143" spans="2:21" s="137" customFormat="1">
      <c r="B143" s="103" t="s">
        <v>45</v>
      </c>
      <c r="C143" s="83"/>
      <c r="D143" s="83"/>
      <c r="E143" s="83"/>
      <c r="F143" s="83"/>
      <c r="G143" s="83"/>
      <c r="H143" s="83"/>
      <c r="I143" s="83"/>
      <c r="J143" s="83"/>
      <c r="K143" s="92">
        <v>3.9872587934364203</v>
      </c>
      <c r="L143" s="83"/>
      <c r="M143" s="83"/>
      <c r="N143" s="105">
        <v>2.2957829359908564E-2</v>
      </c>
      <c r="O143" s="92"/>
      <c r="P143" s="94"/>
      <c r="Q143" s="92">
        <f>SUM(Q144:Q211)</f>
        <v>14.76779</v>
      </c>
      <c r="R143" s="92">
        <f>SUM(R144:R211)</f>
        <v>9117.0108199999959</v>
      </c>
      <c r="S143" s="83"/>
      <c r="T143" s="93">
        <f t="shared" ref="T143:T206" si="3">R143/$R$11</f>
        <v>0.1818376544362249</v>
      </c>
      <c r="U143" s="93">
        <f>R143/'סכום נכסי הקרן'!$C$42</f>
        <v>4.3610978502204072E-2</v>
      </c>
    </row>
    <row r="144" spans="2:21" s="137" customFormat="1">
      <c r="B144" s="88" t="s">
        <v>628</v>
      </c>
      <c r="C144" s="85" t="s">
        <v>629</v>
      </c>
      <c r="D144" s="98" t="s">
        <v>118</v>
      </c>
      <c r="E144" s="98" t="s">
        <v>305</v>
      </c>
      <c r="F144" s="85" t="s">
        <v>316</v>
      </c>
      <c r="G144" s="98" t="s">
        <v>311</v>
      </c>
      <c r="H144" s="85" t="s">
        <v>306</v>
      </c>
      <c r="I144" s="85" t="s">
        <v>158</v>
      </c>
      <c r="J144" s="85"/>
      <c r="K144" s="95">
        <v>6.13</v>
      </c>
      <c r="L144" s="98" t="s">
        <v>162</v>
      </c>
      <c r="M144" s="99">
        <v>2.98E-2</v>
      </c>
      <c r="N144" s="99">
        <v>2.4399999999999998E-2</v>
      </c>
      <c r="O144" s="95">
        <v>249999.99999999997</v>
      </c>
      <c r="P144" s="97">
        <v>104.22</v>
      </c>
      <c r="Q144" s="85"/>
      <c r="R144" s="95">
        <v>260.54999999999995</v>
      </c>
      <c r="S144" s="96">
        <v>9.834346336568308E-5</v>
      </c>
      <c r="T144" s="96">
        <f t="shared" si="3"/>
        <v>5.1966375601338174E-3</v>
      </c>
      <c r="U144" s="96">
        <f>R144/'סכום נכסי הקרן'!$C$42</f>
        <v>1.246333987431779E-3</v>
      </c>
    </row>
    <row r="145" spans="2:21" s="137" customFormat="1">
      <c r="B145" s="88" t="s">
        <v>630</v>
      </c>
      <c r="C145" s="85" t="s">
        <v>631</v>
      </c>
      <c r="D145" s="98" t="s">
        <v>118</v>
      </c>
      <c r="E145" s="98" t="s">
        <v>305</v>
      </c>
      <c r="F145" s="85" t="s">
        <v>316</v>
      </c>
      <c r="G145" s="98" t="s">
        <v>311</v>
      </c>
      <c r="H145" s="85" t="s">
        <v>306</v>
      </c>
      <c r="I145" s="85" t="s">
        <v>158</v>
      </c>
      <c r="J145" s="85"/>
      <c r="K145" s="95">
        <v>3.5500000000000003</v>
      </c>
      <c r="L145" s="98" t="s">
        <v>162</v>
      </c>
      <c r="M145" s="99">
        <v>2.4700000000000003E-2</v>
      </c>
      <c r="N145" s="99">
        <v>1.5600000000000001E-2</v>
      </c>
      <c r="O145" s="95">
        <v>105600.99999999999</v>
      </c>
      <c r="P145" s="97">
        <v>104.01</v>
      </c>
      <c r="Q145" s="85"/>
      <c r="R145" s="95">
        <v>109.83558999999998</v>
      </c>
      <c r="S145" s="96">
        <v>3.1700302891124296E-5</v>
      </c>
      <c r="T145" s="96">
        <f t="shared" si="3"/>
        <v>2.1906572728207954E-3</v>
      </c>
      <c r="U145" s="96">
        <f>R145/'סכום נכסי הקרן'!$C$42</f>
        <v>5.2539562021347932E-4</v>
      </c>
    </row>
    <row r="146" spans="2:21" s="137" customFormat="1">
      <c r="B146" s="88" t="s">
        <v>632</v>
      </c>
      <c r="C146" s="85" t="s">
        <v>633</v>
      </c>
      <c r="D146" s="98" t="s">
        <v>118</v>
      </c>
      <c r="E146" s="98" t="s">
        <v>305</v>
      </c>
      <c r="F146" s="85" t="s">
        <v>634</v>
      </c>
      <c r="G146" s="98" t="s">
        <v>353</v>
      </c>
      <c r="H146" s="85" t="s">
        <v>306</v>
      </c>
      <c r="I146" s="85" t="s">
        <v>158</v>
      </c>
      <c r="J146" s="85"/>
      <c r="K146" s="95">
        <v>4.7799999999999994</v>
      </c>
      <c r="L146" s="98" t="s">
        <v>162</v>
      </c>
      <c r="M146" s="99">
        <v>1.44E-2</v>
      </c>
      <c r="N146" s="99">
        <v>1.8000000000000002E-2</v>
      </c>
      <c r="O146" s="95">
        <v>188859.04999999996</v>
      </c>
      <c r="P146" s="97">
        <v>98.35</v>
      </c>
      <c r="Q146" s="85"/>
      <c r="R146" s="95">
        <v>185.74287999999999</v>
      </c>
      <c r="S146" s="96">
        <v>1.9879899999999996E-4</v>
      </c>
      <c r="T146" s="96">
        <f t="shared" si="3"/>
        <v>3.7046187938415986E-3</v>
      </c>
      <c r="U146" s="96">
        <f>R146/'סכום נכסי הקרן'!$C$42</f>
        <v>8.8849612077322E-4</v>
      </c>
    </row>
    <row r="147" spans="2:21" s="137" customFormat="1">
      <c r="B147" s="88" t="s">
        <v>635</v>
      </c>
      <c r="C147" s="85" t="s">
        <v>636</v>
      </c>
      <c r="D147" s="98" t="s">
        <v>118</v>
      </c>
      <c r="E147" s="98" t="s">
        <v>305</v>
      </c>
      <c r="F147" s="85" t="s">
        <v>329</v>
      </c>
      <c r="G147" s="98" t="s">
        <v>311</v>
      </c>
      <c r="H147" s="85" t="s">
        <v>306</v>
      </c>
      <c r="I147" s="85" t="s">
        <v>158</v>
      </c>
      <c r="J147" s="85"/>
      <c r="K147" s="95">
        <v>0.65</v>
      </c>
      <c r="L147" s="98" t="s">
        <v>162</v>
      </c>
      <c r="M147" s="99">
        <v>5.9000000000000004E-2</v>
      </c>
      <c r="N147" s="99">
        <v>2.5999999999999999E-3</v>
      </c>
      <c r="O147" s="95">
        <v>95577.659999999974</v>
      </c>
      <c r="P147" s="97">
        <v>105.72</v>
      </c>
      <c r="Q147" s="85"/>
      <c r="R147" s="95">
        <v>101.04468999999999</v>
      </c>
      <c r="S147" s="96">
        <v>1.7718342400367389E-4</v>
      </c>
      <c r="T147" s="96">
        <f t="shared" si="3"/>
        <v>2.0153238583998385E-3</v>
      </c>
      <c r="U147" s="96">
        <f>R147/'סכום נכסי הקרן'!$C$42</f>
        <v>4.8334458413551337E-4</v>
      </c>
    </row>
    <row r="148" spans="2:21" s="137" customFormat="1">
      <c r="B148" s="88" t="s">
        <v>637</v>
      </c>
      <c r="C148" s="85" t="s">
        <v>638</v>
      </c>
      <c r="D148" s="98" t="s">
        <v>118</v>
      </c>
      <c r="E148" s="98" t="s">
        <v>305</v>
      </c>
      <c r="F148" s="85" t="s">
        <v>329</v>
      </c>
      <c r="G148" s="98" t="s">
        <v>311</v>
      </c>
      <c r="H148" s="85" t="s">
        <v>306</v>
      </c>
      <c r="I148" s="85" t="s">
        <v>158</v>
      </c>
      <c r="J148" s="85"/>
      <c r="K148" s="95">
        <v>0.17000000000000004</v>
      </c>
      <c r="L148" s="98" t="s">
        <v>162</v>
      </c>
      <c r="M148" s="99">
        <v>1.8799999999999997E-2</v>
      </c>
      <c r="N148" s="99">
        <v>2.3E-3</v>
      </c>
      <c r="O148" s="95">
        <v>248457.99999999997</v>
      </c>
      <c r="P148" s="97">
        <v>100.43</v>
      </c>
      <c r="Q148" s="85"/>
      <c r="R148" s="95">
        <v>249.52636999999996</v>
      </c>
      <c r="S148" s="96">
        <v>3.9543037577806313E-4</v>
      </c>
      <c r="T148" s="96">
        <f t="shared" si="3"/>
        <v>4.9767726217073427E-3</v>
      </c>
      <c r="U148" s="96">
        <f>R148/'סכום נכסי הקרן'!$C$42</f>
        <v>1.1936027468488868E-3</v>
      </c>
    </row>
    <row r="149" spans="2:21" s="137" customFormat="1">
      <c r="B149" s="88" t="s">
        <v>639</v>
      </c>
      <c r="C149" s="85" t="s">
        <v>640</v>
      </c>
      <c r="D149" s="98" t="s">
        <v>118</v>
      </c>
      <c r="E149" s="98" t="s">
        <v>305</v>
      </c>
      <c r="F149" s="85" t="s">
        <v>338</v>
      </c>
      <c r="G149" s="98" t="s">
        <v>311</v>
      </c>
      <c r="H149" s="85" t="s">
        <v>339</v>
      </c>
      <c r="I149" s="85" t="s">
        <v>158</v>
      </c>
      <c r="J149" s="85"/>
      <c r="K149" s="95">
        <v>1.2800000000000002</v>
      </c>
      <c r="L149" s="98" t="s">
        <v>162</v>
      </c>
      <c r="M149" s="99">
        <v>1.95E-2</v>
      </c>
      <c r="N149" s="99">
        <v>6.7000000000000002E-3</v>
      </c>
      <c r="O149" s="95">
        <v>149999.99999999997</v>
      </c>
      <c r="P149" s="97">
        <v>103.01</v>
      </c>
      <c r="Q149" s="85"/>
      <c r="R149" s="95">
        <v>154.51499999999996</v>
      </c>
      <c r="S149" s="96">
        <v>2.1897810218978099E-4</v>
      </c>
      <c r="T149" s="96">
        <f t="shared" si="3"/>
        <v>3.0817825853159727E-3</v>
      </c>
      <c r="U149" s="96">
        <f>R149/'סכום נכסי הקרן'!$C$42</f>
        <v>7.3911838828639922E-4</v>
      </c>
    </row>
    <row r="150" spans="2:21" s="137" customFormat="1">
      <c r="B150" s="88" t="s">
        <v>641</v>
      </c>
      <c r="C150" s="85" t="s">
        <v>642</v>
      </c>
      <c r="D150" s="98" t="s">
        <v>118</v>
      </c>
      <c r="E150" s="98" t="s">
        <v>305</v>
      </c>
      <c r="F150" s="85" t="s">
        <v>643</v>
      </c>
      <c r="G150" s="98" t="s">
        <v>311</v>
      </c>
      <c r="H150" s="85" t="s">
        <v>339</v>
      </c>
      <c r="I150" s="85" t="s">
        <v>307</v>
      </c>
      <c r="J150" s="85"/>
      <c r="K150" s="95">
        <v>3.39</v>
      </c>
      <c r="L150" s="98" t="s">
        <v>162</v>
      </c>
      <c r="M150" s="99">
        <v>2.07E-2</v>
      </c>
      <c r="N150" s="99">
        <v>1.4999999999999999E-2</v>
      </c>
      <c r="O150" s="95">
        <v>148999.99999999997</v>
      </c>
      <c r="P150" s="97">
        <v>102.94</v>
      </c>
      <c r="Q150" s="85"/>
      <c r="R150" s="95">
        <v>153.38059999999999</v>
      </c>
      <c r="S150" s="96">
        <v>5.8785700476992686E-4</v>
      </c>
      <c r="T150" s="96">
        <f t="shared" si="3"/>
        <v>3.0591571174663637E-3</v>
      </c>
      <c r="U150" s="96">
        <f>R150/'סכום נכסי הקרן'!$C$42</f>
        <v>7.3369201609164742E-4</v>
      </c>
    </row>
    <row r="151" spans="2:21" s="137" customFormat="1">
      <c r="B151" s="88" t="s">
        <v>644</v>
      </c>
      <c r="C151" s="85" t="s">
        <v>645</v>
      </c>
      <c r="D151" s="98" t="s">
        <v>118</v>
      </c>
      <c r="E151" s="98" t="s">
        <v>305</v>
      </c>
      <c r="F151" s="85" t="s">
        <v>346</v>
      </c>
      <c r="G151" s="98" t="s">
        <v>347</v>
      </c>
      <c r="H151" s="85" t="s">
        <v>339</v>
      </c>
      <c r="I151" s="85" t="s">
        <v>158</v>
      </c>
      <c r="J151" s="85"/>
      <c r="K151" s="95">
        <v>4.5599999999999996</v>
      </c>
      <c r="L151" s="98" t="s">
        <v>162</v>
      </c>
      <c r="M151" s="99">
        <v>1.6299999999999999E-2</v>
      </c>
      <c r="N151" s="99">
        <v>1.8099999999999998E-2</v>
      </c>
      <c r="O151" s="95">
        <v>226999.99999999997</v>
      </c>
      <c r="P151" s="97">
        <v>99.86</v>
      </c>
      <c r="Q151" s="85"/>
      <c r="R151" s="95">
        <v>226.68218999999996</v>
      </c>
      <c r="S151" s="96">
        <v>4.1647173221051083E-4</v>
      </c>
      <c r="T151" s="96">
        <f t="shared" si="3"/>
        <v>4.5211482739105366E-3</v>
      </c>
      <c r="U151" s="96">
        <f>R151/'סכום נכסי הקרן'!$C$42</f>
        <v>1.0843282200823955E-3</v>
      </c>
    </row>
    <row r="152" spans="2:21" s="137" customFormat="1">
      <c r="B152" s="88" t="s">
        <v>646</v>
      </c>
      <c r="C152" s="85" t="s">
        <v>647</v>
      </c>
      <c r="D152" s="98" t="s">
        <v>118</v>
      </c>
      <c r="E152" s="98" t="s">
        <v>305</v>
      </c>
      <c r="F152" s="85" t="s">
        <v>372</v>
      </c>
      <c r="G152" s="98" t="s">
        <v>353</v>
      </c>
      <c r="H152" s="85" t="s">
        <v>365</v>
      </c>
      <c r="I152" s="85" t="s">
        <v>158</v>
      </c>
      <c r="J152" s="85"/>
      <c r="K152" s="95">
        <v>4.71</v>
      </c>
      <c r="L152" s="98" t="s">
        <v>162</v>
      </c>
      <c r="M152" s="99">
        <v>3.39E-2</v>
      </c>
      <c r="N152" s="99">
        <v>2.5900000000000003E-2</v>
      </c>
      <c r="O152" s="95">
        <v>169746.99999999997</v>
      </c>
      <c r="P152" s="97">
        <v>106.27</v>
      </c>
      <c r="Q152" s="85"/>
      <c r="R152" s="95">
        <v>180.39012999999997</v>
      </c>
      <c r="S152" s="96">
        <v>1.5641815536840739E-4</v>
      </c>
      <c r="T152" s="96">
        <f t="shared" si="3"/>
        <v>3.5978588564015432E-3</v>
      </c>
      <c r="U152" s="96">
        <f>R152/'סכום נכסי הקרן'!$C$42</f>
        <v>8.6289138367390901E-4</v>
      </c>
    </row>
    <row r="153" spans="2:21" s="137" customFormat="1">
      <c r="B153" s="88" t="s">
        <v>648</v>
      </c>
      <c r="C153" s="85" t="s">
        <v>649</v>
      </c>
      <c r="D153" s="98" t="s">
        <v>118</v>
      </c>
      <c r="E153" s="98" t="s">
        <v>305</v>
      </c>
      <c r="F153" s="85" t="s">
        <v>379</v>
      </c>
      <c r="G153" s="98" t="s">
        <v>380</v>
      </c>
      <c r="H153" s="85" t="s">
        <v>365</v>
      </c>
      <c r="I153" s="85" t="s">
        <v>158</v>
      </c>
      <c r="J153" s="85"/>
      <c r="K153" s="95">
        <v>2.1500000000000004</v>
      </c>
      <c r="L153" s="98" t="s">
        <v>162</v>
      </c>
      <c r="M153" s="99">
        <v>1.6E-2</v>
      </c>
      <c r="N153" s="99">
        <v>6.5000000000000014E-3</v>
      </c>
      <c r="O153" s="95">
        <v>149999.99999999997</v>
      </c>
      <c r="P153" s="97">
        <v>102.14</v>
      </c>
      <c r="Q153" s="85"/>
      <c r="R153" s="95">
        <v>153.17077999999998</v>
      </c>
      <c r="S153" s="96">
        <v>2.0442679408361596E-4</v>
      </c>
      <c r="T153" s="96">
        <f t="shared" si="3"/>
        <v>3.0549722834887494E-3</v>
      </c>
      <c r="U153" s="96">
        <f>R153/'סכום נכסי הקרן'!$C$42</f>
        <v>7.3268834770844678E-4</v>
      </c>
    </row>
    <row r="154" spans="2:21" s="137" customFormat="1">
      <c r="B154" s="88" t="s">
        <v>650</v>
      </c>
      <c r="C154" s="85" t="s">
        <v>651</v>
      </c>
      <c r="D154" s="98" t="s">
        <v>118</v>
      </c>
      <c r="E154" s="98" t="s">
        <v>305</v>
      </c>
      <c r="F154" s="85" t="s">
        <v>379</v>
      </c>
      <c r="G154" s="98" t="s">
        <v>380</v>
      </c>
      <c r="H154" s="85" t="s">
        <v>365</v>
      </c>
      <c r="I154" s="85" t="s">
        <v>158</v>
      </c>
      <c r="J154" s="85"/>
      <c r="K154" s="95">
        <v>5.38</v>
      </c>
      <c r="L154" s="98" t="s">
        <v>162</v>
      </c>
      <c r="M154" s="99">
        <v>3.6499999999999998E-2</v>
      </c>
      <c r="N154" s="99">
        <v>2.75E-2</v>
      </c>
      <c r="O154" s="95">
        <v>561999.99999999988</v>
      </c>
      <c r="P154" s="97">
        <v>106.22</v>
      </c>
      <c r="Q154" s="85"/>
      <c r="R154" s="95">
        <v>596.95637999999985</v>
      </c>
      <c r="S154" s="96">
        <v>3.5235816643343305E-4</v>
      </c>
      <c r="T154" s="96">
        <f t="shared" si="3"/>
        <v>1.1906221247628154E-2</v>
      </c>
      <c r="U154" s="96">
        <f>R154/'סכום נכסי הקרן'!$C$42</f>
        <v>2.8555249487938602E-3</v>
      </c>
    </row>
    <row r="155" spans="2:21" s="137" customFormat="1">
      <c r="B155" s="88" t="s">
        <v>652</v>
      </c>
      <c r="C155" s="85" t="s">
        <v>653</v>
      </c>
      <c r="D155" s="98" t="s">
        <v>118</v>
      </c>
      <c r="E155" s="98" t="s">
        <v>305</v>
      </c>
      <c r="F155" s="85" t="s">
        <v>310</v>
      </c>
      <c r="G155" s="98" t="s">
        <v>311</v>
      </c>
      <c r="H155" s="85" t="s">
        <v>365</v>
      </c>
      <c r="I155" s="85" t="s">
        <v>158</v>
      </c>
      <c r="J155" s="85"/>
      <c r="K155" s="95">
        <v>2.31</v>
      </c>
      <c r="L155" s="98" t="s">
        <v>162</v>
      </c>
      <c r="M155" s="99">
        <v>1.5900000000000001E-2</v>
      </c>
      <c r="N155" s="99">
        <v>6.3E-3</v>
      </c>
      <c r="O155" s="95">
        <v>94445.999999999985</v>
      </c>
      <c r="P155" s="97">
        <v>102.48</v>
      </c>
      <c r="Q155" s="85"/>
      <c r="R155" s="95">
        <v>96.78825999999998</v>
      </c>
      <c r="S155" s="96">
        <v>9.9416842105263137E-5</v>
      </c>
      <c r="T155" s="96">
        <f t="shared" si="3"/>
        <v>1.9304298879140186E-3</v>
      </c>
      <c r="U155" s="96">
        <f>R155/'סכום נכסי הקרן'!$C$42</f>
        <v>4.629840645648964E-4</v>
      </c>
    </row>
    <row r="156" spans="2:21" s="137" customFormat="1">
      <c r="B156" s="88" t="s">
        <v>654</v>
      </c>
      <c r="C156" s="85" t="s">
        <v>655</v>
      </c>
      <c r="D156" s="98" t="s">
        <v>118</v>
      </c>
      <c r="E156" s="98" t="s">
        <v>305</v>
      </c>
      <c r="F156" s="85" t="s">
        <v>394</v>
      </c>
      <c r="G156" s="98" t="s">
        <v>353</v>
      </c>
      <c r="H156" s="85" t="s">
        <v>365</v>
      </c>
      <c r="I156" s="85" t="s">
        <v>307</v>
      </c>
      <c r="J156" s="85"/>
      <c r="K156" s="95">
        <v>5.9799999999999995</v>
      </c>
      <c r="L156" s="98" t="s">
        <v>162</v>
      </c>
      <c r="M156" s="99">
        <v>2.5499999999999998E-2</v>
      </c>
      <c r="N156" s="99">
        <v>3.0799999999999998E-2</v>
      </c>
      <c r="O156" s="95">
        <v>428999.99999999994</v>
      </c>
      <c r="P156" s="97">
        <v>97.6</v>
      </c>
      <c r="Q156" s="85"/>
      <c r="R156" s="95">
        <v>418.70400999999993</v>
      </c>
      <c r="S156" s="96">
        <v>4.1099355056274498E-4</v>
      </c>
      <c r="T156" s="96">
        <f t="shared" si="3"/>
        <v>8.3509997503152765E-3</v>
      </c>
      <c r="U156" s="96">
        <f>R156/'סכום נכסי הקרן'!$C$42</f>
        <v>2.0028594831586087E-3</v>
      </c>
    </row>
    <row r="157" spans="2:21" s="137" customFormat="1">
      <c r="B157" s="88" t="s">
        <v>656</v>
      </c>
      <c r="C157" s="85" t="s">
        <v>657</v>
      </c>
      <c r="D157" s="98" t="s">
        <v>118</v>
      </c>
      <c r="E157" s="98" t="s">
        <v>305</v>
      </c>
      <c r="F157" s="85" t="s">
        <v>658</v>
      </c>
      <c r="G157" s="98" t="s">
        <v>353</v>
      </c>
      <c r="H157" s="85" t="s">
        <v>365</v>
      </c>
      <c r="I157" s="85" t="s">
        <v>307</v>
      </c>
      <c r="J157" s="85"/>
      <c r="K157" s="95">
        <v>4.92</v>
      </c>
      <c r="L157" s="98" t="s">
        <v>162</v>
      </c>
      <c r="M157" s="99">
        <v>3.15E-2</v>
      </c>
      <c r="N157" s="99">
        <v>3.3299999999999996E-2</v>
      </c>
      <c r="O157" s="95">
        <v>22994.999999999996</v>
      </c>
      <c r="P157" s="97">
        <v>99.55</v>
      </c>
      <c r="Q157" s="85"/>
      <c r="R157" s="95">
        <v>22.891519999999996</v>
      </c>
      <c r="S157" s="96">
        <v>9.6519584377729152E-5</v>
      </c>
      <c r="T157" s="96">
        <f t="shared" si="3"/>
        <v>4.5656853824814616E-4</v>
      </c>
      <c r="U157" s="96">
        <f>R157/'סכום נכסי הקרן'!$C$42</f>
        <v>1.0950097639598664E-4</v>
      </c>
    </row>
    <row r="158" spans="2:21" s="137" customFormat="1">
      <c r="B158" s="88" t="s">
        <v>659</v>
      </c>
      <c r="C158" s="85" t="s">
        <v>660</v>
      </c>
      <c r="D158" s="98" t="s">
        <v>118</v>
      </c>
      <c r="E158" s="98" t="s">
        <v>305</v>
      </c>
      <c r="F158" s="85" t="s">
        <v>400</v>
      </c>
      <c r="G158" s="98" t="s">
        <v>311</v>
      </c>
      <c r="H158" s="85" t="s">
        <v>365</v>
      </c>
      <c r="I158" s="85" t="s">
        <v>307</v>
      </c>
      <c r="J158" s="85"/>
      <c r="K158" s="95">
        <v>1.4999999999999998</v>
      </c>
      <c r="L158" s="98" t="s">
        <v>162</v>
      </c>
      <c r="M158" s="99">
        <v>1.0500000000000001E-2</v>
      </c>
      <c r="N158" s="99">
        <v>4.0999999999999995E-3</v>
      </c>
      <c r="O158" s="95">
        <v>57799.999999999993</v>
      </c>
      <c r="P158" s="97">
        <v>100.95</v>
      </c>
      <c r="Q158" s="85">
        <v>0.15</v>
      </c>
      <c r="R158" s="95">
        <v>58.502069999999989</v>
      </c>
      <c r="S158" s="96">
        <v>1.9266666666666664E-4</v>
      </c>
      <c r="T158" s="96">
        <f t="shared" si="3"/>
        <v>1.1668165584631655E-3</v>
      </c>
      <c r="U158" s="96">
        <f>R158/'סכום נכסי הקרן'!$C$42</f>
        <v>2.7984309413207849E-4</v>
      </c>
    </row>
    <row r="159" spans="2:21" s="137" customFormat="1">
      <c r="B159" s="88" t="s">
        <v>661</v>
      </c>
      <c r="C159" s="85" t="s">
        <v>662</v>
      </c>
      <c r="D159" s="98" t="s">
        <v>118</v>
      </c>
      <c r="E159" s="98" t="s">
        <v>305</v>
      </c>
      <c r="F159" s="85" t="s">
        <v>407</v>
      </c>
      <c r="G159" s="98" t="s">
        <v>408</v>
      </c>
      <c r="H159" s="85" t="s">
        <v>365</v>
      </c>
      <c r="I159" s="85" t="s">
        <v>158</v>
      </c>
      <c r="J159" s="85"/>
      <c r="K159" s="95">
        <v>3.48</v>
      </c>
      <c r="L159" s="98" t="s">
        <v>162</v>
      </c>
      <c r="M159" s="99">
        <v>4.8000000000000001E-2</v>
      </c>
      <c r="N159" s="99">
        <v>1.6199999999999999E-2</v>
      </c>
      <c r="O159" s="95">
        <v>410830.67999999993</v>
      </c>
      <c r="P159" s="97">
        <v>113.88</v>
      </c>
      <c r="Q159" s="85"/>
      <c r="R159" s="95">
        <v>467.85399999999993</v>
      </c>
      <c r="S159" s="96">
        <v>1.9343821446846327E-4</v>
      </c>
      <c r="T159" s="96">
        <f t="shared" si="3"/>
        <v>9.331290228588935E-3</v>
      </c>
      <c r="U159" s="96">
        <f>R159/'סכום נכסי הקרן'!$C$42</f>
        <v>2.2379671516250528E-3</v>
      </c>
    </row>
    <row r="160" spans="2:21" s="137" customFormat="1">
      <c r="B160" s="88" t="s">
        <v>663</v>
      </c>
      <c r="C160" s="85" t="s">
        <v>664</v>
      </c>
      <c r="D160" s="98" t="s">
        <v>118</v>
      </c>
      <c r="E160" s="98" t="s">
        <v>305</v>
      </c>
      <c r="F160" s="85" t="s">
        <v>665</v>
      </c>
      <c r="G160" s="98" t="s">
        <v>444</v>
      </c>
      <c r="H160" s="85" t="s">
        <v>365</v>
      </c>
      <c r="I160" s="85" t="s">
        <v>307</v>
      </c>
      <c r="J160" s="85"/>
      <c r="K160" s="95">
        <v>3.8300000000000005</v>
      </c>
      <c r="L160" s="98" t="s">
        <v>162</v>
      </c>
      <c r="M160" s="99">
        <v>2.4500000000000001E-2</v>
      </c>
      <c r="N160" s="99">
        <v>1.9399999999999997E-2</v>
      </c>
      <c r="O160" s="95">
        <v>30759.999999999996</v>
      </c>
      <c r="P160" s="97">
        <v>101.96</v>
      </c>
      <c r="Q160" s="85"/>
      <c r="R160" s="95">
        <v>31.362899999999993</v>
      </c>
      <c r="S160" s="96">
        <v>1.9609068110274868E-5</v>
      </c>
      <c r="T160" s="96">
        <f t="shared" si="3"/>
        <v>6.2552916574446708E-4</v>
      </c>
      <c r="U160" s="96">
        <f>R160/'סכום נכסי הקרן'!$C$42</f>
        <v>1.5002359706169311E-4</v>
      </c>
    </row>
    <row r="161" spans="2:21" s="137" customFormat="1">
      <c r="B161" s="88" t="s">
        <v>666</v>
      </c>
      <c r="C161" s="85" t="s">
        <v>667</v>
      </c>
      <c r="D161" s="98" t="s">
        <v>118</v>
      </c>
      <c r="E161" s="98" t="s">
        <v>305</v>
      </c>
      <c r="F161" s="85" t="s">
        <v>310</v>
      </c>
      <c r="G161" s="98" t="s">
        <v>311</v>
      </c>
      <c r="H161" s="85" t="s">
        <v>365</v>
      </c>
      <c r="I161" s="85" t="s">
        <v>307</v>
      </c>
      <c r="J161" s="85"/>
      <c r="K161" s="95">
        <v>2.2400000000000002</v>
      </c>
      <c r="L161" s="98" t="s">
        <v>162</v>
      </c>
      <c r="M161" s="99">
        <v>3.2500000000000001E-2</v>
      </c>
      <c r="N161" s="99">
        <v>1.7399999999999999E-2</v>
      </c>
      <c r="O161" s="95">
        <f>300000/50000</f>
        <v>6</v>
      </c>
      <c r="P161" s="97">
        <v>5171003</v>
      </c>
      <c r="Q161" s="85"/>
      <c r="R161" s="95">
        <v>310.2601699999999</v>
      </c>
      <c r="S161" s="96">
        <f>1620.30785849311%/50000</f>
        <v>3.2406157169862198E-4</v>
      </c>
      <c r="T161" s="96">
        <f t="shared" si="3"/>
        <v>6.1881007592995705E-3</v>
      </c>
      <c r="U161" s="96">
        <f>R161/'סכום נכסי הקרן'!$C$42</f>
        <v>1.4841212620125179E-3</v>
      </c>
    </row>
    <row r="162" spans="2:21" s="137" customFormat="1">
      <c r="B162" s="88" t="s">
        <v>668</v>
      </c>
      <c r="C162" s="85" t="s">
        <v>669</v>
      </c>
      <c r="D162" s="98" t="s">
        <v>118</v>
      </c>
      <c r="E162" s="98" t="s">
        <v>305</v>
      </c>
      <c r="F162" s="85" t="s">
        <v>310</v>
      </c>
      <c r="G162" s="98" t="s">
        <v>311</v>
      </c>
      <c r="H162" s="85" t="s">
        <v>365</v>
      </c>
      <c r="I162" s="85" t="s">
        <v>158</v>
      </c>
      <c r="J162" s="85"/>
      <c r="K162" s="95">
        <v>1.8299999999999998</v>
      </c>
      <c r="L162" s="98" t="s">
        <v>162</v>
      </c>
      <c r="M162" s="99">
        <v>2.2000000000000002E-2</v>
      </c>
      <c r="N162" s="99">
        <v>6.5000000000000006E-3</v>
      </c>
      <c r="O162" s="95">
        <v>1731.9999999999998</v>
      </c>
      <c r="P162" s="97">
        <v>103.15</v>
      </c>
      <c r="Q162" s="85"/>
      <c r="R162" s="95">
        <v>1.7865599999999997</v>
      </c>
      <c r="S162" s="96">
        <v>1.7320017320017318E-6</v>
      </c>
      <c r="T162" s="96">
        <f t="shared" si="3"/>
        <v>3.5632718477960747E-5</v>
      </c>
      <c r="U162" s="96">
        <f>R162/'סכום נכסי הקרן'!$C$42</f>
        <v>8.5459621899294543E-6</v>
      </c>
    </row>
    <row r="163" spans="2:21" s="137" customFormat="1">
      <c r="B163" s="88" t="s">
        <v>670</v>
      </c>
      <c r="C163" s="85" t="s">
        <v>671</v>
      </c>
      <c r="D163" s="98" t="s">
        <v>118</v>
      </c>
      <c r="E163" s="98" t="s">
        <v>305</v>
      </c>
      <c r="F163" s="85" t="s">
        <v>672</v>
      </c>
      <c r="G163" s="98" t="s">
        <v>353</v>
      </c>
      <c r="H163" s="85" t="s">
        <v>365</v>
      </c>
      <c r="I163" s="85" t="s">
        <v>307</v>
      </c>
      <c r="J163" s="85"/>
      <c r="K163" s="95">
        <v>4.3600000000000003</v>
      </c>
      <c r="L163" s="98" t="s">
        <v>162</v>
      </c>
      <c r="M163" s="99">
        <v>3.3799999999999997E-2</v>
      </c>
      <c r="N163" s="99">
        <v>3.4199999999999994E-2</v>
      </c>
      <c r="O163" s="95">
        <v>89808.999999999985</v>
      </c>
      <c r="P163" s="97">
        <v>101.28</v>
      </c>
      <c r="Q163" s="85"/>
      <c r="R163" s="95">
        <v>90.958549999999988</v>
      </c>
      <c r="S163" s="96">
        <v>1.4175988786622237E-4</v>
      </c>
      <c r="T163" s="96">
        <f t="shared" si="3"/>
        <v>1.8141570422003832E-3</v>
      </c>
      <c r="U163" s="96">
        <f>R163/'סכום נכסי הקרן'!$C$42</f>
        <v>4.3509780200542253E-4</v>
      </c>
    </row>
    <row r="164" spans="2:21" s="137" customFormat="1">
      <c r="B164" s="88" t="s">
        <v>673</v>
      </c>
      <c r="C164" s="85" t="s">
        <v>674</v>
      </c>
      <c r="D164" s="98" t="s">
        <v>118</v>
      </c>
      <c r="E164" s="98" t="s">
        <v>305</v>
      </c>
      <c r="F164" s="85" t="s">
        <v>675</v>
      </c>
      <c r="G164" s="98" t="s">
        <v>149</v>
      </c>
      <c r="H164" s="85" t="s">
        <v>365</v>
      </c>
      <c r="I164" s="85" t="s">
        <v>307</v>
      </c>
      <c r="J164" s="85"/>
      <c r="K164" s="95">
        <v>5.3900000000000006</v>
      </c>
      <c r="L164" s="98" t="s">
        <v>162</v>
      </c>
      <c r="M164" s="99">
        <v>5.0900000000000001E-2</v>
      </c>
      <c r="N164" s="99">
        <v>2.6200000000000001E-2</v>
      </c>
      <c r="O164" s="95">
        <v>12550.079999999998</v>
      </c>
      <c r="P164" s="97">
        <v>113.16</v>
      </c>
      <c r="Q164" s="95">
        <v>1.8377899999999998</v>
      </c>
      <c r="R164" s="95">
        <v>16.189609999999998</v>
      </c>
      <c r="S164" s="96">
        <v>1.2055392835048838E-5</v>
      </c>
      <c r="T164" s="96">
        <f t="shared" si="3"/>
        <v>3.2289977129118421E-4</v>
      </c>
      <c r="U164" s="96">
        <f>R164/'סכום נכסי הקרן'!$C$42</f>
        <v>7.74425683602587E-5</v>
      </c>
    </row>
    <row r="165" spans="2:21" s="137" customFormat="1">
      <c r="B165" s="88" t="s">
        <v>676</v>
      </c>
      <c r="C165" s="85" t="s">
        <v>677</v>
      </c>
      <c r="D165" s="98" t="s">
        <v>118</v>
      </c>
      <c r="E165" s="98" t="s">
        <v>305</v>
      </c>
      <c r="F165" s="85" t="s">
        <v>678</v>
      </c>
      <c r="G165" s="98" t="s">
        <v>679</v>
      </c>
      <c r="H165" s="85" t="s">
        <v>365</v>
      </c>
      <c r="I165" s="85" t="s">
        <v>158</v>
      </c>
      <c r="J165" s="85"/>
      <c r="K165" s="95">
        <v>5.9200000000000008</v>
      </c>
      <c r="L165" s="98" t="s">
        <v>162</v>
      </c>
      <c r="M165" s="99">
        <v>2.6099999999999998E-2</v>
      </c>
      <c r="N165" s="99">
        <v>2.3300000000000001E-2</v>
      </c>
      <c r="O165" s="95">
        <v>158999.99999999997</v>
      </c>
      <c r="P165" s="97">
        <v>102.36</v>
      </c>
      <c r="Q165" s="85"/>
      <c r="R165" s="95">
        <v>162.75239999999997</v>
      </c>
      <c r="S165" s="96">
        <v>3.9443132429696948E-4</v>
      </c>
      <c r="T165" s="96">
        <f t="shared" si="3"/>
        <v>3.2460765106195472E-3</v>
      </c>
      <c r="U165" s="96">
        <f>R165/'סכום נכסי הקרן'!$C$42</f>
        <v>7.7852177185220445E-4</v>
      </c>
    </row>
    <row r="166" spans="2:21" s="137" customFormat="1">
      <c r="B166" s="88" t="s">
        <v>680</v>
      </c>
      <c r="C166" s="85" t="s">
        <v>681</v>
      </c>
      <c r="D166" s="98" t="s">
        <v>118</v>
      </c>
      <c r="E166" s="98" t="s">
        <v>305</v>
      </c>
      <c r="F166" s="85" t="s">
        <v>682</v>
      </c>
      <c r="G166" s="98" t="s">
        <v>683</v>
      </c>
      <c r="H166" s="85" t="s">
        <v>365</v>
      </c>
      <c r="I166" s="85" t="s">
        <v>307</v>
      </c>
      <c r="J166" s="85"/>
      <c r="K166" s="95">
        <v>4.0900000000000007</v>
      </c>
      <c r="L166" s="98" t="s">
        <v>162</v>
      </c>
      <c r="M166" s="99">
        <v>1.0500000000000001E-2</v>
      </c>
      <c r="N166" s="99">
        <v>6.6000000000000017E-3</v>
      </c>
      <c r="O166" s="95">
        <v>46752.999999999993</v>
      </c>
      <c r="P166" s="97">
        <v>101.93</v>
      </c>
      <c r="Q166" s="85"/>
      <c r="R166" s="95">
        <v>47.655329999999985</v>
      </c>
      <c r="S166" s="96">
        <v>1.0090386798520314E-4</v>
      </c>
      <c r="T166" s="96">
        <f t="shared" si="3"/>
        <v>9.504796692326688E-4</v>
      </c>
      <c r="U166" s="96">
        <f>R166/'סכום נכסי הקרן'!$C$42</f>
        <v>2.2795800215420179E-4</v>
      </c>
    </row>
    <row r="167" spans="2:21" s="137" customFormat="1">
      <c r="B167" s="88" t="s">
        <v>684</v>
      </c>
      <c r="C167" s="85" t="s">
        <v>685</v>
      </c>
      <c r="D167" s="98" t="s">
        <v>118</v>
      </c>
      <c r="E167" s="98" t="s">
        <v>305</v>
      </c>
      <c r="F167" s="85" t="s">
        <v>385</v>
      </c>
      <c r="G167" s="98" t="s">
        <v>353</v>
      </c>
      <c r="H167" s="85" t="s">
        <v>445</v>
      </c>
      <c r="I167" s="85" t="s">
        <v>158</v>
      </c>
      <c r="J167" s="85"/>
      <c r="K167" s="95">
        <v>3.86</v>
      </c>
      <c r="L167" s="98" t="s">
        <v>162</v>
      </c>
      <c r="M167" s="99">
        <v>3.5000000000000003E-2</v>
      </c>
      <c r="N167" s="99">
        <v>2.07E-2</v>
      </c>
      <c r="O167" s="95">
        <v>39999.999999999993</v>
      </c>
      <c r="P167" s="97">
        <v>106.5</v>
      </c>
      <c r="Q167" s="85"/>
      <c r="R167" s="95">
        <v>42.599999999999994</v>
      </c>
      <c r="S167" s="96">
        <v>2.6314173748792115E-4</v>
      </c>
      <c r="T167" s="96">
        <f t="shared" si="3"/>
        <v>8.4965173694761316E-4</v>
      </c>
      <c r="U167" s="96">
        <f>R167/'סכום נכסי הקרן'!$C$42</f>
        <v>2.0377596570559888E-4</v>
      </c>
    </row>
    <row r="168" spans="2:21" s="137" customFormat="1">
      <c r="B168" s="88" t="s">
        <v>686</v>
      </c>
      <c r="C168" s="85" t="s">
        <v>687</v>
      </c>
      <c r="D168" s="98" t="s">
        <v>118</v>
      </c>
      <c r="E168" s="98" t="s">
        <v>305</v>
      </c>
      <c r="F168" s="85" t="s">
        <v>658</v>
      </c>
      <c r="G168" s="98" t="s">
        <v>353</v>
      </c>
      <c r="H168" s="85" t="s">
        <v>445</v>
      </c>
      <c r="I168" s="85" t="s">
        <v>158</v>
      </c>
      <c r="J168" s="85"/>
      <c r="K168" s="95">
        <v>4.2900000000000009</v>
      </c>
      <c r="L168" s="98" t="s">
        <v>162</v>
      </c>
      <c r="M168" s="99">
        <v>4.3499999999999997E-2</v>
      </c>
      <c r="N168" s="99">
        <v>3.9900000000000005E-2</v>
      </c>
      <c r="O168" s="95">
        <v>169782.99999999997</v>
      </c>
      <c r="P168" s="97">
        <v>103.32</v>
      </c>
      <c r="Q168" s="85"/>
      <c r="R168" s="95">
        <v>175.41979999999995</v>
      </c>
      <c r="S168" s="96">
        <v>9.0494368320175321E-5</v>
      </c>
      <c r="T168" s="96">
        <f t="shared" si="3"/>
        <v>3.4987262386150914E-3</v>
      </c>
      <c r="U168" s="96">
        <f>R168/'סכום נכסי הקרן'!$C$42</f>
        <v>8.3911594246204252E-4</v>
      </c>
    </row>
    <row r="169" spans="2:21" s="137" customFormat="1">
      <c r="B169" s="88" t="s">
        <v>688</v>
      </c>
      <c r="C169" s="85" t="s">
        <v>689</v>
      </c>
      <c r="D169" s="98" t="s">
        <v>118</v>
      </c>
      <c r="E169" s="98" t="s">
        <v>305</v>
      </c>
      <c r="F169" s="85" t="s">
        <v>529</v>
      </c>
      <c r="G169" s="98" t="s">
        <v>479</v>
      </c>
      <c r="H169" s="85" t="s">
        <v>445</v>
      </c>
      <c r="I169" s="85" t="s">
        <v>158</v>
      </c>
      <c r="J169" s="85"/>
      <c r="K169" s="95">
        <v>6.120000000000001</v>
      </c>
      <c r="L169" s="98" t="s">
        <v>162</v>
      </c>
      <c r="M169" s="99">
        <v>3.61E-2</v>
      </c>
      <c r="N169" s="99">
        <v>2.7799999999999998E-2</v>
      </c>
      <c r="O169" s="95">
        <v>326011.99999999994</v>
      </c>
      <c r="P169" s="97">
        <v>105.85</v>
      </c>
      <c r="Q169" s="85"/>
      <c r="R169" s="95">
        <v>345.08369999999996</v>
      </c>
      <c r="S169" s="96">
        <v>4.2477133550488592E-4</v>
      </c>
      <c r="T169" s="96">
        <f t="shared" si="3"/>
        <v>6.8826517628476306E-3</v>
      </c>
      <c r="U169" s="96">
        <f>R169/'סכום נכסי הקרן'!$C$42</f>
        <v>1.6506986905342998E-3</v>
      </c>
    </row>
    <row r="170" spans="2:21" s="137" customFormat="1">
      <c r="B170" s="88" t="s">
        <v>690</v>
      </c>
      <c r="C170" s="85" t="s">
        <v>691</v>
      </c>
      <c r="D170" s="98" t="s">
        <v>118</v>
      </c>
      <c r="E170" s="98" t="s">
        <v>305</v>
      </c>
      <c r="F170" s="85" t="s">
        <v>478</v>
      </c>
      <c r="G170" s="98" t="s">
        <v>479</v>
      </c>
      <c r="H170" s="85" t="s">
        <v>445</v>
      </c>
      <c r="I170" s="85" t="s">
        <v>307</v>
      </c>
      <c r="J170" s="85"/>
      <c r="K170" s="95">
        <v>8.51</v>
      </c>
      <c r="L170" s="98" t="s">
        <v>162</v>
      </c>
      <c r="M170" s="99">
        <v>3.95E-2</v>
      </c>
      <c r="N170" s="99">
        <v>3.4700000000000002E-2</v>
      </c>
      <c r="O170" s="95">
        <v>95900.999999999985</v>
      </c>
      <c r="P170" s="97">
        <v>105.32</v>
      </c>
      <c r="Q170" s="85"/>
      <c r="R170" s="95">
        <v>101.00292999999998</v>
      </c>
      <c r="S170" s="96">
        <v>3.9957089616438556E-4</v>
      </c>
      <c r="T170" s="96">
        <f t="shared" si="3"/>
        <v>2.0144909603591124E-3</v>
      </c>
      <c r="U170" s="96">
        <f>R170/'סכום נכסי הקרן'!$C$42</f>
        <v>4.8314482628744138E-4</v>
      </c>
    </row>
    <row r="171" spans="2:21" s="137" customFormat="1">
      <c r="B171" s="88" t="s">
        <v>692</v>
      </c>
      <c r="C171" s="85" t="s">
        <v>693</v>
      </c>
      <c r="D171" s="98" t="s">
        <v>118</v>
      </c>
      <c r="E171" s="98" t="s">
        <v>305</v>
      </c>
      <c r="F171" s="85" t="s">
        <v>478</v>
      </c>
      <c r="G171" s="98" t="s">
        <v>479</v>
      </c>
      <c r="H171" s="85" t="s">
        <v>445</v>
      </c>
      <c r="I171" s="85" t="s">
        <v>307</v>
      </c>
      <c r="J171" s="85"/>
      <c r="K171" s="95">
        <v>9.1599999999999984</v>
      </c>
      <c r="L171" s="98" t="s">
        <v>162</v>
      </c>
      <c r="M171" s="99">
        <v>3.95E-2</v>
      </c>
      <c r="N171" s="99">
        <v>3.6300000000000006E-2</v>
      </c>
      <c r="O171" s="95">
        <v>16306.999999999998</v>
      </c>
      <c r="P171" s="97">
        <v>104.18</v>
      </c>
      <c r="Q171" s="85"/>
      <c r="R171" s="95">
        <v>16.988629999999997</v>
      </c>
      <c r="S171" s="96">
        <v>6.7943010018171198E-5</v>
      </c>
      <c r="T171" s="96">
        <f t="shared" si="3"/>
        <v>3.3883612647559461E-4</v>
      </c>
      <c r="U171" s="96">
        <f>R171/'סכום נכסי הקרן'!$C$42</f>
        <v>8.126465925504949E-5</v>
      </c>
    </row>
    <row r="172" spans="2:21" s="137" customFormat="1">
      <c r="B172" s="88" t="s">
        <v>694</v>
      </c>
      <c r="C172" s="85" t="s">
        <v>695</v>
      </c>
      <c r="D172" s="98" t="s">
        <v>118</v>
      </c>
      <c r="E172" s="98" t="s">
        <v>305</v>
      </c>
      <c r="F172" s="85" t="s">
        <v>696</v>
      </c>
      <c r="G172" s="98" t="s">
        <v>353</v>
      </c>
      <c r="H172" s="85" t="s">
        <v>445</v>
      </c>
      <c r="I172" s="85" t="s">
        <v>158</v>
      </c>
      <c r="J172" s="85"/>
      <c r="K172" s="95">
        <v>3.13</v>
      </c>
      <c r="L172" s="98" t="s">
        <v>162</v>
      </c>
      <c r="M172" s="99">
        <v>3.9E-2</v>
      </c>
      <c r="N172" s="99">
        <v>4.4800000000000006E-2</v>
      </c>
      <c r="O172" s="95">
        <v>188496.99999999997</v>
      </c>
      <c r="P172" s="97">
        <v>98.72</v>
      </c>
      <c r="Q172" s="85"/>
      <c r="R172" s="95">
        <v>186.08423999999997</v>
      </c>
      <c r="S172" s="96">
        <v>2.0987368409332565E-4</v>
      </c>
      <c r="T172" s="96">
        <f t="shared" si="3"/>
        <v>3.7114271768679931E-3</v>
      </c>
      <c r="U172" s="96">
        <f>R172/'סכום נכסי הקרן'!$C$42</f>
        <v>8.9012900724395373E-4</v>
      </c>
    </row>
    <row r="173" spans="2:21" s="137" customFormat="1">
      <c r="B173" s="88" t="s">
        <v>697</v>
      </c>
      <c r="C173" s="85" t="s">
        <v>698</v>
      </c>
      <c r="D173" s="98" t="s">
        <v>118</v>
      </c>
      <c r="E173" s="98" t="s">
        <v>305</v>
      </c>
      <c r="F173" s="85" t="s">
        <v>488</v>
      </c>
      <c r="G173" s="98" t="s">
        <v>353</v>
      </c>
      <c r="H173" s="85" t="s">
        <v>445</v>
      </c>
      <c r="I173" s="85" t="s">
        <v>158</v>
      </c>
      <c r="J173" s="85"/>
      <c r="K173" s="95">
        <v>4.3499999999999996</v>
      </c>
      <c r="L173" s="98" t="s">
        <v>162</v>
      </c>
      <c r="M173" s="99">
        <v>5.0499999999999996E-2</v>
      </c>
      <c r="N173" s="99">
        <v>2.8199999999999999E-2</v>
      </c>
      <c r="O173" s="95">
        <v>19713.999999999996</v>
      </c>
      <c r="P173" s="97">
        <v>110.34</v>
      </c>
      <c r="Q173" s="85"/>
      <c r="R173" s="95">
        <v>21.752429999999997</v>
      </c>
      <c r="S173" s="96">
        <v>3.5500493435069357E-5</v>
      </c>
      <c r="T173" s="96">
        <f t="shared" si="3"/>
        <v>4.3384952892796641E-4</v>
      </c>
      <c r="U173" s="96">
        <f>R173/'סכום נכסי הקרן'!$C$42</f>
        <v>1.0405216971111362E-4</v>
      </c>
    </row>
    <row r="174" spans="2:21" s="137" customFormat="1">
      <c r="B174" s="88" t="s">
        <v>699</v>
      </c>
      <c r="C174" s="85" t="s">
        <v>700</v>
      </c>
      <c r="D174" s="98" t="s">
        <v>118</v>
      </c>
      <c r="E174" s="98" t="s">
        <v>305</v>
      </c>
      <c r="F174" s="85" t="s">
        <v>493</v>
      </c>
      <c r="G174" s="98" t="s">
        <v>479</v>
      </c>
      <c r="H174" s="85" t="s">
        <v>445</v>
      </c>
      <c r="I174" s="85" t="s">
        <v>158</v>
      </c>
      <c r="J174" s="85"/>
      <c r="K174" s="95">
        <v>5.2700000000000005</v>
      </c>
      <c r="L174" s="98" t="s">
        <v>162</v>
      </c>
      <c r="M174" s="99">
        <v>3.9199999999999999E-2</v>
      </c>
      <c r="N174" s="99">
        <v>2.6200000000000001E-2</v>
      </c>
      <c r="O174" s="95">
        <v>162737.99999999997</v>
      </c>
      <c r="P174" s="97">
        <v>107.68</v>
      </c>
      <c r="Q174" s="85"/>
      <c r="R174" s="95">
        <v>175.23627999999997</v>
      </c>
      <c r="S174" s="96">
        <v>1.6954453489801571E-4</v>
      </c>
      <c r="T174" s="96">
        <f t="shared" si="3"/>
        <v>3.4950659548882226E-3</v>
      </c>
      <c r="U174" s="96">
        <f>R174/'סכום נכסי הקרן'!$C$42</f>
        <v>8.3823807942856154E-4</v>
      </c>
    </row>
    <row r="175" spans="2:21" s="137" customFormat="1">
      <c r="B175" s="88" t="s">
        <v>701</v>
      </c>
      <c r="C175" s="85" t="s">
        <v>702</v>
      </c>
      <c r="D175" s="98" t="s">
        <v>118</v>
      </c>
      <c r="E175" s="98" t="s">
        <v>305</v>
      </c>
      <c r="F175" s="85" t="s">
        <v>523</v>
      </c>
      <c r="G175" s="98" t="s">
        <v>524</v>
      </c>
      <c r="H175" s="85" t="s">
        <v>445</v>
      </c>
      <c r="I175" s="85" t="s">
        <v>307</v>
      </c>
      <c r="J175" s="85"/>
      <c r="K175" s="95">
        <v>0.65</v>
      </c>
      <c r="L175" s="98" t="s">
        <v>162</v>
      </c>
      <c r="M175" s="99">
        <v>2.3E-2</v>
      </c>
      <c r="N175" s="99">
        <v>5.8999999999999999E-3</v>
      </c>
      <c r="O175" s="95">
        <v>386329.99999999994</v>
      </c>
      <c r="P175" s="97">
        <v>101.1</v>
      </c>
      <c r="Q175" s="85"/>
      <c r="R175" s="95">
        <v>390.57962999999995</v>
      </c>
      <c r="S175" s="96">
        <v>1.2981968527251144E-4</v>
      </c>
      <c r="T175" s="96">
        <f t="shared" si="3"/>
        <v>7.7900624658651663E-3</v>
      </c>
      <c r="U175" s="96">
        <f>R175/'סכום נכסי הקרן'!$C$42</f>
        <v>1.8683272602860446E-3</v>
      </c>
    </row>
    <row r="176" spans="2:21" s="137" customFormat="1">
      <c r="B176" s="88" t="s">
        <v>703</v>
      </c>
      <c r="C176" s="85" t="s">
        <v>704</v>
      </c>
      <c r="D176" s="98" t="s">
        <v>118</v>
      </c>
      <c r="E176" s="98" t="s">
        <v>305</v>
      </c>
      <c r="F176" s="85" t="s">
        <v>523</v>
      </c>
      <c r="G176" s="98" t="s">
        <v>524</v>
      </c>
      <c r="H176" s="85" t="s">
        <v>445</v>
      </c>
      <c r="I176" s="85" t="s">
        <v>307</v>
      </c>
      <c r="J176" s="85"/>
      <c r="K176" s="95">
        <v>5.4099999999999984</v>
      </c>
      <c r="L176" s="98" t="s">
        <v>162</v>
      </c>
      <c r="M176" s="99">
        <v>1.7500000000000002E-2</v>
      </c>
      <c r="N176" s="99">
        <v>1.2299999999999998E-2</v>
      </c>
      <c r="O176" s="95">
        <v>701711.99999999988</v>
      </c>
      <c r="P176" s="97">
        <v>102.98</v>
      </c>
      <c r="Q176" s="85"/>
      <c r="R176" s="95">
        <v>722.62304000000006</v>
      </c>
      <c r="S176" s="96">
        <v>4.8574897653187938E-4</v>
      </c>
      <c r="T176" s="96">
        <f t="shared" si="3"/>
        <v>1.4412627255736261E-2</v>
      </c>
      <c r="U176" s="96">
        <f>R176/'סכום נכסי הקרן'!$C$42</f>
        <v>3.4566480708243109E-3</v>
      </c>
    </row>
    <row r="177" spans="2:21" s="137" customFormat="1">
      <c r="B177" s="88" t="s">
        <v>705</v>
      </c>
      <c r="C177" s="85" t="s">
        <v>706</v>
      </c>
      <c r="D177" s="98" t="s">
        <v>118</v>
      </c>
      <c r="E177" s="98" t="s">
        <v>305</v>
      </c>
      <c r="F177" s="85" t="s">
        <v>523</v>
      </c>
      <c r="G177" s="98" t="s">
        <v>524</v>
      </c>
      <c r="H177" s="85" t="s">
        <v>445</v>
      </c>
      <c r="I177" s="85" t="s">
        <v>307</v>
      </c>
      <c r="J177" s="85"/>
      <c r="K177" s="95">
        <v>3.9299999999999997</v>
      </c>
      <c r="L177" s="98" t="s">
        <v>162</v>
      </c>
      <c r="M177" s="99">
        <v>2.9600000000000001E-2</v>
      </c>
      <c r="N177" s="99">
        <v>1.8200000000000001E-2</v>
      </c>
      <c r="O177" s="95">
        <v>137108.99999999997</v>
      </c>
      <c r="P177" s="97">
        <v>105.54</v>
      </c>
      <c r="Q177" s="85"/>
      <c r="R177" s="95">
        <v>144.70483999999996</v>
      </c>
      <c r="S177" s="96">
        <v>3.3572726337801234E-4</v>
      </c>
      <c r="T177" s="96">
        <f t="shared" si="3"/>
        <v>2.8861201561203391E-3</v>
      </c>
      <c r="U177" s="96">
        <f>R177/'סכום נכסי הקרן'!$C$42</f>
        <v>6.9219174913789125E-4</v>
      </c>
    </row>
    <row r="178" spans="2:21" s="137" customFormat="1">
      <c r="B178" s="88" t="s">
        <v>707</v>
      </c>
      <c r="C178" s="85" t="s">
        <v>708</v>
      </c>
      <c r="D178" s="98" t="s">
        <v>118</v>
      </c>
      <c r="E178" s="98" t="s">
        <v>305</v>
      </c>
      <c r="F178" s="85" t="s">
        <v>709</v>
      </c>
      <c r="G178" s="98" t="s">
        <v>149</v>
      </c>
      <c r="H178" s="85" t="s">
        <v>445</v>
      </c>
      <c r="I178" s="85" t="s">
        <v>158</v>
      </c>
      <c r="J178" s="85"/>
      <c r="K178" s="95">
        <v>3.9400000000000004</v>
      </c>
      <c r="L178" s="98" t="s">
        <v>162</v>
      </c>
      <c r="M178" s="99">
        <v>2.75E-2</v>
      </c>
      <c r="N178" s="99">
        <v>2.2100000000000005E-2</v>
      </c>
      <c r="O178" s="95">
        <v>109462.21</v>
      </c>
      <c r="P178" s="97">
        <v>102.38</v>
      </c>
      <c r="Q178" s="85"/>
      <c r="R178" s="95">
        <v>112.06740999999998</v>
      </c>
      <c r="S178" s="96">
        <v>2.2035387497812409E-4</v>
      </c>
      <c r="T178" s="96">
        <f t="shared" si="3"/>
        <v>2.2351706469887398E-3</v>
      </c>
      <c r="U178" s="96">
        <f>R178/'סכום נכסי הקרן'!$C$42</f>
        <v>5.3607147175763583E-4</v>
      </c>
    </row>
    <row r="179" spans="2:21" s="137" customFormat="1">
      <c r="B179" s="88" t="s">
        <v>710</v>
      </c>
      <c r="C179" s="85" t="s">
        <v>711</v>
      </c>
      <c r="D179" s="98" t="s">
        <v>118</v>
      </c>
      <c r="E179" s="98" t="s">
        <v>305</v>
      </c>
      <c r="F179" s="85" t="s">
        <v>709</v>
      </c>
      <c r="G179" s="98" t="s">
        <v>149</v>
      </c>
      <c r="H179" s="85" t="s">
        <v>445</v>
      </c>
      <c r="I179" s="85" t="s">
        <v>158</v>
      </c>
      <c r="J179" s="85"/>
      <c r="K179" s="95">
        <v>5.1800000000000006</v>
      </c>
      <c r="L179" s="98" t="s">
        <v>162</v>
      </c>
      <c r="M179" s="99">
        <v>2.3E-2</v>
      </c>
      <c r="N179" s="99">
        <v>3.1E-2</v>
      </c>
      <c r="O179" s="95">
        <v>169999.99999999997</v>
      </c>
      <c r="P179" s="97">
        <v>96.23</v>
      </c>
      <c r="Q179" s="85"/>
      <c r="R179" s="95">
        <v>163.59098999999995</v>
      </c>
      <c r="S179" s="96">
        <v>5.3959825957342522E-4</v>
      </c>
      <c r="T179" s="96">
        <f t="shared" si="3"/>
        <v>3.2628020845652489E-3</v>
      </c>
      <c r="U179" s="96">
        <f>R179/'סכום נכסי הקרן'!$C$42</f>
        <v>7.8253314478837939E-4</v>
      </c>
    </row>
    <row r="180" spans="2:21" s="137" customFormat="1">
      <c r="B180" s="88" t="s">
        <v>712</v>
      </c>
      <c r="C180" s="85" t="s">
        <v>713</v>
      </c>
      <c r="D180" s="98" t="s">
        <v>118</v>
      </c>
      <c r="E180" s="98" t="s">
        <v>305</v>
      </c>
      <c r="F180" s="85" t="s">
        <v>397</v>
      </c>
      <c r="G180" s="98" t="s">
        <v>311</v>
      </c>
      <c r="H180" s="85" t="s">
        <v>534</v>
      </c>
      <c r="I180" s="85" t="s">
        <v>158</v>
      </c>
      <c r="J180" s="85"/>
      <c r="K180" s="95">
        <v>3.0900000000000003</v>
      </c>
      <c r="L180" s="98" t="s">
        <v>162</v>
      </c>
      <c r="M180" s="99">
        <v>3.6000000000000004E-2</v>
      </c>
      <c r="N180" s="99">
        <v>2.3000000000000003E-2</v>
      </c>
      <c r="O180" s="95">
        <f>250000/50000</f>
        <v>5</v>
      </c>
      <c r="P180" s="97">
        <v>5332000</v>
      </c>
      <c r="Q180" s="85"/>
      <c r="R180" s="95">
        <v>266.59999999999997</v>
      </c>
      <c r="S180" s="96">
        <f>1594.28607869396%/50000</f>
        <v>3.1885721573879198E-4</v>
      </c>
      <c r="T180" s="96">
        <f t="shared" si="3"/>
        <v>5.3173040626815415E-3</v>
      </c>
      <c r="U180" s="96">
        <f>R180/'סכום נכסי הקרן'!$C$42</f>
        <v>1.2752740013406729E-3</v>
      </c>
    </row>
    <row r="181" spans="2:21" s="137" customFormat="1">
      <c r="B181" s="88" t="s">
        <v>714</v>
      </c>
      <c r="C181" s="85" t="s">
        <v>715</v>
      </c>
      <c r="D181" s="98" t="s">
        <v>118</v>
      </c>
      <c r="E181" s="98" t="s">
        <v>305</v>
      </c>
      <c r="F181" s="85" t="s">
        <v>716</v>
      </c>
      <c r="G181" s="98" t="s">
        <v>149</v>
      </c>
      <c r="H181" s="85" t="s">
        <v>534</v>
      </c>
      <c r="I181" s="85" t="s">
        <v>307</v>
      </c>
      <c r="J181" s="85"/>
      <c r="K181" s="95">
        <v>2.38</v>
      </c>
      <c r="L181" s="98" t="s">
        <v>162</v>
      </c>
      <c r="M181" s="99">
        <v>3.4000000000000002E-2</v>
      </c>
      <c r="N181" s="99">
        <v>2.2499999999999999E-2</v>
      </c>
      <c r="O181" s="95">
        <v>24727.159999999996</v>
      </c>
      <c r="P181" s="97">
        <v>103.24</v>
      </c>
      <c r="Q181" s="85"/>
      <c r="R181" s="95">
        <v>25.528319999999997</v>
      </c>
      <c r="S181" s="96">
        <v>4.9959097428020588E-5</v>
      </c>
      <c r="T181" s="96">
        <f t="shared" si="3"/>
        <v>5.0915918848249981E-4</v>
      </c>
      <c r="U181" s="96">
        <f>R181/'סכום נכסי הקרן'!$C$42</f>
        <v>1.2211403898689094E-4</v>
      </c>
    </row>
    <row r="182" spans="2:21" s="137" customFormat="1">
      <c r="B182" s="88" t="s">
        <v>717</v>
      </c>
      <c r="C182" s="85" t="s">
        <v>718</v>
      </c>
      <c r="D182" s="98" t="s">
        <v>118</v>
      </c>
      <c r="E182" s="98" t="s">
        <v>305</v>
      </c>
      <c r="F182" s="85" t="s">
        <v>719</v>
      </c>
      <c r="G182" s="98" t="s">
        <v>353</v>
      </c>
      <c r="H182" s="85" t="s">
        <v>534</v>
      </c>
      <c r="I182" s="85" t="s">
        <v>158</v>
      </c>
      <c r="J182" s="85"/>
      <c r="K182" s="95">
        <v>2.85</v>
      </c>
      <c r="L182" s="98" t="s">
        <v>162</v>
      </c>
      <c r="M182" s="99">
        <v>6.7500000000000004E-2</v>
      </c>
      <c r="N182" s="99">
        <v>3.9399999999999998E-2</v>
      </c>
      <c r="O182" s="95">
        <v>51142.939999999988</v>
      </c>
      <c r="P182" s="97">
        <v>109.36</v>
      </c>
      <c r="Q182" s="85"/>
      <c r="R182" s="95">
        <v>55.929929999999992</v>
      </c>
      <c r="S182" s="96">
        <v>6.394833831467752E-5</v>
      </c>
      <c r="T182" s="96">
        <f t="shared" si="3"/>
        <v>1.1155155439403384E-3</v>
      </c>
      <c r="U182" s="96">
        <f>R182/'סכום נכסי הקרן'!$C$42</f>
        <v>2.6753933092949639E-4</v>
      </c>
    </row>
    <row r="183" spans="2:21" s="137" customFormat="1">
      <c r="B183" s="88" t="s">
        <v>720</v>
      </c>
      <c r="C183" s="85" t="s">
        <v>721</v>
      </c>
      <c r="D183" s="98" t="s">
        <v>118</v>
      </c>
      <c r="E183" s="98" t="s">
        <v>305</v>
      </c>
      <c r="F183" s="85" t="s">
        <v>498</v>
      </c>
      <c r="G183" s="98" t="s">
        <v>353</v>
      </c>
      <c r="H183" s="85" t="s">
        <v>534</v>
      </c>
      <c r="I183" s="85" t="s">
        <v>307</v>
      </c>
      <c r="J183" s="85"/>
      <c r="K183" s="95">
        <v>2.8400000000000003</v>
      </c>
      <c r="L183" s="98" t="s">
        <v>162</v>
      </c>
      <c r="M183" s="99">
        <v>5.74E-2</v>
      </c>
      <c r="N183" s="99">
        <v>2.0199999999999999E-2</v>
      </c>
      <c r="O183" s="95">
        <v>0.46999999999999992</v>
      </c>
      <c r="P183" s="97">
        <v>110.69</v>
      </c>
      <c r="Q183" s="85"/>
      <c r="R183" s="95">
        <v>5.2999999999999987E-4</v>
      </c>
      <c r="S183" s="96">
        <v>2.5376431556044011E-9</v>
      </c>
      <c r="T183" s="96">
        <f t="shared" si="3"/>
        <v>1.057078452070974E-8</v>
      </c>
      <c r="U183" s="96">
        <f>R183/'סכום נכסי הקרן'!$C$42</f>
        <v>2.5352408878865586E-9</v>
      </c>
    </row>
    <row r="184" spans="2:21" s="137" customFormat="1">
      <c r="B184" s="88" t="s">
        <v>722</v>
      </c>
      <c r="C184" s="85" t="s">
        <v>723</v>
      </c>
      <c r="D184" s="98" t="s">
        <v>118</v>
      </c>
      <c r="E184" s="98" t="s">
        <v>305</v>
      </c>
      <c r="F184" s="85" t="s">
        <v>501</v>
      </c>
      <c r="G184" s="98" t="s">
        <v>353</v>
      </c>
      <c r="H184" s="85" t="s">
        <v>534</v>
      </c>
      <c r="I184" s="85" t="s">
        <v>307</v>
      </c>
      <c r="J184" s="85"/>
      <c r="K184" s="95">
        <v>3.5799999999999992</v>
      </c>
      <c r="L184" s="98" t="s">
        <v>162</v>
      </c>
      <c r="M184" s="99">
        <v>3.7000000000000005E-2</v>
      </c>
      <c r="N184" s="99">
        <v>2.1199999999999997E-2</v>
      </c>
      <c r="O184" s="95">
        <v>34211.74</v>
      </c>
      <c r="P184" s="97">
        <v>106.67</v>
      </c>
      <c r="Q184" s="85"/>
      <c r="R184" s="95">
        <v>36.493660000000006</v>
      </c>
      <c r="S184" s="96">
        <v>1.4412108008440692E-4</v>
      </c>
      <c r="T184" s="96">
        <f t="shared" si="3"/>
        <v>7.2786154006046109E-4</v>
      </c>
      <c r="U184" s="96">
        <f>R184/'סכום נכסי הקרן'!$C$42</f>
        <v>1.7456645090684948E-4</v>
      </c>
    </row>
    <row r="185" spans="2:21" s="137" customFormat="1">
      <c r="B185" s="88" t="s">
        <v>724</v>
      </c>
      <c r="C185" s="85" t="s">
        <v>725</v>
      </c>
      <c r="D185" s="98" t="s">
        <v>118</v>
      </c>
      <c r="E185" s="98" t="s">
        <v>305</v>
      </c>
      <c r="F185" s="85" t="s">
        <v>726</v>
      </c>
      <c r="G185" s="98" t="s">
        <v>353</v>
      </c>
      <c r="H185" s="85" t="s">
        <v>534</v>
      </c>
      <c r="I185" s="85" t="s">
        <v>158</v>
      </c>
      <c r="J185" s="85"/>
      <c r="K185" s="95">
        <v>2.29</v>
      </c>
      <c r="L185" s="98" t="s">
        <v>162</v>
      </c>
      <c r="M185" s="99">
        <v>4.4500000000000005E-2</v>
      </c>
      <c r="N185" s="99">
        <v>3.61E-2</v>
      </c>
      <c r="O185" s="95">
        <v>0.89999999999999991</v>
      </c>
      <c r="P185" s="97">
        <v>103.07</v>
      </c>
      <c r="Q185" s="85"/>
      <c r="R185" s="95">
        <v>9.2999999999999984E-4</v>
      </c>
      <c r="S185" s="96">
        <v>7.142857142857142E-10</v>
      </c>
      <c r="T185" s="96">
        <f t="shared" si="3"/>
        <v>1.8548735102377472E-8</v>
      </c>
      <c r="U185" s="96">
        <f>R185/'סכום נכסי הקרן'!$C$42</f>
        <v>4.4486302372349052E-9</v>
      </c>
    </row>
    <row r="186" spans="2:21" s="137" customFormat="1">
      <c r="B186" s="88" t="s">
        <v>727</v>
      </c>
      <c r="C186" s="85" t="s">
        <v>728</v>
      </c>
      <c r="D186" s="98" t="s">
        <v>118</v>
      </c>
      <c r="E186" s="98" t="s">
        <v>305</v>
      </c>
      <c r="F186" s="85" t="s">
        <v>729</v>
      </c>
      <c r="G186" s="98" t="s">
        <v>601</v>
      </c>
      <c r="H186" s="85" t="s">
        <v>534</v>
      </c>
      <c r="I186" s="85" t="s">
        <v>307</v>
      </c>
      <c r="J186" s="85"/>
      <c r="K186" s="95">
        <v>3.0900000000000003</v>
      </c>
      <c r="L186" s="98" t="s">
        <v>162</v>
      </c>
      <c r="M186" s="99">
        <v>2.9500000000000002E-2</v>
      </c>
      <c r="N186" s="99">
        <v>2.1399999999999995E-2</v>
      </c>
      <c r="O186" s="95">
        <v>113176.47999999998</v>
      </c>
      <c r="P186" s="97">
        <v>103.25</v>
      </c>
      <c r="Q186" s="85"/>
      <c r="R186" s="95">
        <v>116.85470999999998</v>
      </c>
      <c r="S186" s="96">
        <v>4.8690839301168947E-4</v>
      </c>
      <c r="T186" s="96">
        <f t="shared" si="3"/>
        <v>2.3306527540377848E-3</v>
      </c>
      <c r="U186" s="96">
        <f>R186/'סכום נכסי הקרן'!$C$42</f>
        <v>5.5897139383797418E-4</v>
      </c>
    </row>
    <row r="187" spans="2:21" s="137" customFormat="1">
      <c r="B187" s="88" t="s">
        <v>730</v>
      </c>
      <c r="C187" s="85" t="s">
        <v>731</v>
      </c>
      <c r="D187" s="98" t="s">
        <v>118</v>
      </c>
      <c r="E187" s="98" t="s">
        <v>305</v>
      </c>
      <c r="F187" s="85" t="s">
        <v>732</v>
      </c>
      <c r="G187" s="98" t="s">
        <v>479</v>
      </c>
      <c r="H187" s="85" t="s">
        <v>534</v>
      </c>
      <c r="I187" s="85" t="s">
        <v>158</v>
      </c>
      <c r="J187" s="85"/>
      <c r="K187" s="95">
        <v>9.0000000000000018</v>
      </c>
      <c r="L187" s="98" t="s">
        <v>162</v>
      </c>
      <c r="M187" s="99">
        <v>3.4300000000000004E-2</v>
      </c>
      <c r="N187" s="99">
        <v>3.6900000000000002E-2</v>
      </c>
      <c r="O187" s="95">
        <v>138729.99999999997</v>
      </c>
      <c r="P187" s="97">
        <v>98.83</v>
      </c>
      <c r="Q187" s="85"/>
      <c r="R187" s="95">
        <v>137.10685999999995</v>
      </c>
      <c r="S187" s="96">
        <v>5.4643926264376862E-4</v>
      </c>
      <c r="T187" s="96">
        <f t="shared" si="3"/>
        <v>2.7345793837190895E-3</v>
      </c>
      <c r="U187" s="96">
        <f>R187/'סכום נכסי הקרן'!$C$42</f>
        <v>6.5584701411648693E-4</v>
      </c>
    </row>
    <row r="188" spans="2:21" s="137" customFormat="1">
      <c r="B188" s="88" t="s">
        <v>733</v>
      </c>
      <c r="C188" s="85" t="s">
        <v>734</v>
      </c>
      <c r="D188" s="98" t="s">
        <v>118</v>
      </c>
      <c r="E188" s="98" t="s">
        <v>305</v>
      </c>
      <c r="F188" s="85" t="s">
        <v>553</v>
      </c>
      <c r="G188" s="98" t="s">
        <v>353</v>
      </c>
      <c r="H188" s="85" t="s">
        <v>534</v>
      </c>
      <c r="I188" s="85" t="s">
        <v>158</v>
      </c>
      <c r="J188" s="85"/>
      <c r="K188" s="95">
        <v>3.4</v>
      </c>
      <c r="L188" s="98" t="s">
        <v>162</v>
      </c>
      <c r="M188" s="99">
        <v>7.0499999999999993E-2</v>
      </c>
      <c r="N188" s="99">
        <v>2.3599999999999999E-2</v>
      </c>
      <c r="O188" s="95">
        <v>104.52999999999999</v>
      </c>
      <c r="P188" s="97">
        <v>118.26</v>
      </c>
      <c r="Q188" s="85"/>
      <c r="R188" s="95">
        <v>0.12360999999999998</v>
      </c>
      <c r="S188" s="96">
        <v>1.9780157355286423E-7</v>
      </c>
      <c r="T188" s="96">
        <f t="shared" si="3"/>
        <v>2.4653861784998703E-6</v>
      </c>
      <c r="U188" s="96">
        <f>R188/'סכום נכסי הקרן'!$C$42</f>
        <v>5.9128514368237266E-7</v>
      </c>
    </row>
    <row r="189" spans="2:21" s="137" customFormat="1">
      <c r="B189" s="88" t="s">
        <v>735</v>
      </c>
      <c r="C189" s="85" t="s">
        <v>736</v>
      </c>
      <c r="D189" s="98" t="s">
        <v>118</v>
      </c>
      <c r="E189" s="98" t="s">
        <v>305</v>
      </c>
      <c r="F189" s="85" t="s">
        <v>556</v>
      </c>
      <c r="G189" s="98" t="s">
        <v>380</v>
      </c>
      <c r="H189" s="85" t="s">
        <v>534</v>
      </c>
      <c r="I189" s="85" t="s">
        <v>307</v>
      </c>
      <c r="J189" s="85"/>
      <c r="K189" s="95">
        <v>3.69</v>
      </c>
      <c r="L189" s="98" t="s">
        <v>162</v>
      </c>
      <c r="M189" s="99">
        <v>4.1399999999999999E-2</v>
      </c>
      <c r="N189" s="99">
        <v>2.2799999999999997E-2</v>
      </c>
      <c r="O189" s="95">
        <v>59207.399999999994</v>
      </c>
      <c r="P189" s="97">
        <v>107.99</v>
      </c>
      <c r="Q189" s="85"/>
      <c r="R189" s="95">
        <v>63.938069999999989</v>
      </c>
      <c r="S189" s="96">
        <v>8.1822373421818278E-5</v>
      </c>
      <c r="T189" s="96">
        <f t="shared" si="3"/>
        <v>1.27523690686803E-3</v>
      </c>
      <c r="U189" s="96">
        <f>R189/'סכום נכסי הקרן'!$C$42</f>
        <v>3.0584605538972251E-4</v>
      </c>
    </row>
    <row r="190" spans="2:21" s="137" customFormat="1">
      <c r="B190" s="88" t="s">
        <v>737</v>
      </c>
      <c r="C190" s="85" t="s">
        <v>738</v>
      </c>
      <c r="D190" s="98" t="s">
        <v>118</v>
      </c>
      <c r="E190" s="98" t="s">
        <v>305</v>
      </c>
      <c r="F190" s="85" t="s">
        <v>556</v>
      </c>
      <c r="G190" s="98" t="s">
        <v>380</v>
      </c>
      <c r="H190" s="85" t="s">
        <v>534</v>
      </c>
      <c r="I190" s="85" t="s">
        <v>307</v>
      </c>
      <c r="J190" s="85"/>
      <c r="K190" s="95">
        <v>6.29</v>
      </c>
      <c r="L190" s="98" t="s">
        <v>162</v>
      </c>
      <c r="M190" s="99">
        <v>2.5000000000000001E-2</v>
      </c>
      <c r="N190" s="99">
        <v>3.8300000000000008E-2</v>
      </c>
      <c r="O190" s="95">
        <v>25577.999999999996</v>
      </c>
      <c r="P190" s="97">
        <v>93.71</v>
      </c>
      <c r="Q190" s="85"/>
      <c r="R190" s="95">
        <v>23.969139999999996</v>
      </c>
      <c r="S190" s="96">
        <v>6.3849226160758854E-5</v>
      </c>
      <c r="T190" s="96">
        <f t="shared" si="3"/>
        <v>4.7806153601268807E-4</v>
      </c>
      <c r="U190" s="96">
        <f>R190/'סכום נכסי הקרן'!$C$42</f>
        <v>1.1465574297259854E-4</v>
      </c>
    </row>
    <row r="191" spans="2:21" s="137" customFormat="1">
      <c r="B191" s="88" t="s">
        <v>739</v>
      </c>
      <c r="C191" s="85" t="s">
        <v>740</v>
      </c>
      <c r="D191" s="98" t="s">
        <v>118</v>
      </c>
      <c r="E191" s="98" t="s">
        <v>305</v>
      </c>
      <c r="F191" s="85" t="s">
        <v>556</v>
      </c>
      <c r="G191" s="98" t="s">
        <v>380</v>
      </c>
      <c r="H191" s="85" t="s">
        <v>534</v>
      </c>
      <c r="I191" s="85" t="s">
        <v>307</v>
      </c>
      <c r="J191" s="85"/>
      <c r="K191" s="95">
        <v>4.9500000000000011</v>
      </c>
      <c r="L191" s="98" t="s">
        <v>162</v>
      </c>
      <c r="M191" s="99">
        <v>3.5499999999999997E-2</v>
      </c>
      <c r="N191" s="99">
        <v>3.1900000000000005E-2</v>
      </c>
      <c r="O191" s="95">
        <v>32272.999999999996</v>
      </c>
      <c r="P191" s="97">
        <v>102.69</v>
      </c>
      <c r="Q191" s="85"/>
      <c r="R191" s="95">
        <v>33.141139999999993</v>
      </c>
      <c r="S191" s="96">
        <v>6.1593103435113764E-5</v>
      </c>
      <c r="T191" s="96">
        <f t="shared" si="3"/>
        <v>6.6099594285032911E-4</v>
      </c>
      <c r="U191" s="96">
        <f>R191/'סכום נכסי הקרן'!$C$42</f>
        <v>1.5852976075315611E-4</v>
      </c>
    </row>
    <row r="192" spans="2:21" s="137" customFormat="1">
      <c r="B192" s="88" t="s">
        <v>741</v>
      </c>
      <c r="C192" s="85" t="s">
        <v>742</v>
      </c>
      <c r="D192" s="98" t="s">
        <v>118</v>
      </c>
      <c r="E192" s="98" t="s">
        <v>305</v>
      </c>
      <c r="F192" s="85" t="s">
        <v>743</v>
      </c>
      <c r="G192" s="98" t="s">
        <v>353</v>
      </c>
      <c r="H192" s="85" t="s">
        <v>534</v>
      </c>
      <c r="I192" s="85" t="s">
        <v>307</v>
      </c>
      <c r="J192" s="85"/>
      <c r="K192" s="95">
        <v>5.3399999999999981</v>
      </c>
      <c r="L192" s="98" t="s">
        <v>162</v>
      </c>
      <c r="M192" s="99">
        <v>3.9E-2</v>
      </c>
      <c r="N192" s="99">
        <v>4.2199999999999988E-2</v>
      </c>
      <c r="O192" s="95">
        <v>132999.99999999997</v>
      </c>
      <c r="P192" s="97">
        <v>99.78</v>
      </c>
      <c r="Q192" s="85"/>
      <c r="R192" s="95">
        <v>132.70739</v>
      </c>
      <c r="S192" s="96">
        <v>3.1599705386205413E-4</v>
      </c>
      <c r="T192" s="96">
        <f t="shared" si="3"/>
        <v>2.6468324981052662E-3</v>
      </c>
      <c r="U192" s="96">
        <f>R192/'סכום נכסי הקרן'!$C$42</f>
        <v>6.3480226651454314E-4</v>
      </c>
    </row>
    <row r="193" spans="2:21" s="137" customFormat="1">
      <c r="B193" s="88" t="s">
        <v>744</v>
      </c>
      <c r="C193" s="85" t="s">
        <v>745</v>
      </c>
      <c r="D193" s="98" t="s">
        <v>118</v>
      </c>
      <c r="E193" s="98" t="s">
        <v>305</v>
      </c>
      <c r="F193" s="85" t="s">
        <v>561</v>
      </c>
      <c r="G193" s="98" t="s">
        <v>380</v>
      </c>
      <c r="H193" s="85" t="s">
        <v>534</v>
      </c>
      <c r="I193" s="85" t="s">
        <v>307</v>
      </c>
      <c r="J193" s="85"/>
      <c r="K193" s="95">
        <v>1.7400000000000002</v>
      </c>
      <c r="L193" s="98" t="s">
        <v>162</v>
      </c>
      <c r="M193" s="99">
        <v>1.49E-2</v>
      </c>
      <c r="N193" s="99">
        <v>5.5000000000000005E-3</v>
      </c>
      <c r="O193" s="95">
        <v>24294.400000000001</v>
      </c>
      <c r="P193" s="97">
        <v>101.46</v>
      </c>
      <c r="Q193" s="85"/>
      <c r="R193" s="95">
        <v>24.649099999999994</v>
      </c>
      <c r="S193" s="96">
        <v>5.5604586352999776E-5</v>
      </c>
      <c r="T193" s="96">
        <f t="shared" si="3"/>
        <v>4.9162325420646507E-4</v>
      </c>
      <c r="U193" s="96">
        <f>R193/'סכום נכסי הקרן'!$C$42</f>
        <v>1.1790831352755579E-4</v>
      </c>
    </row>
    <row r="194" spans="2:21" s="137" customFormat="1">
      <c r="B194" s="88" t="s">
        <v>746</v>
      </c>
      <c r="C194" s="85" t="s">
        <v>747</v>
      </c>
      <c r="D194" s="98" t="s">
        <v>118</v>
      </c>
      <c r="E194" s="98" t="s">
        <v>305</v>
      </c>
      <c r="F194" s="85" t="s">
        <v>561</v>
      </c>
      <c r="G194" s="98" t="s">
        <v>380</v>
      </c>
      <c r="H194" s="85" t="s">
        <v>534</v>
      </c>
      <c r="I194" s="85" t="s">
        <v>307</v>
      </c>
      <c r="J194" s="85"/>
      <c r="K194" s="95">
        <v>3.58</v>
      </c>
      <c r="L194" s="98" t="s">
        <v>162</v>
      </c>
      <c r="M194" s="99">
        <v>2.1600000000000001E-2</v>
      </c>
      <c r="N194" s="99">
        <v>2.1600000000000001E-2</v>
      </c>
      <c r="O194" s="95">
        <v>72207.999999999985</v>
      </c>
      <c r="P194" s="97">
        <v>100.6</v>
      </c>
      <c r="Q194" s="85"/>
      <c r="R194" s="95">
        <v>72.641249999999985</v>
      </c>
      <c r="S194" s="96">
        <v>1.1211847840095148E-4</v>
      </c>
      <c r="T194" s="96">
        <f t="shared" si="3"/>
        <v>1.4488207567264274E-3</v>
      </c>
      <c r="U194" s="96">
        <f>R194/'סכום נכסי הקרן'!$C$42</f>
        <v>3.4747748518337639E-4</v>
      </c>
    </row>
    <row r="195" spans="2:21" s="137" customFormat="1">
      <c r="B195" s="88" t="s">
        <v>748</v>
      </c>
      <c r="C195" s="85" t="s">
        <v>749</v>
      </c>
      <c r="D195" s="98" t="s">
        <v>118</v>
      </c>
      <c r="E195" s="98" t="s">
        <v>305</v>
      </c>
      <c r="F195" s="85" t="s">
        <v>709</v>
      </c>
      <c r="G195" s="98" t="s">
        <v>149</v>
      </c>
      <c r="H195" s="85" t="s">
        <v>534</v>
      </c>
      <c r="I195" s="85" t="s">
        <v>158</v>
      </c>
      <c r="J195" s="85"/>
      <c r="K195" s="95">
        <v>2.8099999999999996</v>
      </c>
      <c r="L195" s="98" t="s">
        <v>162</v>
      </c>
      <c r="M195" s="99">
        <v>2.4E-2</v>
      </c>
      <c r="N195" s="99">
        <v>2.0499999999999997E-2</v>
      </c>
      <c r="O195" s="95">
        <v>65964.75999999998</v>
      </c>
      <c r="P195" s="97">
        <v>101.19</v>
      </c>
      <c r="Q195" s="85"/>
      <c r="R195" s="95">
        <v>66.749740000000003</v>
      </c>
      <c r="S195" s="96">
        <v>1.6309160846328388E-4</v>
      </c>
      <c r="T195" s="96">
        <f t="shared" si="3"/>
        <v>1.3313153176479245E-3</v>
      </c>
      <c r="U195" s="96">
        <f>R195/'סכום נכסי הקרן'!$C$42</f>
        <v>3.1929560396942827E-4</v>
      </c>
    </row>
    <row r="196" spans="2:21" s="137" customFormat="1">
      <c r="B196" s="88" t="s">
        <v>750</v>
      </c>
      <c r="C196" s="85" t="s">
        <v>751</v>
      </c>
      <c r="D196" s="98" t="s">
        <v>118</v>
      </c>
      <c r="E196" s="98" t="s">
        <v>305</v>
      </c>
      <c r="F196" s="85" t="s">
        <v>752</v>
      </c>
      <c r="G196" s="98" t="s">
        <v>353</v>
      </c>
      <c r="H196" s="85" t="s">
        <v>534</v>
      </c>
      <c r="I196" s="85" t="s">
        <v>307</v>
      </c>
      <c r="J196" s="85"/>
      <c r="K196" s="95">
        <v>1.79</v>
      </c>
      <c r="L196" s="98" t="s">
        <v>162</v>
      </c>
      <c r="M196" s="99">
        <v>5.0999999999999997E-2</v>
      </c>
      <c r="N196" s="99">
        <v>2.64E-2</v>
      </c>
      <c r="O196" s="95">
        <v>309756.05</v>
      </c>
      <c r="P196" s="97">
        <v>104.4</v>
      </c>
      <c r="Q196" s="85"/>
      <c r="R196" s="95">
        <v>323.38529999999992</v>
      </c>
      <c r="S196" s="96">
        <v>3.8495749704840613E-4</v>
      </c>
      <c r="T196" s="96">
        <f t="shared" si="3"/>
        <v>6.4498798555944819E-3</v>
      </c>
      <c r="U196" s="96">
        <f>R196/'סכום נכסי הקרן'!$C$42</f>
        <v>1.5469049718895493E-3</v>
      </c>
    </row>
    <row r="197" spans="2:21" s="137" customFormat="1">
      <c r="B197" s="88" t="s">
        <v>753</v>
      </c>
      <c r="C197" s="85" t="s">
        <v>754</v>
      </c>
      <c r="D197" s="98" t="s">
        <v>118</v>
      </c>
      <c r="E197" s="98" t="s">
        <v>305</v>
      </c>
      <c r="F197" s="85" t="s">
        <v>755</v>
      </c>
      <c r="G197" s="98" t="s">
        <v>353</v>
      </c>
      <c r="H197" s="85" t="s">
        <v>534</v>
      </c>
      <c r="I197" s="85" t="s">
        <v>307</v>
      </c>
      <c r="J197" s="85"/>
      <c r="K197" s="95">
        <v>3.7699999999999991</v>
      </c>
      <c r="L197" s="98" t="s">
        <v>162</v>
      </c>
      <c r="M197" s="99">
        <v>3.3500000000000002E-2</v>
      </c>
      <c r="N197" s="99">
        <v>2.2499999999999996E-2</v>
      </c>
      <c r="O197" s="95">
        <f>90130-11266.25</f>
        <v>78863.75</v>
      </c>
      <c r="P197" s="97">
        <v>104.17</v>
      </c>
      <c r="Q197" s="85">
        <v>12.78</v>
      </c>
      <c r="R197" s="95">
        <v>95.398099999999999</v>
      </c>
      <c r="S197" s="96">
        <v>1.8737251060453982E-4</v>
      </c>
      <c r="T197" s="96">
        <f t="shared" si="3"/>
        <v>1.9027033184624909E-3</v>
      </c>
      <c r="U197" s="96">
        <f>R197/'סכום נכסי הקרן'!$C$42</f>
        <v>4.5633427122017124E-4</v>
      </c>
    </row>
    <row r="198" spans="2:21" s="137" customFormat="1">
      <c r="B198" s="88" t="s">
        <v>756</v>
      </c>
      <c r="C198" s="85" t="s">
        <v>757</v>
      </c>
      <c r="D198" s="98" t="s">
        <v>118</v>
      </c>
      <c r="E198" s="98" t="s">
        <v>305</v>
      </c>
      <c r="F198" s="85" t="s">
        <v>758</v>
      </c>
      <c r="G198" s="98" t="s">
        <v>353</v>
      </c>
      <c r="H198" s="85" t="s">
        <v>572</v>
      </c>
      <c r="I198" s="85" t="s">
        <v>158</v>
      </c>
      <c r="J198" s="85"/>
      <c r="K198" s="95">
        <v>4.6100000000000003</v>
      </c>
      <c r="L198" s="98" t="s">
        <v>162</v>
      </c>
      <c r="M198" s="99">
        <v>3.95E-2</v>
      </c>
      <c r="N198" s="99">
        <v>4.2200000000000008E-2</v>
      </c>
      <c r="O198" s="95">
        <v>113003.57</v>
      </c>
      <c r="P198" s="97">
        <v>99.27</v>
      </c>
      <c r="Q198" s="85"/>
      <c r="R198" s="95">
        <v>112.17863999999999</v>
      </c>
      <c r="S198" s="96">
        <v>1.8517726578427571E-4</v>
      </c>
      <c r="T198" s="96">
        <f t="shared" si="3"/>
        <v>2.2373891155967373E-3</v>
      </c>
      <c r="U198" s="96">
        <f>R198/'סכום נכסי הקרן'!$C$42</f>
        <v>5.3660353750095593E-4</v>
      </c>
    </row>
    <row r="199" spans="2:21" s="137" customFormat="1">
      <c r="B199" s="88" t="s">
        <v>759</v>
      </c>
      <c r="C199" s="85" t="s">
        <v>760</v>
      </c>
      <c r="D199" s="98" t="s">
        <v>118</v>
      </c>
      <c r="E199" s="98" t="s">
        <v>305</v>
      </c>
      <c r="F199" s="85" t="s">
        <v>758</v>
      </c>
      <c r="G199" s="98" t="s">
        <v>353</v>
      </c>
      <c r="H199" s="85" t="s">
        <v>572</v>
      </c>
      <c r="I199" s="85" t="s">
        <v>158</v>
      </c>
      <c r="J199" s="85"/>
      <c r="K199" s="95">
        <v>5.2200000000000006</v>
      </c>
      <c r="L199" s="98" t="s">
        <v>162</v>
      </c>
      <c r="M199" s="99">
        <v>0.03</v>
      </c>
      <c r="N199" s="99">
        <v>4.2999999999999997E-2</v>
      </c>
      <c r="O199" s="95">
        <v>191356.99999999997</v>
      </c>
      <c r="P199" s="97">
        <v>94.19</v>
      </c>
      <c r="Q199" s="85"/>
      <c r="R199" s="95">
        <v>180.23915999999997</v>
      </c>
      <c r="S199" s="96">
        <v>2.5506138710464261E-4</v>
      </c>
      <c r="T199" s="96">
        <f t="shared" si="3"/>
        <v>3.5948477784032572E-3</v>
      </c>
      <c r="U199" s="96">
        <f>R199/'סכום נכסי הקרן'!$C$42</f>
        <v>8.6216922269873118E-4</v>
      </c>
    </row>
    <row r="200" spans="2:21" s="137" customFormat="1">
      <c r="B200" s="88" t="s">
        <v>761</v>
      </c>
      <c r="C200" s="85" t="s">
        <v>762</v>
      </c>
      <c r="D200" s="98" t="s">
        <v>118</v>
      </c>
      <c r="E200" s="98" t="s">
        <v>305</v>
      </c>
      <c r="F200" s="85" t="s">
        <v>571</v>
      </c>
      <c r="G200" s="98" t="s">
        <v>353</v>
      </c>
      <c r="H200" s="85" t="s">
        <v>572</v>
      </c>
      <c r="I200" s="85" t="s">
        <v>158</v>
      </c>
      <c r="J200" s="85"/>
      <c r="K200" s="95">
        <v>1.67</v>
      </c>
      <c r="L200" s="98" t="s">
        <v>162</v>
      </c>
      <c r="M200" s="99">
        <v>0.05</v>
      </c>
      <c r="N200" s="99">
        <v>1.95E-2</v>
      </c>
      <c r="O200" s="95">
        <v>0.2</v>
      </c>
      <c r="P200" s="97">
        <v>106.35</v>
      </c>
      <c r="Q200" s="85"/>
      <c r="R200" s="95">
        <v>2.1999999999999998E-4</v>
      </c>
      <c r="S200" s="96">
        <v>1.2121212121212122E-9</v>
      </c>
      <c r="T200" s="96">
        <f t="shared" si="3"/>
        <v>4.3878728199172511E-9</v>
      </c>
      <c r="U200" s="96">
        <f>R200/'סכום נכסי הקרן'!$C$42</f>
        <v>1.0523641421415906E-9</v>
      </c>
    </row>
    <row r="201" spans="2:21" s="137" customFormat="1">
      <c r="B201" s="88" t="s">
        <v>763</v>
      </c>
      <c r="C201" s="85" t="s">
        <v>764</v>
      </c>
      <c r="D201" s="98" t="s">
        <v>118</v>
      </c>
      <c r="E201" s="98" t="s">
        <v>305</v>
      </c>
      <c r="F201" s="85" t="s">
        <v>571</v>
      </c>
      <c r="G201" s="98" t="s">
        <v>353</v>
      </c>
      <c r="H201" s="85" t="s">
        <v>572</v>
      </c>
      <c r="I201" s="85" t="s">
        <v>158</v>
      </c>
      <c r="J201" s="85"/>
      <c r="K201" s="95">
        <v>2.5500000000000003</v>
      </c>
      <c r="L201" s="98" t="s">
        <v>162</v>
      </c>
      <c r="M201" s="99">
        <v>4.6500000000000007E-2</v>
      </c>
      <c r="N201" s="99">
        <v>2.5399999999999999E-2</v>
      </c>
      <c r="O201" s="95">
        <v>33.200000000000003</v>
      </c>
      <c r="P201" s="97">
        <v>106.61</v>
      </c>
      <c r="Q201" s="85"/>
      <c r="R201" s="95">
        <v>3.5389999999999991E-2</v>
      </c>
      <c r="S201" s="96">
        <v>2.0622287846924883E-7</v>
      </c>
      <c r="T201" s="96">
        <f t="shared" si="3"/>
        <v>7.0584917771305231E-7</v>
      </c>
      <c r="U201" s="96">
        <f>R201/'סכום נכסי הקרן'!$C$42</f>
        <v>1.6928712268359491E-7</v>
      </c>
    </row>
    <row r="202" spans="2:21" s="137" customFormat="1">
      <c r="B202" s="88" t="s">
        <v>765</v>
      </c>
      <c r="C202" s="85" t="s">
        <v>766</v>
      </c>
      <c r="D202" s="98" t="s">
        <v>118</v>
      </c>
      <c r="E202" s="98" t="s">
        <v>305</v>
      </c>
      <c r="F202" s="85" t="s">
        <v>767</v>
      </c>
      <c r="G202" s="98" t="s">
        <v>768</v>
      </c>
      <c r="H202" s="85" t="s">
        <v>597</v>
      </c>
      <c r="I202" s="85" t="s">
        <v>158</v>
      </c>
      <c r="J202" s="85"/>
      <c r="K202" s="95">
        <v>5.7700000000000005</v>
      </c>
      <c r="L202" s="98" t="s">
        <v>162</v>
      </c>
      <c r="M202" s="99">
        <v>4.4500000000000005E-2</v>
      </c>
      <c r="N202" s="99">
        <v>3.7100000000000001E-2</v>
      </c>
      <c r="O202" s="95">
        <v>64654.999999999993</v>
      </c>
      <c r="P202" s="97">
        <v>105.57</v>
      </c>
      <c r="Q202" s="85"/>
      <c r="R202" s="95">
        <v>68.25627999999999</v>
      </c>
      <c r="S202" s="96">
        <v>2.0937499999999998E-4</v>
      </c>
      <c r="T202" s="96">
        <f t="shared" si="3"/>
        <v>1.3613630718211885E-3</v>
      </c>
      <c r="U202" s="96">
        <f>R202/'סכום נכסי הקרן'!$C$42</f>
        <v>3.2650209794534633E-4</v>
      </c>
    </row>
    <row r="203" spans="2:21" s="137" customFormat="1">
      <c r="B203" s="88" t="s">
        <v>769</v>
      </c>
      <c r="C203" s="85" t="s">
        <v>770</v>
      </c>
      <c r="D203" s="98" t="s">
        <v>118</v>
      </c>
      <c r="E203" s="98" t="s">
        <v>305</v>
      </c>
      <c r="F203" s="85" t="s">
        <v>600</v>
      </c>
      <c r="G203" s="98" t="s">
        <v>601</v>
      </c>
      <c r="H203" s="85" t="s">
        <v>597</v>
      </c>
      <c r="I203" s="85" t="s">
        <v>158</v>
      </c>
      <c r="J203" s="85"/>
      <c r="K203" s="95">
        <v>1.5799999999999994</v>
      </c>
      <c r="L203" s="98" t="s">
        <v>162</v>
      </c>
      <c r="M203" s="99">
        <v>3.3000000000000002E-2</v>
      </c>
      <c r="N203" s="99">
        <v>2.3899999999999998E-2</v>
      </c>
      <c r="O203" s="95">
        <v>47889.419999999991</v>
      </c>
      <c r="P203" s="97">
        <v>101.86</v>
      </c>
      <c r="Q203" s="85"/>
      <c r="R203" s="95">
        <v>48.780160000000002</v>
      </c>
      <c r="S203" s="96">
        <v>9.6994159750704188E-5</v>
      </c>
      <c r="T203" s="96">
        <f t="shared" si="3"/>
        <v>9.7291426461461241E-4</v>
      </c>
      <c r="U203" s="96">
        <f>R203/'סכום נכסי הקרן'!$C$42</f>
        <v>2.3333859650877061E-4</v>
      </c>
    </row>
    <row r="204" spans="2:21" s="137" customFormat="1">
      <c r="B204" s="88" t="s">
        <v>771</v>
      </c>
      <c r="C204" s="85" t="s">
        <v>772</v>
      </c>
      <c r="D204" s="98" t="s">
        <v>118</v>
      </c>
      <c r="E204" s="98" t="s">
        <v>305</v>
      </c>
      <c r="F204" s="85" t="s">
        <v>607</v>
      </c>
      <c r="G204" s="98" t="s">
        <v>444</v>
      </c>
      <c r="H204" s="85" t="s">
        <v>597</v>
      </c>
      <c r="I204" s="85" t="s">
        <v>307</v>
      </c>
      <c r="J204" s="85"/>
      <c r="K204" s="95">
        <v>1.6900000000000002</v>
      </c>
      <c r="L204" s="98" t="s">
        <v>162</v>
      </c>
      <c r="M204" s="99">
        <v>0.06</v>
      </c>
      <c r="N204" s="99">
        <v>1.7600000000000001E-2</v>
      </c>
      <c r="O204" s="95">
        <v>111753.59999999998</v>
      </c>
      <c r="P204" s="97">
        <v>108.72</v>
      </c>
      <c r="Q204" s="85"/>
      <c r="R204" s="95">
        <v>121.49850999999998</v>
      </c>
      <c r="S204" s="96">
        <v>2.0426611623276027E-4</v>
      </c>
      <c r="T204" s="96">
        <f t="shared" si="3"/>
        <v>2.4232727713156561E-3</v>
      </c>
      <c r="U204" s="96">
        <f>R204/'סכום נכסי הקרן'!$C$42</f>
        <v>5.811848874892339E-4</v>
      </c>
    </row>
    <row r="205" spans="2:21" s="137" customFormat="1">
      <c r="B205" s="88" t="s">
        <v>773</v>
      </c>
      <c r="C205" s="85" t="s">
        <v>774</v>
      </c>
      <c r="D205" s="98" t="s">
        <v>118</v>
      </c>
      <c r="E205" s="98" t="s">
        <v>305</v>
      </c>
      <c r="F205" s="85" t="s">
        <v>607</v>
      </c>
      <c r="G205" s="98" t="s">
        <v>444</v>
      </c>
      <c r="H205" s="85" t="s">
        <v>597</v>
      </c>
      <c r="I205" s="85" t="s">
        <v>307</v>
      </c>
      <c r="J205" s="85"/>
      <c r="K205" s="95">
        <v>3.65</v>
      </c>
      <c r="L205" s="98" t="s">
        <v>162</v>
      </c>
      <c r="M205" s="99">
        <v>5.9000000000000004E-2</v>
      </c>
      <c r="N205" s="99">
        <v>2.7200000000000002E-2</v>
      </c>
      <c r="O205" s="95">
        <v>1803.9999999999998</v>
      </c>
      <c r="P205" s="97">
        <v>113.55</v>
      </c>
      <c r="Q205" s="85"/>
      <c r="R205" s="95">
        <v>2.0484399999999998</v>
      </c>
      <c r="S205" s="96">
        <v>2.0284500235565564E-6</v>
      </c>
      <c r="T205" s="96">
        <f t="shared" si="3"/>
        <v>4.0855882723778608E-5</v>
      </c>
      <c r="U205" s="96">
        <f>R205/'סכום נכסי הקרן'!$C$42</f>
        <v>9.7986581969478166E-6</v>
      </c>
    </row>
    <row r="206" spans="2:21" s="137" customFormat="1">
      <c r="B206" s="88" t="s">
        <v>775</v>
      </c>
      <c r="C206" s="85" t="s">
        <v>776</v>
      </c>
      <c r="D206" s="98" t="s">
        <v>118</v>
      </c>
      <c r="E206" s="98" t="s">
        <v>305</v>
      </c>
      <c r="F206" s="85" t="s">
        <v>610</v>
      </c>
      <c r="G206" s="98" t="s">
        <v>353</v>
      </c>
      <c r="H206" s="85" t="s">
        <v>597</v>
      </c>
      <c r="I206" s="85" t="s">
        <v>307</v>
      </c>
      <c r="J206" s="85"/>
      <c r="K206" s="95">
        <v>4.12</v>
      </c>
      <c r="L206" s="98" t="s">
        <v>162</v>
      </c>
      <c r="M206" s="99">
        <v>6.9000000000000006E-2</v>
      </c>
      <c r="N206" s="99">
        <v>8.0600000000000005E-2</v>
      </c>
      <c r="O206" s="95">
        <v>11967.999999999998</v>
      </c>
      <c r="P206" s="97">
        <v>98.51</v>
      </c>
      <c r="Q206" s="85"/>
      <c r="R206" s="95">
        <v>11.789679999999999</v>
      </c>
      <c r="S206" s="96">
        <v>1.8090546449987224E-5</v>
      </c>
      <c r="T206" s="96">
        <f t="shared" si="3"/>
        <v>2.3514371103419099E-4</v>
      </c>
      <c r="U206" s="96">
        <f>R206/'סכום נכסי הקרן'!$C$42</f>
        <v>5.6395620360563027E-5</v>
      </c>
    </row>
    <row r="207" spans="2:21" s="137" customFormat="1">
      <c r="B207" s="88" t="s">
        <v>777</v>
      </c>
      <c r="C207" s="85" t="s">
        <v>778</v>
      </c>
      <c r="D207" s="98" t="s">
        <v>118</v>
      </c>
      <c r="E207" s="98" t="s">
        <v>305</v>
      </c>
      <c r="F207" s="85" t="s">
        <v>779</v>
      </c>
      <c r="G207" s="98" t="s">
        <v>353</v>
      </c>
      <c r="H207" s="85" t="s">
        <v>597</v>
      </c>
      <c r="I207" s="85" t="s">
        <v>158</v>
      </c>
      <c r="J207" s="85"/>
      <c r="K207" s="95">
        <v>4.04</v>
      </c>
      <c r="L207" s="98" t="s">
        <v>162</v>
      </c>
      <c r="M207" s="99">
        <v>4.5999999999999999E-2</v>
      </c>
      <c r="N207" s="99">
        <v>5.3000000000000005E-2</v>
      </c>
      <c r="O207" s="95">
        <v>87496.339999999982</v>
      </c>
      <c r="P207" s="97">
        <v>97.5</v>
      </c>
      <c r="Q207" s="85"/>
      <c r="R207" s="95">
        <v>85.308929999999975</v>
      </c>
      <c r="S207" s="96">
        <v>3.7391598290598284E-4</v>
      </c>
      <c r="T207" s="96">
        <f t="shared" ref="T207:T211" si="4">R207/$R$11</f>
        <v>1.7014760692873787E-3</v>
      </c>
      <c r="U207" s="96">
        <f>R207/'סכום נכסי הקרן'!$C$42</f>
        <v>4.0807299516575898E-4</v>
      </c>
    </row>
    <row r="208" spans="2:21" s="137" customFormat="1">
      <c r="B208" s="88" t="s">
        <v>780</v>
      </c>
      <c r="C208" s="85" t="s">
        <v>781</v>
      </c>
      <c r="D208" s="98" t="s">
        <v>118</v>
      </c>
      <c r="E208" s="98" t="s">
        <v>305</v>
      </c>
      <c r="F208" s="85" t="s">
        <v>622</v>
      </c>
      <c r="G208" s="98" t="s">
        <v>601</v>
      </c>
      <c r="H208" s="85" t="s">
        <v>623</v>
      </c>
      <c r="I208" s="85" t="s">
        <v>158</v>
      </c>
      <c r="J208" s="85"/>
      <c r="K208" s="95">
        <v>1.38</v>
      </c>
      <c r="L208" s="98" t="s">
        <v>162</v>
      </c>
      <c r="M208" s="99">
        <v>4.2999999999999997E-2</v>
      </c>
      <c r="N208" s="99">
        <v>3.15E-2</v>
      </c>
      <c r="O208" s="95">
        <v>87793.299999999988</v>
      </c>
      <c r="P208" s="97">
        <v>101.96</v>
      </c>
      <c r="Q208" s="85"/>
      <c r="R208" s="95">
        <v>89.514049999999983</v>
      </c>
      <c r="S208" s="96">
        <v>2.4324390310560056E-4</v>
      </c>
      <c r="T208" s="96">
        <f t="shared" si="4"/>
        <v>1.7853466681623355E-3</v>
      </c>
      <c r="U208" s="96">
        <f>R208/'סכום נכסי הקרן'!$C$42</f>
        <v>4.2818807471758832E-4</v>
      </c>
    </row>
    <row r="209" spans="2:21" s="137" customFormat="1">
      <c r="B209" s="88" t="s">
        <v>782</v>
      </c>
      <c r="C209" s="85" t="s">
        <v>783</v>
      </c>
      <c r="D209" s="98" t="s">
        <v>118</v>
      </c>
      <c r="E209" s="98" t="s">
        <v>305</v>
      </c>
      <c r="F209" s="85" t="s">
        <v>622</v>
      </c>
      <c r="G209" s="98" t="s">
        <v>601</v>
      </c>
      <c r="H209" s="85" t="s">
        <v>623</v>
      </c>
      <c r="I209" s="85" t="s">
        <v>158</v>
      </c>
      <c r="J209" s="85"/>
      <c r="K209" s="95">
        <v>2.06</v>
      </c>
      <c r="L209" s="98" t="s">
        <v>162</v>
      </c>
      <c r="M209" s="99">
        <v>4.2500000000000003E-2</v>
      </c>
      <c r="N209" s="99">
        <v>3.78E-2</v>
      </c>
      <c r="O209" s="95">
        <v>58838.109999999993</v>
      </c>
      <c r="P209" s="97">
        <v>102.73</v>
      </c>
      <c r="Q209" s="85"/>
      <c r="R209" s="95">
        <v>60.444389999999991</v>
      </c>
      <c r="S209" s="96">
        <v>1.197691621548231E-4</v>
      </c>
      <c r="T209" s="96">
        <f t="shared" si="4"/>
        <v>1.2055558908976277E-3</v>
      </c>
      <c r="U209" s="96">
        <f>R209/'סכום נכסי הקרן'!$C$42</f>
        <v>2.8913413013464424E-4</v>
      </c>
    </row>
    <row r="210" spans="2:21" s="137" customFormat="1">
      <c r="B210" s="88" t="s">
        <v>784</v>
      </c>
      <c r="C210" s="85" t="s">
        <v>785</v>
      </c>
      <c r="D210" s="98" t="s">
        <v>118</v>
      </c>
      <c r="E210" s="98" t="s">
        <v>305</v>
      </c>
      <c r="F210" s="85" t="s">
        <v>622</v>
      </c>
      <c r="G210" s="98" t="s">
        <v>601</v>
      </c>
      <c r="H210" s="85" t="s">
        <v>623</v>
      </c>
      <c r="I210" s="85" t="s">
        <v>158</v>
      </c>
      <c r="J210" s="85"/>
      <c r="K210" s="95">
        <v>1.96</v>
      </c>
      <c r="L210" s="98" t="s">
        <v>162</v>
      </c>
      <c r="M210" s="99">
        <v>3.7000000000000005E-2</v>
      </c>
      <c r="N210" s="99">
        <v>0.04</v>
      </c>
      <c r="O210" s="95">
        <v>142229.99999999997</v>
      </c>
      <c r="P210" s="97">
        <v>100.99</v>
      </c>
      <c r="Q210" s="85"/>
      <c r="R210" s="95">
        <v>143.63807999999995</v>
      </c>
      <c r="S210" s="96">
        <v>4.3136842785269772E-4</v>
      </c>
      <c r="T210" s="96">
        <f t="shared" si="4"/>
        <v>2.8648437597140891E-3</v>
      </c>
      <c r="U210" s="96">
        <f>R210/'סכום נכסי הקרן'!$C$42</f>
        <v>6.8708893108211406E-4</v>
      </c>
    </row>
    <row r="211" spans="2:21" s="137" customFormat="1">
      <c r="B211" s="88" t="s">
        <v>786</v>
      </c>
      <c r="C211" s="85" t="s">
        <v>787</v>
      </c>
      <c r="D211" s="98" t="s">
        <v>118</v>
      </c>
      <c r="E211" s="98" t="s">
        <v>305</v>
      </c>
      <c r="F211" s="85" t="s">
        <v>788</v>
      </c>
      <c r="G211" s="98" t="s">
        <v>601</v>
      </c>
      <c r="H211" s="85" t="s">
        <v>623</v>
      </c>
      <c r="I211" s="85" t="s">
        <v>307</v>
      </c>
      <c r="J211" s="85"/>
      <c r="K211" s="95">
        <v>0.95</v>
      </c>
      <c r="L211" s="98" t="s">
        <v>162</v>
      </c>
      <c r="M211" s="99">
        <v>4.7E-2</v>
      </c>
      <c r="N211" s="99">
        <v>2.3600000000000003E-2</v>
      </c>
      <c r="O211" s="95">
        <v>21999.999999999996</v>
      </c>
      <c r="P211" s="97">
        <v>103.76</v>
      </c>
      <c r="Q211" s="85"/>
      <c r="R211" s="95">
        <v>22.827199999999998</v>
      </c>
      <c r="S211" s="96">
        <v>1.9973852411388725E-4</v>
      </c>
      <c r="T211" s="96">
        <f t="shared" si="4"/>
        <v>4.5528568379461402E-4</v>
      </c>
      <c r="U211" s="96">
        <f>R211/'סכום נכסי הקרן'!$C$42</f>
        <v>1.0919330338861143E-4</v>
      </c>
    </row>
    <row r="212" spans="2:21" s="137" customFormat="1">
      <c r="B212" s="84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95"/>
      <c r="P212" s="97"/>
      <c r="Q212" s="85"/>
      <c r="R212" s="85"/>
      <c r="S212" s="85"/>
      <c r="T212" s="96"/>
      <c r="U212" s="85"/>
    </row>
    <row r="213" spans="2:21" s="137" customFormat="1">
      <c r="B213" s="103" t="s">
        <v>46</v>
      </c>
      <c r="C213" s="83"/>
      <c r="D213" s="83"/>
      <c r="E213" s="83"/>
      <c r="F213" s="83"/>
      <c r="G213" s="83"/>
      <c r="H213" s="83"/>
      <c r="I213" s="83"/>
      <c r="J213" s="83"/>
      <c r="K213" s="92">
        <v>4.5632515632711881</v>
      </c>
      <c r="L213" s="83"/>
      <c r="M213" s="83"/>
      <c r="N213" s="105">
        <v>5.1309859001289884E-2</v>
      </c>
      <c r="O213" s="92"/>
      <c r="P213" s="94"/>
      <c r="Q213" s="83"/>
      <c r="R213" s="92">
        <f>SUM(R214:R216)</f>
        <v>1333.3738999999998</v>
      </c>
      <c r="S213" s="83"/>
      <c r="T213" s="93">
        <f t="shared" ref="T213:T216" si="5">R213/$R$11</f>
        <v>2.6593977702713923E-2</v>
      </c>
      <c r="U213" s="93">
        <f>R213/'סכום נכסי הקרן'!$C$42</f>
        <v>6.3781585473976672E-3</v>
      </c>
    </row>
    <row r="214" spans="2:21" s="137" customFormat="1">
      <c r="B214" s="88" t="s">
        <v>789</v>
      </c>
      <c r="C214" s="85" t="s">
        <v>790</v>
      </c>
      <c r="D214" s="98" t="s">
        <v>118</v>
      </c>
      <c r="E214" s="98" t="s">
        <v>305</v>
      </c>
      <c r="F214" s="85" t="s">
        <v>791</v>
      </c>
      <c r="G214" s="98" t="s">
        <v>768</v>
      </c>
      <c r="H214" s="85" t="s">
        <v>365</v>
      </c>
      <c r="I214" s="85" t="s">
        <v>307</v>
      </c>
      <c r="J214" s="85"/>
      <c r="K214" s="95">
        <v>3.6100000000000008</v>
      </c>
      <c r="L214" s="98" t="s">
        <v>162</v>
      </c>
      <c r="M214" s="99">
        <v>3.49E-2</v>
      </c>
      <c r="N214" s="99">
        <v>4.4400000000000002E-2</v>
      </c>
      <c r="O214" s="95">
        <v>622311.31999999983</v>
      </c>
      <c r="P214" s="97">
        <v>98.39</v>
      </c>
      <c r="Q214" s="85"/>
      <c r="R214" s="95">
        <v>612.29207999999983</v>
      </c>
      <c r="S214" s="96">
        <v>2.8508580013711853E-4</v>
      </c>
      <c r="T214" s="96">
        <f t="shared" si="5"/>
        <v>1.2212089889466359E-2</v>
      </c>
      <c r="U214" s="96">
        <f>R214/'סכום נכסי הקרן'!$C$42</f>
        <v>2.9288828614058636E-3</v>
      </c>
    </row>
    <row r="215" spans="2:21" s="137" customFormat="1">
      <c r="B215" s="88" t="s">
        <v>792</v>
      </c>
      <c r="C215" s="85" t="s">
        <v>793</v>
      </c>
      <c r="D215" s="98" t="s">
        <v>118</v>
      </c>
      <c r="E215" s="98" t="s">
        <v>305</v>
      </c>
      <c r="F215" s="85" t="s">
        <v>794</v>
      </c>
      <c r="G215" s="98" t="s">
        <v>768</v>
      </c>
      <c r="H215" s="85" t="s">
        <v>534</v>
      </c>
      <c r="I215" s="85" t="s">
        <v>158</v>
      </c>
      <c r="J215" s="85"/>
      <c r="K215" s="95">
        <v>5.63</v>
      </c>
      <c r="L215" s="98" t="s">
        <v>162</v>
      </c>
      <c r="M215" s="99">
        <v>4.6900000000000004E-2</v>
      </c>
      <c r="N215" s="99">
        <v>5.8400000000000001E-2</v>
      </c>
      <c r="O215" s="95">
        <v>652898.16999999993</v>
      </c>
      <c r="P215" s="97">
        <v>98.7</v>
      </c>
      <c r="Q215" s="85"/>
      <c r="R215" s="95">
        <v>644.41052999999988</v>
      </c>
      <c r="S215" s="96">
        <v>3.4840375140118905E-4</v>
      </c>
      <c r="T215" s="96">
        <f t="shared" si="5"/>
        <v>1.2852688406615773E-2</v>
      </c>
      <c r="U215" s="96">
        <f>R215/'סכום נכסי הקרן'!$C$42</f>
        <v>3.0825206117748071E-3</v>
      </c>
    </row>
    <row r="216" spans="2:21" s="137" customFormat="1">
      <c r="B216" s="88" t="s">
        <v>795</v>
      </c>
      <c r="C216" s="85" t="s">
        <v>796</v>
      </c>
      <c r="D216" s="98" t="s">
        <v>118</v>
      </c>
      <c r="E216" s="98" t="s">
        <v>305</v>
      </c>
      <c r="F216" s="85" t="s">
        <v>607</v>
      </c>
      <c r="G216" s="98" t="s">
        <v>444</v>
      </c>
      <c r="H216" s="85" t="s">
        <v>597</v>
      </c>
      <c r="I216" s="85" t="s">
        <v>307</v>
      </c>
      <c r="J216" s="85"/>
      <c r="K216" s="95">
        <v>3.2100000000000004</v>
      </c>
      <c r="L216" s="98" t="s">
        <v>162</v>
      </c>
      <c r="M216" s="99">
        <v>6.7000000000000004E-2</v>
      </c>
      <c r="N216" s="99">
        <v>4.6900000000000004E-2</v>
      </c>
      <c r="O216" s="95">
        <v>76009.999999999985</v>
      </c>
      <c r="P216" s="97">
        <v>100.87</v>
      </c>
      <c r="Q216" s="85"/>
      <c r="R216" s="95">
        <v>76.671289999999985</v>
      </c>
      <c r="S216" s="96">
        <v>6.3115660007456614E-5</v>
      </c>
      <c r="T216" s="96">
        <f t="shared" si="5"/>
        <v>1.5291994066317879E-3</v>
      </c>
      <c r="U216" s="96">
        <f>R216/'סכום נכסי הקרן'!$C$42</f>
        <v>3.6675507421699591E-4</v>
      </c>
    </row>
    <row r="217" spans="2:21" s="137" customFormat="1">
      <c r="B217" s="139"/>
    </row>
    <row r="218" spans="2:21" s="137" customFormat="1">
      <c r="B218" s="139"/>
    </row>
    <row r="219" spans="2:21" s="137" customFormat="1">
      <c r="B219" s="139"/>
    </row>
    <row r="220" spans="2:21" s="137" customFormat="1">
      <c r="B220" s="140" t="s">
        <v>246</v>
      </c>
      <c r="C220" s="141"/>
      <c r="D220" s="141"/>
      <c r="E220" s="141"/>
      <c r="F220" s="141"/>
      <c r="G220" s="141"/>
      <c r="H220" s="141"/>
      <c r="I220" s="141"/>
      <c r="J220" s="141"/>
      <c r="K220" s="141"/>
    </row>
    <row r="221" spans="2:21" s="137" customFormat="1">
      <c r="B221" s="140" t="s">
        <v>110</v>
      </c>
      <c r="C221" s="141"/>
      <c r="D221" s="141"/>
      <c r="E221" s="141"/>
      <c r="F221" s="141"/>
      <c r="G221" s="141"/>
      <c r="H221" s="141"/>
      <c r="I221" s="141"/>
      <c r="J221" s="141"/>
      <c r="K221" s="141"/>
    </row>
    <row r="222" spans="2:21" s="137" customFormat="1">
      <c r="B222" s="140" t="s">
        <v>229</v>
      </c>
      <c r="C222" s="141"/>
      <c r="D222" s="141"/>
      <c r="E222" s="141"/>
      <c r="F222" s="141"/>
      <c r="G222" s="141"/>
      <c r="H222" s="141"/>
      <c r="I222" s="141"/>
      <c r="J222" s="141"/>
      <c r="K222" s="141"/>
    </row>
    <row r="223" spans="2:21" s="137" customFormat="1">
      <c r="B223" s="140" t="s">
        <v>237</v>
      </c>
      <c r="C223" s="141"/>
      <c r="D223" s="141"/>
      <c r="E223" s="141"/>
      <c r="F223" s="141"/>
      <c r="G223" s="141"/>
      <c r="H223" s="141"/>
      <c r="I223" s="141"/>
      <c r="J223" s="141"/>
      <c r="K223" s="141"/>
    </row>
    <row r="224" spans="2:21" s="137" customFormat="1">
      <c r="B224" s="210" t="s">
        <v>242</v>
      </c>
      <c r="C224" s="210"/>
      <c r="D224" s="210"/>
      <c r="E224" s="210"/>
      <c r="F224" s="210"/>
      <c r="G224" s="210"/>
      <c r="H224" s="210"/>
      <c r="I224" s="210"/>
      <c r="J224" s="210"/>
      <c r="K224" s="210"/>
    </row>
    <row r="225" spans="2:2" s="137" customFormat="1">
      <c r="B225" s="139"/>
    </row>
    <row r="226" spans="2:2" s="137" customFormat="1">
      <c r="B226" s="139"/>
    </row>
    <row r="227" spans="2:2" s="137" customFormat="1">
      <c r="B227" s="139"/>
    </row>
    <row r="228" spans="2:2" s="137" customFormat="1">
      <c r="B228" s="139"/>
    </row>
    <row r="229" spans="2:2" s="137" customFormat="1">
      <c r="B229" s="139"/>
    </row>
    <row r="230" spans="2:2" s="137" customFormat="1">
      <c r="B230" s="139"/>
    </row>
    <row r="231" spans="2:2" s="137" customFormat="1">
      <c r="B231" s="139"/>
    </row>
    <row r="232" spans="2:2" s="137" customFormat="1">
      <c r="B232" s="139"/>
    </row>
    <row r="233" spans="2:2" s="137" customFormat="1">
      <c r="B233" s="139"/>
    </row>
    <row r="234" spans="2:2" s="137" customFormat="1">
      <c r="B234" s="139"/>
    </row>
    <row r="235" spans="2:2" s="137" customFormat="1">
      <c r="B235" s="139"/>
    </row>
    <row r="236" spans="2:2" s="137" customFormat="1">
      <c r="B236" s="139"/>
    </row>
    <row r="237" spans="2:2" s="137" customFormat="1">
      <c r="B237" s="139"/>
    </row>
    <row r="238" spans="2:2" s="137" customFormat="1">
      <c r="B238" s="139"/>
    </row>
    <row r="239" spans="2:2" s="137" customFormat="1">
      <c r="B239" s="139"/>
    </row>
    <row r="240" spans="2:2" s="137" customFormat="1">
      <c r="B240" s="139"/>
    </row>
    <row r="241" spans="2:2" s="137" customFormat="1">
      <c r="B241" s="139"/>
    </row>
    <row r="242" spans="2:2" s="137" customFormat="1">
      <c r="B242" s="139"/>
    </row>
    <row r="243" spans="2:2" s="137" customFormat="1">
      <c r="B243" s="139"/>
    </row>
    <row r="244" spans="2:2" s="137" customFormat="1">
      <c r="B244" s="139"/>
    </row>
    <row r="245" spans="2:2" s="137" customFormat="1">
      <c r="B245" s="139"/>
    </row>
    <row r="246" spans="2:2" s="137" customFormat="1">
      <c r="B246" s="139"/>
    </row>
    <row r="247" spans="2:2" s="137" customFormat="1">
      <c r="B247" s="139"/>
    </row>
    <row r="248" spans="2:2" s="137" customFormat="1">
      <c r="B248" s="139"/>
    </row>
    <row r="249" spans="2:2" s="137" customFormat="1">
      <c r="B249" s="139"/>
    </row>
    <row r="250" spans="2:2" s="137" customFormat="1">
      <c r="B250" s="139"/>
    </row>
    <row r="251" spans="2:2" s="137" customFormat="1">
      <c r="B251" s="139"/>
    </row>
    <row r="252" spans="2:2" s="137" customFormat="1">
      <c r="B252" s="139"/>
    </row>
    <row r="253" spans="2:2" s="137" customFormat="1">
      <c r="B253" s="139"/>
    </row>
    <row r="254" spans="2:2" s="137" customFormat="1">
      <c r="B254" s="139"/>
    </row>
    <row r="255" spans="2:2" s="137" customFormat="1">
      <c r="B255" s="139"/>
    </row>
    <row r="256" spans="2:2" s="137" customFormat="1">
      <c r="B256" s="139"/>
    </row>
    <row r="257" spans="2:2" s="137" customFormat="1">
      <c r="B257" s="139"/>
    </row>
    <row r="258" spans="2:2" s="137" customFormat="1">
      <c r="B258" s="139"/>
    </row>
    <row r="259" spans="2:2" s="137" customFormat="1">
      <c r="B259" s="139"/>
    </row>
    <row r="260" spans="2:2" s="137" customFormat="1">
      <c r="B260" s="139"/>
    </row>
    <row r="261" spans="2:2" s="137" customFormat="1">
      <c r="B261" s="139"/>
    </row>
    <row r="262" spans="2:2" s="137" customFormat="1">
      <c r="B262" s="139"/>
    </row>
    <row r="263" spans="2:2" s="137" customFormat="1">
      <c r="B263" s="139"/>
    </row>
    <row r="264" spans="2:2" s="137" customFormat="1">
      <c r="B264" s="139"/>
    </row>
    <row r="265" spans="2:2" s="137" customFormat="1">
      <c r="B265" s="139"/>
    </row>
    <row r="266" spans="2:2" s="137" customFormat="1">
      <c r="B266" s="139"/>
    </row>
    <row r="267" spans="2:2" s="137" customFormat="1">
      <c r="B267" s="139"/>
    </row>
    <row r="268" spans="2:2" s="137" customFormat="1">
      <c r="B268" s="139"/>
    </row>
    <row r="269" spans="2:2" s="137" customFormat="1">
      <c r="B269" s="139"/>
    </row>
    <row r="270" spans="2:2" s="137" customFormat="1">
      <c r="B270" s="139"/>
    </row>
    <row r="271" spans="2:2" s="137" customFormat="1">
      <c r="B271" s="139"/>
    </row>
    <row r="272" spans="2:2" s="137" customFormat="1">
      <c r="B272" s="139"/>
    </row>
    <row r="273" spans="2:2" s="137" customFormat="1">
      <c r="B273" s="139"/>
    </row>
    <row r="274" spans="2:2" s="137" customFormat="1">
      <c r="B274" s="139"/>
    </row>
    <row r="275" spans="2:2" s="137" customFormat="1">
      <c r="B275" s="139"/>
    </row>
    <row r="276" spans="2:2" s="137" customFormat="1">
      <c r="B276" s="139"/>
    </row>
    <row r="277" spans="2:2" s="137" customFormat="1">
      <c r="B277" s="139"/>
    </row>
    <row r="278" spans="2:2" s="137" customFormat="1">
      <c r="B278" s="139"/>
    </row>
    <row r="279" spans="2:2" s="137" customFormat="1">
      <c r="B279" s="139"/>
    </row>
    <row r="280" spans="2:2" s="137" customFormat="1">
      <c r="B280" s="139"/>
    </row>
    <row r="281" spans="2:2" s="137" customFormat="1">
      <c r="B281" s="139"/>
    </row>
    <row r="282" spans="2:2" s="137" customFormat="1">
      <c r="B282" s="139"/>
    </row>
    <row r="283" spans="2:2" s="137" customFormat="1">
      <c r="B283" s="139"/>
    </row>
    <row r="284" spans="2:2" s="137" customFormat="1">
      <c r="B284" s="139"/>
    </row>
    <row r="285" spans="2:2" s="137" customFormat="1">
      <c r="B285" s="139"/>
    </row>
    <row r="286" spans="2:2" s="137" customFormat="1">
      <c r="B286" s="139"/>
    </row>
    <row r="287" spans="2:2" s="137" customFormat="1">
      <c r="B287" s="139"/>
    </row>
    <row r="288" spans="2:2" s="137" customFormat="1">
      <c r="B288" s="139"/>
    </row>
    <row r="289" spans="2:2" s="137" customFormat="1">
      <c r="B289" s="139"/>
    </row>
    <row r="290" spans="2:2" s="137" customFormat="1">
      <c r="B290" s="139"/>
    </row>
    <row r="291" spans="2:2" s="137" customFormat="1">
      <c r="B291" s="139"/>
    </row>
    <row r="292" spans="2:2" s="137" customFormat="1">
      <c r="B292" s="139"/>
    </row>
    <row r="293" spans="2:2" s="137" customFormat="1">
      <c r="B293" s="139"/>
    </row>
    <row r="294" spans="2:2" s="137" customFormat="1">
      <c r="B294" s="139"/>
    </row>
    <row r="295" spans="2:2" s="137" customFormat="1">
      <c r="B295" s="139"/>
    </row>
    <row r="296" spans="2:2" s="137" customFormat="1">
      <c r="B296" s="139"/>
    </row>
    <row r="297" spans="2:2" s="137" customFormat="1">
      <c r="B297" s="139"/>
    </row>
    <row r="298" spans="2:2" s="137" customFormat="1">
      <c r="B298" s="139"/>
    </row>
    <row r="299" spans="2:2" s="137" customFormat="1">
      <c r="B299" s="139"/>
    </row>
    <row r="300" spans="2:2" s="137" customFormat="1">
      <c r="B300" s="139"/>
    </row>
    <row r="301" spans="2:2" s="137" customFormat="1">
      <c r="B301" s="139"/>
    </row>
    <row r="302" spans="2:2" s="137" customFormat="1">
      <c r="B302" s="139"/>
    </row>
    <row r="303" spans="2:2" s="137" customFormat="1">
      <c r="B303" s="139"/>
    </row>
    <row r="304" spans="2:2" s="137" customFormat="1">
      <c r="B304" s="139"/>
    </row>
    <row r="305" spans="2:2" s="137" customFormat="1">
      <c r="B305" s="139"/>
    </row>
    <row r="306" spans="2:2" s="137" customFormat="1">
      <c r="B306" s="139"/>
    </row>
    <row r="307" spans="2:2" s="137" customFormat="1">
      <c r="B307" s="139"/>
    </row>
    <row r="308" spans="2:2" s="137" customFormat="1">
      <c r="B308" s="139"/>
    </row>
    <row r="309" spans="2:2" s="137" customFormat="1">
      <c r="B309" s="139"/>
    </row>
    <row r="310" spans="2:2" s="137" customFormat="1">
      <c r="B310" s="139"/>
    </row>
    <row r="311" spans="2:2" s="137" customFormat="1">
      <c r="B311" s="139"/>
    </row>
    <row r="312" spans="2:2" s="137" customFormat="1">
      <c r="B312" s="139"/>
    </row>
    <row r="313" spans="2:2" s="137" customFormat="1">
      <c r="B313" s="139"/>
    </row>
    <row r="314" spans="2:2" s="137" customFormat="1">
      <c r="B314" s="139"/>
    </row>
    <row r="315" spans="2:2" s="137" customFormat="1">
      <c r="B315" s="139"/>
    </row>
    <row r="316" spans="2:2" s="137" customFormat="1">
      <c r="B316" s="139"/>
    </row>
    <row r="317" spans="2:2" s="137" customFormat="1">
      <c r="B317" s="139"/>
    </row>
    <row r="318" spans="2:2" s="137" customFormat="1">
      <c r="B318" s="139"/>
    </row>
    <row r="319" spans="2:2" s="137" customFormat="1">
      <c r="B319" s="139"/>
    </row>
    <row r="320" spans="2:2" s="137" customFormat="1">
      <c r="B320" s="139"/>
    </row>
    <row r="321" spans="2:2" s="137" customFormat="1">
      <c r="B321" s="139"/>
    </row>
    <row r="322" spans="2:2" s="137" customFormat="1">
      <c r="B322" s="139"/>
    </row>
    <row r="323" spans="2:2" s="137" customFormat="1">
      <c r="B323" s="139"/>
    </row>
    <row r="324" spans="2:2" s="137" customFormat="1">
      <c r="B324" s="139"/>
    </row>
    <row r="325" spans="2:2" s="137" customFormat="1">
      <c r="B325" s="139"/>
    </row>
    <row r="326" spans="2:2" s="137" customFormat="1">
      <c r="B326" s="139"/>
    </row>
    <row r="327" spans="2:2" s="137" customFormat="1">
      <c r="B327" s="139"/>
    </row>
    <row r="328" spans="2:2" s="137" customFormat="1">
      <c r="B328" s="139"/>
    </row>
    <row r="329" spans="2:2" s="137" customFormat="1">
      <c r="B329" s="139"/>
    </row>
    <row r="330" spans="2:2" s="137" customFormat="1">
      <c r="B330" s="139"/>
    </row>
    <row r="331" spans="2:2" s="137" customFormat="1">
      <c r="B331" s="139"/>
    </row>
    <row r="332" spans="2:2" s="137" customFormat="1">
      <c r="B332" s="139"/>
    </row>
    <row r="333" spans="2:2" s="137" customFormat="1">
      <c r="B333" s="139"/>
    </row>
    <row r="334" spans="2:2" s="137" customFormat="1">
      <c r="B334" s="139"/>
    </row>
    <row r="335" spans="2:2" s="137" customFormat="1">
      <c r="B335" s="139"/>
    </row>
    <row r="336" spans="2:2" s="137" customFormat="1">
      <c r="B336" s="139"/>
    </row>
    <row r="337" spans="2:2" s="137" customFormat="1">
      <c r="B337" s="139"/>
    </row>
    <row r="338" spans="2:2" s="137" customFormat="1">
      <c r="B338" s="139"/>
    </row>
    <row r="339" spans="2:2" s="137" customFormat="1">
      <c r="B339" s="139"/>
    </row>
    <row r="340" spans="2:2" s="137" customFormat="1">
      <c r="B340" s="139"/>
    </row>
    <row r="341" spans="2:2" s="137" customFormat="1">
      <c r="B341" s="139"/>
    </row>
    <row r="342" spans="2:2" s="137" customFormat="1">
      <c r="B342" s="139"/>
    </row>
    <row r="343" spans="2:2" s="137" customFormat="1">
      <c r="B343" s="139"/>
    </row>
    <row r="344" spans="2:2" s="137" customFormat="1">
      <c r="B344" s="139"/>
    </row>
    <row r="345" spans="2:2" s="137" customFormat="1">
      <c r="B345" s="139"/>
    </row>
    <row r="346" spans="2:2" s="137" customFormat="1">
      <c r="B346" s="139"/>
    </row>
    <row r="347" spans="2:2" s="137" customFormat="1">
      <c r="B347" s="139"/>
    </row>
    <row r="348" spans="2:2" s="137" customFormat="1">
      <c r="B348" s="139"/>
    </row>
    <row r="349" spans="2:2" s="137" customFormat="1">
      <c r="B349" s="139"/>
    </row>
    <row r="350" spans="2:2" s="137" customFormat="1">
      <c r="B350" s="139"/>
    </row>
    <row r="351" spans="2:2" s="137" customFormat="1">
      <c r="B351" s="139"/>
    </row>
    <row r="352" spans="2:2" s="137" customFormat="1">
      <c r="B352" s="139"/>
    </row>
    <row r="353" spans="2:2" s="137" customFormat="1">
      <c r="B353" s="139"/>
    </row>
    <row r="354" spans="2:2" s="137" customFormat="1">
      <c r="B354" s="139"/>
    </row>
    <row r="355" spans="2:2" s="137" customFormat="1">
      <c r="B355" s="139"/>
    </row>
    <row r="356" spans="2:2" s="137" customFormat="1">
      <c r="B356" s="139"/>
    </row>
    <row r="357" spans="2:2" s="137" customFormat="1">
      <c r="B357" s="139"/>
    </row>
    <row r="358" spans="2:2" s="137" customFormat="1">
      <c r="B358" s="139"/>
    </row>
    <row r="359" spans="2:2" s="137" customFormat="1">
      <c r="B359" s="139"/>
    </row>
    <row r="360" spans="2:2" s="137" customFormat="1">
      <c r="B360" s="139"/>
    </row>
    <row r="361" spans="2:2" s="137" customFormat="1">
      <c r="B361" s="139"/>
    </row>
    <row r="362" spans="2:2" s="137" customFormat="1">
      <c r="B362" s="139"/>
    </row>
    <row r="363" spans="2:2" s="137" customFormat="1">
      <c r="B363" s="139"/>
    </row>
    <row r="364" spans="2:2" s="137" customFormat="1">
      <c r="B364" s="139"/>
    </row>
    <row r="365" spans="2:2" s="137" customFormat="1">
      <c r="B365" s="139"/>
    </row>
    <row r="366" spans="2:2" s="137" customFormat="1">
      <c r="B366" s="139"/>
    </row>
    <row r="367" spans="2:2" s="137" customFormat="1">
      <c r="B367" s="139"/>
    </row>
    <row r="368" spans="2:2" s="137" customFormat="1">
      <c r="B368" s="139"/>
    </row>
    <row r="369" spans="2:2" s="137" customFormat="1">
      <c r="B369" s="139"/>
    </row>
    <row r="370" spans="2:2" s="137" customFormat="1">
      <c r="B370" s="139"/>
    </row>
    <row r="371" spans="2:2" s="137" customFormat="1">
      <c r="B371" s="139"/>
    </row>
    <row r="372" spans="2:2" s="137" customFormat="1">
      <c r="B372" s="139"/>
    </row>
    <row r="373" spans="2:2" s="137" customFormat="1">
      <c r="B373" s="139"/>
    </row>
    <row r="374" spans="2:2" s="137" customFormat="1">
      <c r="B374" s="139"/>
    </row>
    <row r="375" spans="2:2" s="137" customFormat="1">
      <c r="B375" s="139"/>
    </row>
    <row r="376" spans="2:2" s="137" customFormat="1">
      <c r="B376" s="139"/>
    </row>
    <row r="377" spans="2:2" s="137" customFormat="1">
      <c r="B377" s="139"/>
    </row>
    <row r="378" spans="2:2" s="137" customFormat="1">
      <c r="B378" s="139"/>
    </row>
    <row r="379" spans="2:2" s="137" customFormat="1">
      <c r="B379" s="139"/>
    </row>
    <row r="380" spans="2:2" s="137" customFormat="1">
      <c r="B380" s="139"/>
    </row>
    <row r="381" spans="2:2" s="137" customFormat="1">
      <c r="B381" s="139"/>
    </row>
    <row r="382" spans="2:2" s="137" customFormat="1">
      <c r="B382" s="139"/>
    </row>
    <row r="383" spans="2:2" s="137" customFormat="1">
      <c r="B383" s="139"/>
    </row>
    <row r="384" spans="2:2" s="137" customFormat="1">
      <c r="B384" s="139"/>
    </row>
    <row r="385" spans="2:2" s="137" customFormat="1">
      <c r="B385" s="139"/>
    </row>
    <row r="386" spans="2:2" s="137" customFormat="1">
      <c r="B386" s="139"/>
    </row>
    <row r="387" spans="2:2" s="137" customFormat="1">
      <c r="B387" s="139"/>
    </row>
    <row r="388" spans="2:2" s="137" customFormat="1">
      <c r="B388" s="139"/>
    </row>
    <row r="389" spans="2:2" s="137" customFormat="1">
      <c r="B389" s="139"/>
    </row>
    <row r="390" spans="2:2" s="137" customFormat="1">
      <c r="B390" s="139"/>
    </row>
    <row r="391" spans="2:2" s="137" customFormat="1">
      <c r="B391" s="139"/>
    </row>
    <row r="392" spans="2:2" s="137" customFormat="1">
      <c r="B392" s="139"/>
    </row>
    <row r="393" spans="2:2" s="137" customFormat="1">
      <c r="B393" s="139"/>
    </row>
    <row r="394" spans="2:2" s="137" customFormat="1">
      <c r="B394" s="139"/>
    </row>
    <row r="395" spans="2:2" s="137" customFormat="1">
      <c r="B395" s="139"/>
    </row>
    <row r="396" spans="2:2" s="137" customFormat="1">
      <c r="B396" s="139"/>
    </row>
    <row r="397" spans="2:2" s="137" customFormat="1">
      <c r="B397" s="139"/>
    </row>
    <row r="398" spans="2:2" s="137" customFormat="1">
      <c r="B398" s="139"/>
    </row>
    <row r="399" spans="2:2" s="137" customFormat="1">
      <c r="B399" s="139"/>
    </row>
    <row r="400" spans="2:2" s="137" customFormat="1">
      <c r="B400" s="139"/>
    </row>
    <row r="401" spans="2:2" s="137" customFormat="1">
      <c r="B401" s="139"/>
    </row>
    <row r="402" spans="2:2" s="137" customFormat="1">
      <c r="B402" s="139"/>
    </row>
    <row r="403" spans="2:2" s="137" customFormat="1">
      <c r="B403" s="139"/>
    </row>
    <row r="404" spans="2:2" s="137" customFormat="1">
      <c r="B404" s="139"/>
    </row>
    <row r="405" spans="2:2" s="137" customFormat="1">
      <c r="B405" s="139"/>
    </row>
    <row r="406" spans="2:2" s="137" customFormat="1">
      <c r="B406" s="139"/>
    </row>
    <row r="407" spans="2:2" s="137" customFormat="1">
      <c r="B407" s="139"/>
    </row>
    <row r="408" spans="2:2" s="137" customFormat="1">
      <c r="B408" s="139"/>
    </row>
    <row r="409" spans="2:2" s="137" customFormat="1">
      <c r="B409" s="139"/>
    </row>
    <row r="410" spans="2:2" s="137" customFormat="1">
      <c r="B410" s="139"/>
    </row>
    <row r="411" spans="2:2" s="137" customFormat="1">
      <c r="B411" s="139"/>
    </row>
    <row r="412" spans="2:2" s="137" customFormat="1">
      <c r="B412" s="139"/>
    </row>
    <row r="413" spans="2:2" s="137" customFormat="1">
      <c r="B413" s="139"/>
    </row>
    <row r="414" spans="2:2" s="137" customFormat="1">
      <c r="B414" s="139"/>
    </row>
    <row r="415" spans="2:2" s="137" customFormat="1">
      <c r="B415" s="139"/>
    </row>
    <row r="416" spans="2:2" s="137" customFormat="1">
      <c r="B416" s="139"/>
    </row>
    <row r="417" spans="2:2" s="137" customFormat="1">
      <c r="B417" s="139"/>
    </row>
    <row r="418" spans="2:2" s="137" customFormat="1">
      <c r="B418" s="139"/>
    </row>
    <row r="419" spans="2:2" s="137" customFormat="1">
      <c r="B419" s="139"/>
    </row>
    <row r="420" spans="2:2" s="137" customFormat="1">
      <c r="B420" s="139"/>
    </row>
    <row r="421" spans="2:2" s="137" customFormat="1">
      <c r="B421" s="139"/>
    </row>
    <row r="422" spans="2:2" s="137" customFormat="1">
      <c r="B422" s="139"/>
    </row>
    <row r="423" spans="2:2" s="137" customFormat="1">
      <c r="B423" s="139"/>
    </row>
    <row r="424" spans="2:2" s="137" customFormat="1">
      <c r="B424" s="139"/>
    </row>
    <row r="425" spans="2:2" s="137" customFormat="1">
      <c r="B425" s="139"/>
    </row>
    <row r="426" spans="2:2" s="137" customFormat="1">
      <c r="B426" s="139"/>
    </row>
    <row r="427" spans="2:2" s="137" customFormat="1">
      <c r="B427" s="139"/>
    </row>
    <row r="428" spans="2:2" s="137" customFormat="1">
      <c r="B428" s="139"/>
    </row>
    <row r="429" spans="2:2" s="137" customFormat="1">
      <c r="B429" s="139"/>
    </row>
    <row r="430" spans="2:2" s="137" customFormat="1">
      <c r="B430" s="139"/>
    </row>
    <row r="431" spans="2:2" s="137" customFormat="1">
      <c r="B431" s="139"/>
    </row>
    <row r="432" spans="2:2" s="137" customFormat="1">
      <c r="B432" s="139"/>
    </row>
    <row r="433" spans="2:2" s="137" customFormat="1">
      <c r="B433" s="139"/>
    </row>
    <row r="434" spans="2:2" s="137" customFormat="1">
      <c r="B434" s="139"/>
    </row>
    <row r="435" spans="2:2" s="137" customFormat="1">
      <c r="B435" s="139"/>
    </row>
    <row r="436" spans="2:2" s="137" customFormat="1">
      <c r="B436" s="139"/>
    </row>
    <row r="437" spans="2:2" s="137" customFormat="1">
      <c r="B437" s="139"/>
    </row>
    <row r="438" spans="2:2" s="137" customFormat="1">
      <c r="B438" s="139"/>
    </row>
    <row r="439" spans="2:2" s="137" customFormat="1">
      <c r="B439" s="139"/>
    </row>
    <row r="440" spans="2:2" s="137" customFormat="1">
      <c r="B440" s="139"/>
    </row>
    <row r="441" spans="2:2" s="137" customFormat="1">
      <c r="B441" s="139"/>
    </row>
    <row r="442" spans="2:2" s="137" customFormat="1">
      <c r="B442" s="139"/>
    </row>
    <row r="443" spans="2:2" s="137" customFormat="1">
      <c r="B443" s="139"/>
    </row>
    <row r="444" spans="2:2" s="137" customFormat="1">
      <c r="B444" s="139"/>
    </row>
    <row r="445" spans="2:2" s="137" customFormat="1">
      <c r="B445" s="139"/>
    </row>
    <row r="446" spans="2:2" s="137" customFormat="1">
      <c r="B446" s="139"/>
    </row>
    <row r="447" spans="2:2" s="137" customFormat="1">
      <c r="B447" s="139"/>
    </row>
    <row r="448" spans="2:2" s="137" customFormat="1">
      <c r="B448" s="139"/>
    </row>
    <row r="449" spans="2:2" s="137" customFormat="1">
      <c r="B449" s="139"/>
    </row>
    <row r="450" spans="2:2" s="137" customFormat="1">
      <c r="B450" s="139"/>
    </row>
    <row r="451" spans="2:2" s="137" customFormat="1">
      <c r="B451" s="139"/>
    </row>
    <row r="452" spans="2:2" s="137" customFormat="1">
      <c r="B452" s="139"/>
    </row>
    <row r="453" spans="2:2" s="137" customFormat="1">
      <c r="B453" s="139"/>
    </row>
    <row r="454" spans="2:2" s="137" customFormat="1">
      <c r="B454" s="139"/>
    </row>
    <row r="455" spans="2:2" s="137" customFormat="1">
      <c r="B455" s="139"/>
    </row>
    <row r="456" spans="2:2" s="137" customFormat="1">
      <c r="B456" s="139"/>
    </row>
    <row r="457" spans="2:2" s="137" customFormat="1">
      <c r="B457" s="139"/>
    </row>
    <row r="458" spans="2:2" s="137" customFormat="1">
      <c r="B458" s="139"/>
    </row>
    <row r="459" spans="2:2" s="137" customFormat="1">
      <c r="B459" s="139"/>
    </row>
    <row r="460" spans="2:2" s="137" customFormat="1">
      <c r="B460" s="139"/>
    </row>
    <row r="461" spans="2:2" s="137" customFormat="1">
      <c r="B461" s="139"/>
    </row>
    <row r="462" spans="2:2" s="137" customFormat="1">
      <c r="B462" s="139"/>
    </row>
    <row r="463" spans="2:2" s="137" customFormat="1">
      <c r="B463" s="139"/>
    </row>
    <row r="464" spans="2:2" s="137" customFormat="1">
      <c r="B464" s="139"/>
    </row>
    <row r="465" spans="2:6" s="137" customFormat="1">
      <c r="B465" s="139"/>
    </row>
    <row r="466" spans="2:6" s="137" customFormat="1">
      <c r="B466" s="139"/>
    </row>
    <row r="467" spans="2:6" s="137" customFormat="1">
      <c r="B467" s="139"/>
    </row>
    <row r="468" spans="2:6" s="137" customFormat="1">
      <c r="B468" s="139"/>
    </row>
    <row r="469" spans="2:6" s="137" customFormat="1">
      <c r="B469" s="139"/>
    </row>
    <row r="470" spans="2:6" s="137" customFormat="1">
      <c r="B470" s="139"/>
    </row>
    <row r="471" spans="2:6" s="137" customFormat="1">
      <c r="B471" s="139"/>
    </row>
    <row r="472" spans="2:6">
      <c r="C472" s="1"/>
      <c r="D472" s="1"/>
      <c r="E472" s="1"/>
      <c r="F472" s="1"/>
    </row>
    <row r="473" spans="2:6">
      <c r="C473" s="1"/>
      <c r="D473" s="1"/>
      <c r="E473" s="1"/>
      <c r="F473" s="1"/>
    </row>
    <row r="474" spans="2:6">
      <c r="C474" s="1"/>
      <c r="D474" s="1"/>
      <c r="E474" s="1"/>
      <c r="F474" s="1"/>
    </row>
    <row r="475" spans="2:6">
      <c r="C475" s="1"/>
      <c r="D475" s="1"/>
      <c r="E475" s="1"/>
      <c r="F475" s="1"/>
    </row>
    <row r="476" spans="2:6">
      <c r="C476" s="1"/>
      <c r="D476" s="1"/>
      <c r="E476" s="1"/>
      <c r="F476" s="1"/>
    </row>
    <row r="477" spans="2:6">
      <c r="C477" s="1"/>
      <c r="D477" s="1"/>
      <c r="E477" s="1"/>
      <c r="F477" s="1"/>
    </row>
    <row r="478" spans="2:6">
      <c r="C478" s="1"/>
      <c r="D478" s="1"/>
      <c r="E478" s="1"/>
      <c r="F478" s="1"/>
    </row>
    <row r="479" spans="2:6">
      <c r="C479" s="1"/>
      <c r="D479" s="1"/>
      <c r="E479" s="1"/>
      <c r="F479" s="1"/>
    </row>
    <row r="480" spans="2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24:K224"/>
  </mergeCells>
  <phoneticPr fontId="5" type="noConversion"/>
  <conditionalFormatting sqref="B12:B216">
    <cfRule type="cellIs" dxfId="77" priority="2" operator="equal">
      <formula>"NR3"</formula>
    </cfRule>
  </conditionalFormatting>
  <conditionalFormatting sqref="B12:B216">
    <cfRule type="containsText" dxfId="76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$BB$7:$BB$23</formula1>
    </dataValidation>
    <dataValidation allowBlank="1" showInputMessage="1" showErrorMessage="1" sqref="H2 B33 Q9 B35 B222 B224"/>
    <dataValidation type="list" allowBlank="1" showInputMessage="1" showErrorMessage="1" sqref="I36:I223 I12:I34 I225:I827">
      <formula1>$BD$7:$BD$10</formula1>
    </dataValidation>
    <dataValidation type="list" allowBlank="1" showInputMessage="1" showErrorMessage="1" sqref="E36:E223 E12:E34 E225:E821">
      <formula1>$AZ$7:$AZ$23</formula1>
    </dataValidation>
    <dataValidation type="list" allowBlank="1" showInputMessage="1" showErrorMessage="1" sqref="G36:G223 G12:G34 G225:G554">
      <formula1>$BB$7:$BB$28</formula1>
    </dataValidation>
    <dataValidation type="list" allowBlank="1" showInputMessage="1" showErrorMessage="1" sqref="L12:L827">
      <formula1>$BE$7:$BE$19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F28" sqref="F2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0.140625" style="2" bestFit="1" customWidth="1"/>
    <col min="7" max="7" width="8.42578125" style="2" bestFit="1" customWidth="1"/>
    <col min="8" max="8" width="9" style="1" bestFit="1" customWidth="1"/>
    <col min="9" max="9" width="7" style="1" bestFit="1" customWidth="1"/>
    <col min="10" max="10" width="7.285156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177</v>
      </c>
      <c r="C1" s="79" t="s" vm="1">
        <v>247</v>
      </c>
    </row>
    <row r="2" spans="2:62">
      <c r="B2" s="57" t="s">
        <v>176</v>
      </c>
      <c r="C2" s="79" t="s">
        <v>248</v>
      </c>
    </row>
    <row r="3" spans="2:62">
      <c r="B3" s="57" t="s">
        <v>178</v>
      </c>
      <c r="C3" s="79" t="s">
        <v>249</v>
      </c>
    </row>
    <row r="4" spans="2:62">
      <c r="B4" s="57" t="s">
        <v>179</v>
      </c>
      <c r="C4" s="79">
        <v>2144</v>
      </c>
    </row>
    <row r="6" spans="2:62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BJ6" s="3"/>
    </row>
    <row r="7" spans="2:62" ht="26.25" customHeight="1">
      <c r="B7" s="207" t="s">
        <v>87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BF7" s="3"/>
      <c r="BJ7" s="3"/>
    </row>
    <row r="8" spans="2:62" s="3" customFormat="1" ht="78.75">
      <c r="B8" s="22" t="s">
        <v>113</v>
      </c>
      <c r="C8" s="30" t="s">
        <v>44</v>
      </c>
      <c r="D8" s="30" t="s">
        <v>117</v>
      </c>
      <c r="E8" s="30" t="s">
        <v>223</v>
      </c>
      <c r="F8" s="30" t="s">
        <v>115</v>
      </c>
      <c r="G8" s="30" t="s">
        <v>60</v>
      </c>
      <c r="H8" s="30" t="s">
        <v>99</v>
      </c>
      <c r="I8" s="13" t="s">
        <v>231</v>
      </c>
      <c r="J8" s="13" t="s">
        <v>230</v>
      </c>
      <c r="K8" s="30" t="s">
        <v>245</v>
      </c>
      <c r="L8" s="13" t="s">
        <v>59</v>
      </c>
      <c r="M8" s="13" t="s">
        <v>56</v>
      </c>
      <c r="N8" s="13" t="s">
        <v>180</v>
      </c>
      <c r="O8" s="14" t="s">
        <v>182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238</v>
      </c>
      <c r="J9" s="16"/>
      <c r="K9" s="16" t="s">
        <v>234</v>
      </c>
      <c r="L9" s="16" t="s">
        <v>234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4" customFormat="1" ht="18" customHeight="1">
      <c r="B11" s="122" t="s">
        <v>29</v>
      </c>
      <c r="C11" s="123"/>
      <c r="D11" s="123"/>
      <c r="E11" s="123"/>
      <c r="F11" s="123"/>
      <c r="G11" s="123"/>
      <c r="H11" s="123"/>
      <c r="I11" s="124"/>
      <c r="J11" s="127"/>
      <c r="K11" s="123"/>
      <c r="L11" s="124">
        <v>4.2869999999999991E-2</v>
      </c>
      <c r="M11" s="123"/>
      <c r="N11" s="125">
        <f>L11/$L$11</f>
        <v>1</v>
      </c>
      <c r="O11" s="125">
        <f>L11/'סכום נכסי הקרן'!$C$42</f>
        <v>2.0506750351640901E-7</v>
      </c>
      <c r="BF11" s="101"/>
      <c r="BG11" s="3"/>
      <c r="BH11" s="101"/>
      <c r="BJ11" s="101"/>
    </row>
    <row r="12" spans="2:62" s="101" customFormat="1" ht="20.25">
      <c r="B12" s="126" t="s">
        <v>228</v>
      </c>
      <c r="C12" s="123"/>
      <c r="D12" s="123"/>
      <c r="E12" s="123"/>
      <c r="F12" s="123"/>
      <c r="G12" s="123"/>
      <c r="H12" s="123"/>
      <c r="I12" s="124"/>
      <c r="J12" s="127"/>
      <c r="K12" s="123"/>
      <c r="L12" s="124">
        <v>4.2869999999999991E-2</v>
      </c>
      <c r="M12" s="123"/>
      <c r="N12" s="125">
        <f t="shared" ref="N12:N14" si="0">L12/$L$11</f>
        <v>1</v>
      </c>
      <c r="O12" s="125">
        <f>L12/'סכום נכסי הקרן'!$C$42</f>
        <v>2.0506750351640901E-7</v>
      </c>
      <c r="BG12" s="4"/>
    </row>
    <row r="13" spans="2:62">
      <c r="B13" s="103" t="s">
        <v>28</v>
      </c>
      <c r="C13" s="83"/>
      <c r="D13" s="83"/>
      <c r="E13" s="83"/>
      <c r="F13" s="83"/>
      <c r="G13" s="83"/>
      <c r="H13" s="83"/>
      <c r="I13" s="92"/>
      <c r="J13" s="94"/>
      <c r="K13" s="83"/>
      <c r="L13" s="92">
        <v>4.2869999999999991E-2</v>
      </c>
      <c r="M13" s="83"/>
      <c r="N13" s="93">
        <f t="shared" si="0"/>
        <v>1</v>
      </c>
      <c r="O13" s="93">
        <f>L13/'סכום נכסי הקרן'!$C$42</f>
        <v>2.0506750351640901E-7</v>
      </c>
    </row>
    <row r="14" spans="2:62">
      <c r="B14" s="88" t="s">
        <v>797</v>
      </c>
      <c r="C14" s="85" t="s">
        <v>798</v>
      </c>
      <c r="D14" s="98" t="s">
        <v>118</v>
      </c>
      <c r="E14" s="98" t="s">
        <v>305</v>
      </c>
      <c r="F14" s="85" t="s">
        <v>799</v>
      </c>
      <c r="G14" s="98" t="s">
        <v>353</v>
      </c>
      <c r="H14" s="98" t="s">
        <v>162</v>
      </c>
      <c r="I14" s="95">
        <v>29.959999999999994</v>
      </c>
      <c r="J14" s="97">
        <v>143.1</v>
      </c>
      <c r="K14" s="85"/>
      <c r="L14" s="95">
        <v>4.2869999999999991E-2</v>
      </c>
      <c r="M14" s="96">
        <v>4.3701480380354575E-6</v>
      </c>
      <c r="N14" s="96">
        <f t="shared" si="0"/>
        <v>1</v>
      </c>
      <c r="O14" s="96">
        <f>L14/'סכום נכסי הקרן'!$C$42</f>
        <v>2.0506750351640901E-7</v>
      </c>
    </row>
    <row r="15" spans="2:62">
      <c r="B15" s="84"/>
      <c r="C15" s="85"/>
      <c r="D15" s="85"/>
      <c r="E15" s="85"/>
      <c r="F15" s="85"/>
      <c r="G15" s="85"/>
      <c r="H15" s="85"/>
      <c r="I15" s="95"/>
      <c r="J15" s="97"/>
      <c r="K15" s="85"/>
      <c r="L15" s="85"/>
      <c r="M15" s="85"/>
      <c r="N15" s="96"/>
      <c r="O15" s="85"/>
    </row>
    <row r="16" spans="2:62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BF16" s="4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0" t="s">
        <v>246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0" t="s">
        <v>110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0" t="s">
        <v>229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0" t="s">
        <v>237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0" t="s">
        <v>243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E115" s="1"/>
      <c r="F115" s="1"/>
      <c r="G115" s="1"/>
    </row>
    <row r="116" spans="2:15">
      <c r="E116" s="1"/>
      <c r="F116" s="1"/>
      <c r="G116" s="1"/>
    </row>
    <row r="117" spans="2:15">
      <c r="E117" s="1"/>
      <c r="F117" s="1"/>
      <c r="G117" s="1"/>
    </row>
    <row r="118" spans="2:15">
      <c r="E118" s="1"/>
      <c r="F118" s="1"/>
      <c r="G118" s="1"/>
    </row>
    <row r="119" spans="2:15">
      <c r="E119" s="1"/>
      <c r="F119" s="1"/>
      <c r="G119" s="1"/>
    </row>
    <row r="120" spans="2:15">
      <c r="E120" s="1"/>
      <c r="F120" s="1"/>
      <c r="G120" s="1"/>
    </row>
    <row r="121" spans="2:15">
      <c r="E121" s="1"/>
      <c r="F121" s="1"/>
      <c r="G121" s="1"/>
    </row>
    <row r="122" spans="2:15">
      <c r="E122" s="1"/>
      <c r="F122" s="1"/>
      <c r="G122" s="1"/>
    </row>
    <row r="123" spans="2:15">
      <c r="E123" s="1"/>
      <c r="F123" s="1"/>
      <c r="G123" s="1"/>
    </row>
    <row r="124" spans="2:15">
      <c r="E124" s="1"/>
      <c r="F124" s="1"/>
      <c r="G124" s="1"/>
    </row>
    <row r="125" spans="2:15">
      <c r="E125" s="1"/>
      <c r="F125" s="1"/>
      <c r="G125" s="1"/>
    </row>
    <row r="126" spans="2:15">
      <c r="E126" s="1"/>
      <c r="F126" s="1"/>
      <c r="G126" s="1"/>
    </row>
    <row r="127" spans="2:15">
      <c r="E127" s="1"/>
      <c r="F127" s="1"/>
      <c r="G127" s="1"/>
    </row>
    <row r="128" spans="2:15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0 B22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7" workbookViewId="0">
      <selection activeCell="C29" sqref="C29"/>
    </sheetView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9.570312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177</v>
      </c>
      <c r="C1" s="79" t="s" vm="1">
        <v>247</v>
      </c>
    </row>
    <row r="2" spans="2:63">
      <c r="B2" s="57" t="s">
        <v>176</v>
      </c>
      <c r="C2" s="79" t="s">
        <v>248</v>
      </c>
    </row>
    <row r="3" spans="2:63">
      <c r="B3" s="57" t="s">
        <v>178</v>
      </c>
      <c r="C3" s="79" t="s">
        <v>249</v>
      </c>
    </row>
    <row r="4" spans="2:63">
      <c r="B4" s="57" t="s">
        <v>179</v>
      </c>
      <c r="C4" s="79">
        <v>2144</v>
      </c>
    </row>
    <row r="6" spans="2:63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BK6" s="3"/>
    </row>
    <row r="7" spans="2:63" ht="26.25" customHeight="1">
      <c r="B7" s="207" t="s">
        <v>88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BH7" s="3"/>
      <c r="BK7" s="3"/>
    </row>
    <row r="8" spans="2:63" s="3" customFormat="1" ht="74.25" customHeight="1">
      <c r="B8" s="22" t="s">
        <v>113</v>
      </c>
      <c r="C8" s="30" t="s">
        <v>44</v>
      </c>
      <c r="D8" s="30" t="s">
        <v>117</v>
      </c>
      <c r="E8" s="30" t="s">
        <v>115</v>
      </c>
      <c r="F8" s="30" t="s">
        <v>60</v>
      </c>
      <c r="G8" s="30" t="s">
        <v>99</v>
      </c>
      <c r="H8" s="30" t="s">
        <v>231</v>
      </c>
      <c r="I8" s="30" t="s">
        <v>230</v>
      </c>
      <c r="J8" s="30" t="s">
        <v>245</v>
      </c>
      <c r="K8" s="30" t="s">
        <v>59</v>
      </c>
      <c r="L8" s="30" t="s">
        <v>56</v>
      </c>
      <c r="M8" s="30" t="s">
        <v>180</v>
      </c>
      <c r="N8" s="14" t="s">
        <v>182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238</v>
      </c>
      <c r="I9" s="32"/>
      <c r="J9" s="16" t="s">
        <v>234</v>
      </c>
      <c r="K9" s="32" t="s">
        <v>234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130" t="s">
        <v>30</v>
      </c>
      <c r="C11" s="83"/>
      <c r="D11" s="83"/>
      <c r="E11" s="83"/>
      <c r="F11" s="83"/>
      <c r="G11" s="83"/>
      <c r="H11" s="92"/>
      <c r="I11" s="94"/>
      <c r="J11" s="83"/>
      <c r="K11" s="92">
        <v>18000.488029999993</v>
      </c>
      <c r="L11" s="83"/>
      <c r="M11" s="93">
        <f>K11/$K$11</f>
        <v>1</v>
      </c>
      <c r="N11" s="93">
        <f>K11/'סכום נכסי הקרן'!$C$42</f>
        <v>8.6104855199185967E-2</v>
      </c>
      <c r="O11" s="5"/>
      <c r="BH11" s="101"/>
      <c r="BI11" s="3"/>
      <c r="BK11" s="101"/>
    </row>
    <row r="12" spans="2:63" s="101" customFormat="1" ht="20.25">
      <c r="B12" s="82" t="s">
        <v>228</v>
      </c>
      <c r="C12" s="83"/>
      <c r="D12" s="83"/>
      <c r="E12" s="83"/>
      <c r="F12" s="83"/>
      <c r="G12" s="83"/>
      <c r="H12" s="92"/>
      <c r="I12" s="94"/>
      <c r="J12" s="83"/>
      <c r="K12" s="92">
        <v>538.5169199999998</v>
      </c>
      <c r="L12" s="83"/>
      <c r="M12" s="93">
        <f t="shared" ref="M12:M15" si="0">K12/$K$11</f>
        <v>2.9916795539237387E-2</v>
      </c>
      <c r="N12" s="93">
        <f>K12/'סכום נכסי הקרן'!$C$42</f>
        <v>2.5759813479296879E-3</v>
      </c>
      <c r="BI12" s="4"/>
    </row>
    <row r="13" spans="2:63">
      <c r="B13" s="103" t="s">
        <v>62</v>
      </c>
      <c r="C13" s="83"/>
      <c r="D13" s="83"/>
      <c r="E13" s="83"/>
      <c r="F13" s="83"/>
      <c r="G13" s="83"/>
      <c r="H13" s="92"/>
      <c r="I13" s="94"/>
      <c r="J13" s="83"/>
      <c r="K13" s="92">
        <v>538.5169199999998</v>
      </c>
      <c r="L13" s="83"/>
      <c r="M13" s="93">
        <f t="shared" si="0"/>
        <v>2.9916795539237387E-2</v>
      </c>
      <c r="N13" s="93">
        <f>K13/'סכום נכסי הקרן'!$C$42</f>
        <v>2.5759813479296879E-3</v>
      </c>
    </row>
    <row r="14" spans="2:63">
      <c r="B14" s="88" t="s">
        <v>800</v>
      </c>
      <c r="C14" s="85" t="s">
        <v>801</v>
      </c>
      <c r="D14" s="98" t="s">
        <v>118</v>
      </c>
      <c r="E14" s="85" t="s">
        <v>802</v>
      </c>
      <c r="F14" s="98" t="s">
        <v>803</v>
      </c>
      <c r="G14" s="98" t="s">
        <v>162</v>
      </c>
      <c r="H14" s="95">
        <v>14149.999999999998</v>
      </c>
      <c r="I14" s="97">
        <v>3294.48</v>
      </c>
      <c r="J14" s="85"/>
      <c r="K14" s="95">
        <v>466.1689199999999</v>
      </c>
      <c r="L14" s="96">
        <v>9.4490818030050069E-5</v>
      </c>
      <c r="M14" s="96">
        <f t="shared" si="0"/>
        <v>2.5897571178241E-2</v>
      </c>
      <c r="N14" s="96">
        <f>K14/'סכום נכסי הקרן'!$C$42</f>
        <v>2.2299066163130529E-3</v>
      </c>
    </row>
    <row r="15" spans="2:63">
      <c r="B15" s="88" t="s">
        <v>804</v>
      </c>
      <c r="C15" s="85" t="s">
        <v>805</v>
      </c>
      <c r="D15" s="98" t="s">
        <v>118</v>
      </c>
      <c r="E15" s="85" t="s">
        <v>802</v>
      </c>
      <c r="F15" s="98" t="s">
        <v>803</v>
      </c>
      <c r="G15" s="98" t="s">
        <v>162</v>
      </c>
      <c r="H15" s="95">
        <v>1999.9999999999998</v>
      </c>
      <c r="I15" s="97">
        <v>3617.4</v>
      </c>
      <c r="J15" s="85"/>
      <c r="K15" s="95">
        <v>72.347999999999985</v>
      </c>
      <c r="L15" s="96">
        <v>4.1351039352171455E-5</v>
      </c>
      <c r="M15" s="96">
        <f t="shared" si="0"/>
        <v>4.0192243609963952E-3</v>
      </c>
      <c r="N15" s="96">
        <f>K15/'סכום נכסי הקרן'!$C$42</f>
        <v>3.4607473161663536E-4</v>
      </c>
    </row>
    <row r="16" spans="2:63" ht="20.25">
      <c r="B16" s="84"/>
      <c r="C16" s="85"/>
      <c r="D16" s="85"/>
      <c r="E16" s="85"/>
      <c r="F16" s="85"/>
      <c r="G16" s="85"/>
      <c r="H16" s="95"/>
      <c r="I16" s="97"/>
      <c r="J16" s="85"/>
      <c r="K16" s="85"/>
      <c r="L16" s="85"/>
      <c r="M16" s="96"/>
      <c r="N16" s="85"/>
      <c r="BH16" s="4"/>
    </row>
    <row r="17" spans="2:14" s="101" customFormat="1">
      <c r="B17" s="82" t="s">
        <v>227</v>
      </c>
      <c r="C17" s="83"/>
      <c r="D17" s="83"/>
      <c r="E17" s="83"/>
      <c r="F17" s="83"/>
      <c r="G17" s="83"/>
      <c r="H17" s="92"/>
      <c r="I17" s="94"/>
      <c r="J17" s="83"/>
      <c r="K17" s="92">
        <v>17461.971109999999</v>
      </c>
      <c r="L17" s="83"/>
      <c r="M17" s="93">
        <f t="shared" ref="M17:M27" si="1">K17/$K$11</f>
        <v>0.9700832044607629</v>
      </c>
      <c r="N17" s="93">
        <f>K17/'סכום נכסי הקרן'!$C$42</f>
        <v>8.3528873851256305E-2</v>
      </c>
    </row>
    <row r="18" spans="2:14">
      <c r="B18" s="103" t="s">
        <v>63</v>
      </c>
      <c r="C18" s="83"/>
      <c r="D18" s="83"/>
      <c r="E18" s="83"/>
      <c r="F18" s="83"/>
      <c r="G18" s="83"/>
      <c r="H18" s="92"/>
      <c r="I18" s="94"/>
      <c r="J18" s="83"/>
      <c r="K18" s="92">
        <v>17461.971109999999</v>
      </c>
      <c r="L18" s="83"/>
      <c r="M18" s="93">
        <f t="shared" si="1"/>
        <v>0.9700832044607629</v>
      </c>
      <c r="N18" s="93">
        <f>K18/'סכום נכסי הקרן'!$C$42</f>
        <v>8.3528873851256305E-2</v>
      </c>
    </row>
    <row r="19" spans="2:14">
      <c r="B19" s="88" t="s">
        <v>806</v>
      </c>
      <c r="C19" s="85" t="s">
        <v>807</v>
      </c>
      <c r="D19" s="98" t="s">
        <v>27</v>
      </c>
      <c r="E19" s="85"/>
      <c r="F19" s="98" t="s">
        <v>803</v>
      </c>
      <c r="G19" s="98" t="s">
        <v>163</v>
      </c>
      <c r="H19" s="95">
        <v>1922.9999999999998</v>
      </c>
      <c r="I19" s="97">
        <v>22204</v>
      </c>
      <c r="J19" s="85"/>
      <c r="K19" s="95">
        <v>1799.9891999999998</v>
      </c>
      <c r="L19" s="96">
        <v>9.3304175980506545E-4</v>
      </c>
      <c r="M19" s="96">
        <f t="shared" si="1"/>
        <v>9.9996688811997747E-2</v>
      </c>
      <c r="N19" s="96">
        <f>K19/'סכום נכסי הקרן'!$C$42</f>
        <v>8.6102004105551265E-3</v>
      </c>
    </row>
    <row r="20" spans="2:14">
      <c r="B20" s="88" t="s">
        <v>808</v>
      </c>
      <c r="C20" s="85" t="s">
        <v>809</v>
      </c>
      <c r="D20" s="98" t="s">
        <v>27</v>
      </c>
      <c r="E20" s="85"/>
      <c r="F20" s="98" t="s">
        <v>803</v>
      </c>
      <c r="G20" s="98" t="s">
        <v>163</v>
      </c>
      <c r="H20" s="95">
        <v>1653.9999999999998</v>
      </c>
      <c r="I20" s="97">
        <v>19585</v>
      </c>
      <c r="J20" s="85"/>
      <c r="K20" s="95">
        <v>1365.5841799999996</v>
      </c>
      <c r="L20" s="96">
        <v>1.5748121460481164E-3</v>
      </c>
      <c r="M20" s="96">
        <f t="shared" si="1"/>
        <v>7.5863730901300469E-2</v>
      </c>
      <c r="N20" s="96">
        <f>K20/'סכום נכסי הקרן'!$C$42</f>
        <v>6.5322355641264868E-3</v>
      </c>
    </row>
    <row r="21" spans="2:14">
      <c r="B21" s="88" t="s">
        <v>810</v>
      </c>
      <c r="C21" s="85" t="s">
        <v>811</v>
      </c>
      <c r="D21" s="98" t="s">
        <v>121</v>
      </c>
      <c r="E21" s="85"/>
      <c r="F21" s="98" t="s">
        <v>803</v>
      </c>
      <c r="G21" s="98" t="s">
        <v>161</v>
      </c>
      <c r="H21" s="95">
        <v>3605.9999999999995</v>
      </c>
      <c r="I21" s="97">
        <v>9724</v>
      </c>
      <c r="J21" s="85"/>
      <c r="K21" s="95">
        <v>1271.7982599999998</v>
      </c>
      <c r="L21" s="96">
        <v>1.0563733058039596E-3</v>
      </c>
      <c r="M21" s="96">
        <f t="shared" si="1"/>
        <v>7.0653543275070882E-2</v>
      </c>
      <c r="N21" s="96">
        <f>K21/'סכום נכסי הקרן'!$C$42</f>
        <v>6.0836131130093968E-3</v>
      </c>
    </row>
    <row r="22" spans="2:14">
      <c r="B22" s="88" t="s">
        <v>812</v>
      </c>
      <c r="C22" s="85" t="s">
        <v>813</v>
      </c>
      <c r="D22" s="98" t="s">
        <v>121</v>
      </c>
      <c r="E22" s="85"/>
      <c r="F22" s="98" t="s">
        <v>803</v>
      </c>
      <c r="G22" s="98" t="s">
        <v>161</v>
      </c>
      <c r="H22" s="95">
        <v>3636.9999999999995</v>
      </c>
      <c r="I22" s="97">
        <v>10381</v>
      </c>
      <c r="J22" s="85"/>
      <c r="K22" s="95">
        <v>1369.3991299999996</v>
      </c>
      <c r="L22" s="96">
        <v>1.2443383375441373E-4</v>
      </c>
      <c r="M22" s="96">
        <f t="shared" si="1"/>
        <v>7.6075666821795618E-2</v>
      </c>
      <c r="N22" s="96">
        <f>K22/'סכום נכסי הקרן'!$C$42</f>
        <v>6.5504842758722275E-3</v>
      </c>
    </row>
    <row r="23" spans="2:14">
      <c r="B23" s="88" t="s">
        <v>814</v>
      </c>
      <c r="C23" s="85" t="s">
        <v>815</v>
      </c>
      <c r="D23" s="98" t="s">
        <v>121</v>
      </c>
      <c r="E23" s="85"/>
      <c r="F23" s="98" t="s">
        <v>803</v>
      </c>
      <c r="G23" s="98" t="s">
        <v>161</v>
      </c>
      <c r="H23" s="95">
        <v>1282.9999999999998</v>
      </c>
      <c r="I23" s="97">
        <v>11020</v>
      </c>
      <c r="J23" s="85"/>
      <c r="K23" s="95">
        <v>512.80919999999992</v>
      </c>
      <c r="L23" s="96">
        <v>3.0554059406855445E-5</v>
      </c>
      <c r="M23" s="96">
        <f t="shared" si="1"/>
        <v>2.848862759417085E-2</v>
      </c>
      <c r="N23" s="96">
        <f>K23/'סכום נכסי הקרן'!$C$42</f>
        <v>2.453009153819615E-3</v>
      </c>
    </row>
    <row r="24" spans="2:14">
      <c r="B24" s="88" t="s">
        <v>816</v>
      </c>
      <c r="C24" s="85" t="s">
        <v>817</v>
      </c>
      <c r="D24" s="98" t="s">
        <v>818</v>
      </c>
      <c r="E24" s="85"/>
      <c r="F24" s="98" t="s">
        <v>803</v>
      </c>
      <c r="G24" s="98" t="s">
        <v>161</v>
      </c>
      <c r="H24" s="95">
        <v>4904.9999999999991</v>
      </c>
      <c r="I24" s="97">
        <v>3605</v>
      </c>
      <c r="J24" s="85"/>
      <c r="K24" s="95">
        <v>641.34517999999991</v>
      </c>
      <c r="L24" s="96">
        <v>1.8334816491026971E-5</v>
      </c>
      <c r="M24" s="96">
        <f t="shared" si="1"/>
        <v>3.5629321767894323E-2</v>
      </c>
      <c r="N24" s="96">
        <f>K24/'סכום נכסי הקרן'!$C$42</f>
        <v>3.0678575916697451E-3</v>
      </c>
    </row>
    <row r="25" spans="2:14">
      <c r="B25" s="88" t="s">
        <v>819</v>
      </c>
      <c r="C25" s="85" t="s">
        <v>820</v>
      </c>
      <c r="D25" s="98" t="s">
        <v>121</v>
      </c>
      <c r="E25" s="85"/>
      <c r="F25" s="98" t="s">
        <v>803</v>
      </c>
      <c r="G25" s="98" t="s">
        <v>161</v>
      </c>
      <c r="H25" s="95">
        <v>6904.9999999999991</v>
      </c>
      <c r="I25" s="97">
        <v>6775</v>
      </c>
      <c r="J25" s="85"/>
      <c r="K25" s="95">
        <v>1696.7604699999997</v>
      </c>
      <c r="L25" s="96">
        <v>1.5544033635983133E-4</v>
      </c>
      <c r="M25" s="96">
        <f t="shared" si="1"/>
        <v>9.4261914853205259E-2</v>
      </c>
      <c r="N25" s="96">
        <f>K25/'סכום נכסי הקרן'!$C$42</f>
        <v>8.1164085292332357E-3</v>
      </c>
    </row>
    <row r="26" spans="2:14">
      <c r="B26" s="88" t="s">
        <v>821</v>
      </c>
      <c r="C26" s="85" t="s">
        <v>822</v>
      </c>
      <c r="D26" s="98" t="s">
        <v>818</v>
      </c>
      <c r="E26" s="85"/>
      <c r="F26" s="98" t="s">
        <v>803</v>
      </c>
      <c r="G26" s="98" t="s">
        <v>161</v>
      </c>
      <c r="H26" s="95">
        <v>8820.9999999999982</v>
      </c>
      <c r="I26" s="97">
        <v>3330</v>
      </c>
      <c r="J26" s="85"/>
      <c r="K26" s="95">
        <v>1065.3924399999999</v>
      </c>
      <c r="L26" s="96">
        <v>7.8339203903883805E-5</v>
      </c>
      <c r="M26" s="96">
        <f t="shared" si="1"/>
        <v>5.9186864168593339E-2</v>
      </c>
      <c r="N26" s="96">
        <f>K26/'סכום נכסי הקרן'!$C$42</f>
        <v>5.0962763689306172E-3</v>
      </c>
    </row>
    <row r="27" spans="2:14">
      <c r="B27" s="88" t="s">
        <v>823</v>
      </c>
      <c r="C27" s="85" t="s">
        <v>824</v>
      </c>
      <c r="D27" s="98" t="s">
        <v>818</v>
      </c>
      <c r="E27" s="85"/>
      <c r="F27" s="98" t="s">
        <v>803</v>
      </c>
      <c r="G27" s="98" t="s">
        <v>161</v>
      </c>
      <c r="H27" s="95">
        <v>27298.999999999996</v>
      </c>
      <c r="I27" s="97">
        <v>7816</v>
      </c>
      <c r="J27" s="85"/>
      <c r="K27" s="95">
        <v>7738.8930499999988</v>
      </c>
      <c r="L27" s="96">
        <v>1.002717997913866E-4</v>
      </c>
      <c r="M27" s="96">
        <f t="shared" si="1"/>
        <v>0.42992684626673433</v>
      </c>
      <c r="N27" s="96">
        <f>K27/'סכום נכסי הקרן'!$C$42</f>
        <v>3.7018788844039849E-2</v>
      </c>
    </row>
    <row r="28" spans="2:14">
      <c r="B28" s="84"/>
      <c r="C28" s="85"/>
      <c r="D28" s="85"/>
      <c r="E28" s="85"/>
      <c r="F28" s="85"/>
      <c r="G28" s="85"/>
      <c r="H28" s="95"/>
      <c r="I28" s="97"/>
      <c r="J28" s="85"/>
      <c r="K28" s="85"/>
      <c r="L28" s="85"/>
      <c r="M28" s="96"/>
      <c r="N28" s="85"/>
    </row>
    <row r="29" spans="2:1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2:14">
      <c r="B31" s="100" t="s">
        <v>246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2:14">
      <c r="B32" s="100" t="s">
        <v>110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2:14">
      <c r="B33" s="100" t="s">
        <v>229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2:14">
      <c r="B34" s="100" t="s">
        <v>237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2:14">
      <c r="B35" s="100" t="s">
        <v>244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2:14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2:14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2:14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2:14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2:14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2:14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2:14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2:14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2:14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2:14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2:14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2:14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2:14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4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2:14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2:14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2:14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2:14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2:14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2:14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2:14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45:B1048576 D1:I1048576 K1:AF1048576 AH1:XFD1048576 AG1:AG43 B1:B30 B32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M20" sqref="M20"/>
    </sheetView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177</v>
      </c>
      <c r="C1" s="79" t="s" vm="1">
        <v>247</v>
      </c>
    </row>
    <row r="2" spans="2:65">
      <c r="B2" s="57" t="s">
        <v>176</v>
      </c>
      <c r="C2" s="79" t="s">
        <v>248</v>
      </c>
    </row>
    <row r="3" spans="2:65">
      <c r="B3" s="57" t="s">
        <v>178</v>
      </c>
      <c r="C3" s="79" t="s">
        <v>249</v>
      </c>
    </row>
    <row r="4" spans="2:65">
      <c r="B4" s="57" t="s">
        <v>179</v>
      </c>
      <c r="C4" s="79">
        <v>2144</v>
      </c>
    </row>
    <row r="6" spans="2:65" ht="26.25" customHeight="1">
      <c r="B6" s="207" t="s">
        <v>207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2:65" ht="26.25" customHeight="1">
      <c r="B7" s="207" t="s">
        <v>89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  <c r="BM7" s="3"/>
    </row>
    <row r="8" spans="2:65" s="3" customFormat="1" ht="78.75">
      <c r="B8" s="22" t="s">
        <v>113</v>
      </c>
      <c r="C8" s="30" t="s">
        <v>44</v>
      </c>
      <c r="D8" s="30" t="s">
        <v>117</v>
      </c>
      <c r="E8" s="30" t="s">
        <v>115</v>
      </c>
      <c r="F8" s="30" t="s">
        <v>60</v>
      </c>
      <c r="G8" s="30" t="s">
        <v>15</v>
      </c>
      <c r="H8" s="30" t="s">
        <v>61</v>
      </c>
      <c r="I8" s="30" t="s">
        <v>99</v>
      </c>
      <c r="J8" s="30" t="s">
        <v>231</v>
      </c>
      <c r="K8" s="30" t="s">
        <v>230</v>
      </c>
      <c r="L8" s="30" t="s">
        <v>59</v>
      </c>
      <c r="M8" s="30" t="s">
        <v>56</v>
      </c>
      <c r="N8" s="30" t="s">
        <v>180</v>
      </c>
      <c r="O8" s="20" t="s">
        <v>182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238</v>
      </c>
      <c r="K9" s="32"/>
      <c r="L9" s="32" t="s">
        <v>234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30" t="s">
        <v>31</v>
      </c>
      <c r="C11" s="83"/>
      <c r="D11" s="83"/>
      <c r="E11" s="83"/>
      <c r="F11" s="83"/>
      <c r="G11" s="83"/>
      <c r="H11" s="83"/>
      <c r="I11" s="83"/>
      <c r="J11" s="92"/>
      <c r="K11" s="94"/>
      <c r="L11" s="92">
        <v>4478.6728299999995</v>
      </c>
      <c r="M11" s="83"/>
      <c r="N11" s="93">
        <f>L11/$L$11</f>
        <v>1</v>
      </c>
      <c r="O11" s="93">
        <f>L11/'סכום נכסי הקרן'!$C$42</f>
        <v>2.1423612230344544E-2</v>
      </c>
      <c r="P11" s="5"/>
      <c r="BG11" s="101"/>
      <c r="BH11" s="3"/>
      <c r="BI11" s="101"/>
      <c r="BM11" s="101"/>
    </row>
    <row r="12" spans="2:65" s="4" customFormat="1" ht="18" customHeight="1">
      <c r="B12" s="82" t="s">
        <v>227</v>
      </c>
      <c r="C12" s="83"/>
      <c r="D12" s="83"/>
      <c r="E12" s="83"/>
      <c r="F12" s="83"/>
      <c r="G12" s="83"/>
      <c r="H12" s="83"/>
      <c r="I12" s="83"/>
      <c r="J12" s="92"/>
      <c r="K12" s="94"/>
      <c r="L12" s="92">
        <v>4478.6728299999995</v>
      </c>
      <c r="M12" s="83"/>
      <c r="N12" s="93">
        <f t="shared" ref="N12:N16" si="0">L12/$L$11</f>
        <v>1</v>
      </c>
      <c r="O12" s="93">
        <f>L12/'סכום נכסי הקרן'!$C$42</f>
        <v>2.1423612230344544E-2</v>
      </c>
      <c r="P12" s="5"/>
      <c r="BG12" s="101"/>
      <c r="BH12" s="3"/>
      <c r="BI12" s="101"/>
      <c r="BM12" s="101"/>
    </row>
    <row r="13" spans="2:65">
      <c r="B13" s="103" t="s">
        <v>49</v>
      </c>
      <c r="C13" s="83"/>
      <c r="D13" s="83"/>
      <c r="E13" s="83"/>
      <c r="F13" s="83"/>
      <c r="G13" s="83"/>
      <c r="H13" s="83"/>
      <c r="I13" s="83"/>
      <c r="J13" s="92"/>
      <c r="K13" s="94"/>
      <c r="L13" s="92">
        <v>4478.6728299999995</v>
      </c>
      <c r="M13" s="83"/>
      <c r="N13" s="93">
        <f t="shared" si="0"/>
        <v>1</v>
      </c>
      <c r="O13" s="93">
        <f>L13/'סכום נכסי הקרן'!$C$42</f>
        <v>2.1423612230344544E-2</v>
      </c>
      <c r="BH13" s="3"/>
    </row>
    <row r="14" spans="2:65" ht="20.25">
      <c r="B14" s="88" t="s">
        <v>825</v>
      </c>
      <c r="C14" s="85" t="s">
        <v>826</v>
      </c>
      <c r="D14" s="98" t="s">
        <v>27</v>
      </c>
      <c r="E14" s="85"/>
      <c r="F14" s="98" t="s">
        <v>803</v>
      </c>
      <c r="G14" s="85" t="s">
        <v>827</v>
      </c>
      <c r="H14" s="85" t="s">
        <v>828</v>
      </c>
      <c r="I14" s="98" t="s">
        <v>161</v>
      </c>
      <c r="J14" s="95">
        <v>5376.5499999999993</v>
      </c>
      <c r="K14" s="97">
        <v>10948</v>
      </c>
      <c r="L14" s="95">
        <v>2134.9417499999995</v>
      </c>
      <c r="M14" s="96">
        <v>8.52902376081573E-4</v>
      </c>
      <c r="N14" s="96">
        <f t="shared" si="0"/>
        <v>0.47669071419981346</v>
      </c>
      <c r="O14" s="96">
        <f>L14/'סכום נכסי הקרן'!$C$42</f>
        <v>1.0212437014822799E-2</v>
      </c>
      <c r="BH14" s="4"/>
    </row>
    <row r="15" spans="2:65">
      <c r="B15" s="88" t="s">
        <v>829</v>
      </c>
      <c r="C15" s="85" t="s">
        <v>830</v>
      </c>
      <c r="D15" s="98" t="s">
        <v>27</v>
      </c>
      <c r="E15" s="85"/>
      <c r="F15" s="98" t="s">
        <v>803</v>
      </c>
      <c r="G15" s="85" t="s">
        <v>831</v>
      </c>
      <c r="H15" s="85" t="s">
        <v>828</v>
      </c>
      <c r="I15" s="98" t="s">
        <v>161</v>
      </c>
      <c r="J15" s="95">
        <v>14599.999999999998</v>
      </c>
      <c r="K15" s="97">
        <v>1629</v>
      </c>
      <c r="L15" s="95">
        <v>862.6239099999998</v>
      </c>
      <c r="M15" s="96">
        <v>8.4070048050341619E-5</v>
      </c>
      <c r="N15" s="96">
        <f t="shared" si="0"/>
        <v>0.1926070384560776</v>
      </c>
      <c r="O15" s="96">
        <f>L15/'סכום נכסי הקרן'!$C$42</f>
        <v>4.1263385047180653E-3</v>
      </c>
    </row>
    <row r="16" spans="2:65">
      <c r="B16" s="88" t="s">
        <v>832</v>
      </c>
      <c r="C16" s="85" t="s">
        <v>833</v>
      </c>
      <c r="D16" s="98" t="s">
        <v>27</v>
      </c>
      <c r="E16" s="85"/>
      <c r="F16" s="98" t="s">
        <v>803</v>
      </c>
      <c r="G16" s="85" t="s">
        <v>834</v>
      </c>
      <c r="H16" s="85" t="s">
        <v>828</v>
      </c>
      <c r="I16" s="98" t="s">
        <v>161</v>
      </c>
      <c r="J16" s="95">
        <v>1358.9999999999998</v>
      </c>
      <c r="K16" s="97">
        <v>30048.27</v>
      </c>
      <c r="L16" s="95">
        <v>1481.1071699999998</v>
      </c>
      <c r="M16" s="96">
        <v>9.2264302094716182E-5</v>
      </c>
      <c r="N16" s="96">
        <f t="shared" si="0"/>
        <v>0.33070224734410886</v>
      </c>
      <c r="O16" s="96">
        <f>L16/'סכום נכסי הקרן'!$C$42</f>
        <v>7.0848367108036761E-3</v>
      </c>
    </row>
    <row r="17" spans="2:15">
      <c r="B17" s="84"/>
      <c r="C17" s="85"/>
      <c r="D17" s="85"/>
      <c r="E17" s="85"/>
      <c r="F17" s="85"/>
      <c r="G17" s="85"/>
      <c r="H17" s="85"/>
      <c r="I17" s="85"/>
      <c r="J17" s="95"/>
      <c r="K17" s="97"/>
      <c r="L17" s="85"/>
      <c r="M17" s="85"/>
      <c r="N17" s="96"/>
      <c r="O17" s="85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0" t="s">
        <v>246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0" t="s">
        <v>110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0" t="s">
        <v>229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0" t="s">
        <v>237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5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5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5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5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59" ht="20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BG37" s="4"/>
    </row>
    <row r="38" spans="2:5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BG38" s="3"/>
    </row>
    <row r="39" spans="2:5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5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5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5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5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5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5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5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5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5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D1:AF1048576 AH1:XFD1048576 AG1:AG37 B1:B19 B21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2019-03-04T07:11:19+00:00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38A3B8B1-D1B5-4122-AD7F-2D7EB5673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2019-03-04T06:15:36Z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b76e59bb9f5947a781773f53cc6e9460">
    <vt:lpwstr/>
  </property>
  <property fmtid="{D5CDD505-2E9C-101B-9397-08002B2CF9AE}" pid="21" name="n612d9597dc7466f957352ce79be86f3">
    <vt:lpwstr/>
  </property>
  <property fmtid="{D5CDD505-2E9C-101B-9397-08002B2CF9AE}" pid="22" name="ia53b9f18d984e01914f4b79710425b7">
    <vt:lpwstr/>
  </property>
  <property fmtid="{D5CDD505-2E9C-101B-9397-08002B2CF9AE}" pid="24" name="aa1c885e8039426686f6c49672b09953">
    <vt:lpwstr/>
  </property>
  <property fmtid="{D5CDD505-2E9C-101B-9397-08002B2CF9AE}" pid="25" name="e09eddfac2354f9ab04a226e27f86f1f">
    <vt:lpwstr/>
  </property>
  <property fmtid="{D5CDD505-2E9C-101B-9397-08002B2CF9AE}" pid="26" name="kb4cc1381c4248d7a2dfa3f1be0c86c0">
    <vt:lpwstr/>
  </property>
</Properties>
</file>