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הלוואות!$B$6:$Q$55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2">'לא סחיר- תעודות התחייבות ממשלתי'!$B$6:$P$24</definedName>
    <definedName name="Print_Area" localSheetId="11">'מוצרים מובנים'!$B$6:$Q$37</definedName>
    <definedName name="Print_Area" localSheetId="1">מזומנים!$B$6:$K$39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K44" i="58" l="1"/>
  <c r="L44" i="58"/>
  <c r="P22" i="78" l="1"/>
  <c r="C10" i="84"/>
  <c r="I11" i="81" l="1"/>
  <c r="I10" i="81"/>
  <c r="J13" i="81" s="1"/>
  <c r="C43" i="88"/>
  <c r="J11" i="81" l="1"/>
  <c r="J14" i="81"/>
  <c r="J10" i="81"/>
  <c r="J12" i="81"/>
  <c r="H23" i="80" l="1"/>
  <c r="H22" i="80"/>
  <c r="H21" i="80"/>
  <c r="H20" i="80"/>
  <c r="H19" i="80"/>
  <c r="H18" i="80"/>
  <c r="H17" i="80"/>
  <c r="H16" i="80"/>
  <c r="H15" i="80"/>
  <c r="H14" i="80"/>
  <c r="H13" i="80"/>
  <c r="H12" i="80"/>
  <c r="H11" i="80"/>
  <c r="H10" i="80"/>
  <c r="P20" i="78"/>
  <c r="P18" i="78"/>
  <c r="P15" i="78"/>
  <c r="P16" i="78"/>
  <c r="P13" i="78"/>
  <c r="P17" i="78"/>
  <c r="P179" i="78"/>
  <c r="P178" i="78" s="1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3" i="74"/>
  <c r="K12" i="74"/>
  <c r="K11" i="74"/>
  <c r="J59" i="73"/>
  <c r="J58" i="73"/>
  <c r="J57" i="73"/>
  <c r="J56" i="73"/>
  <c r="J55" i="73"/>
  <c r="J54" i="73"/>
  <c r="J53" i="73"/>
  <c r="J52" i="73"/>
  <c r="J51" i="73"/>
  <c r="J50" i="73"/>
  <c r="J49" i="73"/>
  <c r="J48" i="73"/>
  <c r="J47" i="73"/>
  <c r="J46" i="73"/>
  <c r="J45" i="73"/>
  <c r="J44" i="73"/>
  <c r="J43" i="73"/>
  <c r="J42" i="73"/>
  <c r="J41" i="73"/>
  <c r="J40" i="73"/>
  <c r="J39" i="73"/>
  <c r="J38" i="73"/>
  <c r="J37" i="73"/>
  <c r="J36" i="73"/>
  <c r="J35" i="73"/>
  <c r="J34" i="73"/>
  <c r="J33" i="73"/>
  <c r="J32" i="73"/>
  <c r="J31" i="73"/>
  <c r="J30" i="73"/>
  <c r="J29" i="73"/>
  <c r="J28" i="73"/>
  <c r="J26" i="73"/>
  <c r="J25" i="73"/>
  <c r="J24" i="73"/>
  <c r="J22" i="73"/>
  <c r="J21" i="73"/>
  <c r="J20" i="73"/>
  <c r="J19" i="73"/>
  <c r="J17" i="73"/>
  <c r="J16" i="73"/>
  <c r="J14" i="73"/>
  <c r="J13" i="73"/>
  <c r="J12" i="73"/>
  <c r="J11" i="73"/>
  <c r="L35" i="72"/>
  <c r="L34" i="72"/>
  <c r="L33" i="72"/>
  <c r="L32" i="72"/>
  <c r="L31" i="72"/>
  <c r="L30" i="72"/>
  <c r="L29" i="72"/>
  <c r="L28" i="72"/>
  <c r="L27" i="72"/>
  <c r="L26" i="72"/>
  <c r="L25" i="72"/>
  <c r="L24" i="72"/>
  <c r="L23" i="72"/>
  <c r="L22" i="72"/>
  <c r="L21" i="72"/>
  <c r="L20" i="72"/>
  <c r="L19" i="72"/>
  <c r="L18" i="72"/>
  <c r="L16" i="72"/>
  <c r="L15" i="72"/>
  <c r="L14" i="72"/>
  <c r="L13" i="72"/>
  <c r="L12" i="72"/>
  <c r="L11" i="72"/>
  <c r="R38" i="71"/>
  <c r="R37" i="71"/>
  <c r="R36" i="71"/>
  <c r="R35" i="71"/>
  <c r="R33" i="71"/>
  <c r="R32" i="71"/>
  <c r="R31" i="71"/>
  <c r="R29" i="71"/>
  <c r="R28" i="71"/>
  <c r="R27" i="71"/>
  <c r="R26" i="71"/>
  <c r="R25" i="71"/>
  <c r="R24" i="71"/>
  <c r="R23" i="71"/>
  <c r="R21" i="71"/>
  <c r="R20" i="71"/>
  <c r="R19" i="71"/>
  <c r="R18" i="71"/>
  <c r="R17" i="71"/>
  <c r="R16" i="71"/>
  <c r="R15" i="71"/>
  <c r="R14" i="71"/>
  <c r="R13" i="71"/>
  <c r="R12" i="71"/>
  <c r="R11" i="71"/>
  <c r="O104" i="69"/>
  <c r="O103" i="69"/>
  <c r="O102" i="69"/>
  <c r="O101" i="69"/>
  <c r="O100" i="69"/>
  <c r="O99" i="69"/>
  <c r="O98" i="69"/>
  <c r="O97" i="69"/>
  <c r="O96" i="69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J16" i="67"/>
  <c r="J15" i="67"/>
  <c r="J14" i="67"/>
  <c r="J13" i="67"/>
  <c r="J12" i="67"/>
  <c r="J11" i="67"/>
  <c r="K21" i="66"/>
  <c r="K20" i="66"/>
  <c r="K19" i="66"/>
  <c r="K18" i="66"/>
  <c r="K17" i="66"/>
  <c r="K15" i="66"/>
  <c r="K14" i="66"/>
  <c r="K13" i="66"/>
  <c r="K12" i="66"/>
  <c r="K11" i="66"/>
  <c r="K14" i="65"/>
  <c r="K13" i="65"/>
  <c r="K12" i="65"/>
  <c r="K11" i="65"/>
  <c r="N19" i="64"/>
  <c r="N18" i="64"/>
  <c r="N17" i="64"/>
  <c r="N16" i="64"/>
  <c r="N15" i="64"/>
  <c r="N14" i="64"/>
  <c r="N13" i="64"/>
  <c r="N12" i="64"/>
  <c r="N11" i="64"/>
  <c r="M86" i="63"/>
  <c r="M85" i="63"/>
  <c r="M84" i="63"/>
  <c r="M83" i="63"/>
  <c r="M82" i="63"/>
  <c r="M81" i="63"/>
  <c r="M80" i="63"/>
  <c r="M79" i="63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39" i="63"/>
  <c r="M38" i="63"/>
  <c r="M37" i="63"/>
  <c r="M36" i="63"/>
  <c r="M35" i="63"/>
  <c r="M34" i="63"/>
  <c r="M33" i="63"/>
  <c r="M32" i="63"/>
  <c r="M31" i="63"/>
  <c r="M30" i="63"/>
  <c r="M29" i="63"/>
  <c r="M28" i="63"/>
  <c r="M27" i="63"/>
  <c r="M26" i="63"/>
  <c r="M25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L158" i="62"/>
  <c r="L132" i="62"/>
  <c r="L131" i="62"/>
  <c r="L87" i="62"/>
  <c r="L44" i="62"/>
  <c r="L12" i="62" s="1"/>
  <c r="L13" i="62"/>
  <c r="R245" i="61"/>
  <c r="R161" i="61"/>
  <c r="R12" i="61" s="1"/>
  <c r="R11" i="61" s="1"/>
  <c r="R13" i="61"/>
  <c r="S187" i="61"/>
  <c r="O187" i="61"/>
  <c r="S179" i="61"/>
  <c r="O179" i="61"/>
  <c r="S130" i="61"/>
  <c r="S129" i="61"/>
  <c r="S128" i="61"/>
  <c r="S127" i="61"/>
  <c r="O130" i="61"/>
  <c r="O129" i="61"/>
  <c r="O128" i="61"/>
  <c r="O127" i="61"/>
  <c r="S119" i="61"/>
  <c r="S118" i="61"/>
  <c r="S117" i="61"/>
  <c r="O119" i="61"/>
  <c r="O118" i="61"/>
  <c r="O117" i="61"/>
  <c r="S104" i="61"/>
  <c r="S103" i="61"/>
  <c r="O104" i="61"/>
  <c r="O103" i="61"/>
  <c r="S100" i="61"/>
  <c r="S99" i="61"/>
  <c r="S98" i="61"/>
  <c r="S97" i="61"/>
  <c r="O100" i="61"/>
  <c r="O99" i="61"/>
  <c r="O98" i="61"/>
  <c r="O97" i="61"/>
  <c r="S72" i="61"/>
  <c r="S71" i="61"/>
  <c r="S70" i="61"/>
  <c r="S69" i="61"/>
  <c r="O72" i="61"/>
  <c r="O71" i="61"/>
  <c r="O70" i="61"/>
  <c r="O69" i="61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J51" i="58"/>
  <c r="J50" i="58" s="1"/>
  <c r="J21" i="58"/>
  <c r="J11" i="58" s="1"/>
  <c r="J12" i="58"/>
  <c r="C37" i="88"/>
  <c r="C35" i="88"/>
  <c r="C31" i="88"/>
  <c r="C29" i="88"/>
  <c r="C28" i="88"/>
  <c r="C27" i="88"/>
  <c r="C26" i="88"/>
  <c r="C24" i="88"/>
  <c r="C21" i="88"/>
  <c r="C20" i="88"/>
  <c r="C19" i="88"/>
  <c r="C18" i="88"/>
  <c r="C17" i="88"/>
  <c r="C13" i="88"/>
  <c r="P12" i="78" l="1"/>
  <c r="P11" i="78"/>
  <c r="P10" i="78" s="1"/>
  <c r="Q181" i="78" s="1"/>
  <c r="L11" i="62"/>
  <c r="N57" i="62" s="1"/>
  <c r="N232" i="62"/>
  <c r="N34" i="62"/>
  <c r="N90" i="62"/>
  <c r="N69" i="62"/>
  <c r="N100" i="62"/>
  <c r="N78" i="62"/>
  <c r="N127" i="62"/>
  <c r="N106" i="62"/>
  <c r="N243" i="62"/>
  <c r="N213" i="62"/>
  <c r="N209" i="62"/>
  <c r="N178" i="62"/>
  <c r="N174" i="62"/>
  <c r="N221" i="62"/>
  <c r="N205" i="62"/>
  <c r="N117" i="62"/>
  <c r="N113" i="62"/>
  <c r="N84" i="62"/>
  <c r="N80" i="62"/>
  <c r="N52" i="62"/>
  <c r="N48" i="62"/>
  <c r="N19" i="62"/>
  <c r="N15" i="62"/>
  <c r="N230" i="62"/>
  <c r="N226" i="62"/>
  <c r="N208" i="62"/>
  <c r="N198" i="62"/>
  <c r="N181" i="62"/>
  <c r="N177" i="62"/>
  <c r="N161" i="62"/>
  <c r="N156" i="62"/>
  <c r="N14" i="62"/>
  <c r="N25" i="62"/>
  <c r="N47" i="62"/>
  <c r="N53" i="62"/>
  <c r="N79" i="62"/>
  <c r="N85" i="62"/>
  <c r="N107" i="62"/>
  <c r="N118" i="62"/>
  <c r="N185" i="62"/>
  <c r="N143" i="62"/>
  <c r="N172" i="62"/>
  <c r="N180" i="62"/>
  <c r="N215" i="62"/>
  <c r="N233" i="62"/>
  <c r="N26" i="62"/>
  <c r="N32" i="62"/>
  <c r="N54" i="62"/>
  <c r="N59" i="62"/>
  <c r="N81" i="62"/>
  <c r="N92" i="62"/>
  <c r="N114" i="62"/>
  <c r="N119" i="62"/>
  <c r="N140" i="62"/>
  <c r="N144" i="62"/>
  <c r="N175" i="62"/>
  <c r="N192" i="62"/>
  <c r="N228" i="62"/>
  <c r="N236" i="62"/>
  <c r="N28" i="62"/>
  <c r="N33" i="62"/>
  <c r="N55" i="62"/>
  <c r="N66" i="62"/>
  <c r="N88" i="62"/>
  <c r="N94" i="62"/>
  <c r="N115" i="62"/>
  <c r="N120" i="62"/>
  <c r="N141" i="62"/>
  <c r="N151" i="62"/>
  <c r="N184" i="62"/>
  <c r="N193" i="62"/>
  <c r="N229" i="62"/>
  <c r="N237" i="62"/>
  <c r="T247" i="61"/>
  <c r="T239" i="61"/>
  <c r="T207" i="61"/>
  <c r="T175" i="61"/>
  <c r="T146" i="61"/>
  <c r="T125" i="61"/>
  <c r="T114" i="61"/>
  <c r="T103" i="61"/>
  <c r="T93" i="61"/>
  <c r="T82" i="61"/>
  <c r="T71" i="61"/>
  <c r="T61" i="61"/>
  <c r="T50" i="61"/>
  <c r="T39" i="61"/>
  <c r="T29" i="61"/>
  <c r="T18" i="61"/>
  <c r="T231" i="61"/>
  <c r="T199" i="61"/>
  <c r="T167" i="61"/>
  <c r="T141" i="61"/>
  <c r="T122" i="61"/>
  <c r="T111" i="61"/>
  <c r="T101" i="61"/>
  <c r="T90" i="61"/>
  <c r="T79" i="61"/>
  <c r="T69" i="61"/>
  <c r="T58" i="61"/>
  <c r="T47" i="61"/>
  <c r="T37" i="61"/>
  <c r="T26" i="61"/>
  <c r="T15" i="61"/>
  <c r="T223" i="61"/>
  <c r="T191" i="61"/>
  <c r="T158" i="61"/>
  <c r="T135" i="61"/>
  <c r="T119" i="61"/>
  <c r="T109" i="61"/>
  <c r="T98" i="61"/>
  <c r="T87" i="61"/>
  <c r="T77" i="61"/>
  <c r="T66" i="61"/>
  <c r="T55" i="61"/>
  <c r="T45" i="61"/>
  <c r="T34" i="61"/>
  <c r="T23" i="61"/>
  <c r="T13" i="61"/>
  <c r="T248" i="61"/>
  <c r="T215" i="61"/>
  <c r="T183" i="61"/>
  <c r="T151" i="61"/>
  <c r="T130" i="61"/>
  <c r="T117" i="61"/>
  <c r="T106" i="61"/>
  <c r="T95" i="61"/>
  <c r="T85" i="61"/>
  <c r="T74" i="61"/>
  <c r="T63" i="61"/>
  <c r="T53" i="61"/>
  <c r="T42" i="61"/>
  <c r="T31" i="61"/>
  <c r="T21" i="61"/>
  <c r="T127" i="61"/>
  <c r="T133" i="61"/>
  <c r="T138" i="61"/>
  <c r="T143" i="61"/>
  <c r="T149" i="61"/>
  <c r="T154" i="61"/>
  <c r="T163" i="61"/>
  <c r="T171" i="61"/>
  <c r="T179" i="61"/>
  <c r="T187" i="61"/>
  <c r="T195" i="61"/>
  <c r="T203" i="61"/>
  <c r="T211" i="61"/>
  <c r="T219" i="61"/>
  <c r="T227" i="61"/>
  <c r="T235" i="61"/>
  <c r="T243" i="61"/>
  <c r="C15" i="88"/>
  <c r="T11" i="61"/>
  <c r="T17" i="61"/>
  <c r="T22" i="61"/>
  <c r="T27" i="61"/>
  <c r="T33" i="61"/>
  <c r="T38" i="61"/>
  <c r="T43" i="61"/>
  <c r="T49" i="61"/>
  <c r="T54" i="61"/>
  <c r="T59" i="61"/>
  <c r="T65" i="61"/>
  <c r="T70" i="61"/>
  <c r="T75" i="61"/>
  <c r="T81" i="61"/>
  <c r="T86" i="61"/>
  <c r="T91" i="61"/>
  <c r="T97" i="61"/>
  <c r="T102" i="61"/>
  <c r="T107" i="61"/>
  <c r="T113" i="61"/>
  <c r="T118" i="61"/>
  <c r="T123" i="61"/>
  <c r="T129" i="61"/>
  <c r="T134" i="61"/>
  <c r="T139" i="61"/>
  <c r="T145" i="61"/>
  <c r="T150" i="61"/>
  <c r="T157" i="61"/>
  <c r="T166" i="61"/>
  <c r="T174" i="61"/>
  <c r="T182" i="61"/>
  <c r="T190" i="61"/>
  <c r="T198" i="61"/>
  <c r="T206" i="61"/>
  <c r="T214" i="61"/>
  <c r="T222" i="61"/>
  <c r="T230" i="61"/>
  <c r="T238" i="61"/>
  <c r="T250" i="61"/>
  <c r="T246" i="61"/>
  <c r="T241" i="61"/>
  <c r="T237" i="61"/>
  <c r="T233" i="61"/>
  <c r="T229" i="61"/>
  <c r="T225" i="61"/>
  <c r="T221" i="61"/>
  <c r="T217" i="61"/>
  <c r="T213" i="61"/>
  <c r="T209" i="61"/>
  <c r="T205" i="61"/>
  <c r="T201" i="61"/>
  <c r="T197" i="61"/>
  <c r="T193" i="61"/>
  <c r="T189" i="61"/>
  <c r="T185" i="61"/>
  <c r="T181" i="61"/>
  <c r="T177" i="61"/>
  <c r="T173" i="61"/>
  <c r="T169" i="61"/>
  <c r="T165" i="61"/>
  <c r="T161" i="61"/>
  <c r="T156" i="61"/>
  <c r="T152" i="61"/>
  <c r="T148" i="61"/>
  <c r="T144" i="61"/>
  <c r="T140" i="61"/>
  <c r="T136" i="61"/>
  <c r="T132" i="61"/>
  <c r="T128" i="61"/>
  <c r="T124" i="61"/>
  <c r="T120" i="61"/>
  <c r="T116" i="61"/>
  <c r="T112" i="61"/>
  <c r="T108" i="61"/>
  <c r="T104" i="61"/>
  <c r="T100" i="61"/>
  <c r="T96" i="61"/>
  <c r="T92" i="61"/>
  <c r="T88" i="61"/>
  <c r="T84" i="61"/>
  <c r="T80" i="61"/>
  <c r="T76" i="61"/>
  <c r="T72" i="61"/>
  <c r="T68" i="61"/>
  <c r="T64" i="61"/>
  <c r="T60" i="61"/>
  <c r="T56" i="61"/>
  <c r="T52" i="61"/>
  <c r="T48" i="61"/>
  <c r="T44" i="61"/>
  <c r="T40" i="61"/>
  <c r="T36" i="61"/>
  <c r="T32" i="61"/>
  <c r="T28" i="61"/>
  <c r="T24" i="61"/>
  <c r="T20" i="61"/>
  <c r="T16" i="61"/>
  <c r="T249" i="61"/>
  <c r="T245" i="61"/>
  <c r="T240" i="61"/>
  <c r="T236" i="61"/>
  <c r="T232" i="61"/>
  <c r="T228" i="61"/>
  <c r="T224" i="61"/>
  <c r="T220" i="61"/>
  <c r="T216" i="61"/>
  <c r="T212" i="61"/>
  <c r="T208" i="61"/>
  <c r="T204" i="61"/>
  <c r="T200" i="61"/>
  <c r="T196" i="61"/>
  <c r="T192" i="61"/>
  <c r="T188" i="61"/>
  <c r="T184" i="61"/>
  <c r="T180" i="61"/>
  <c r="T176" i="61"/>
  <c r="T172" i="61"/>
  <c r="T168" i="61"/>
  <c r="T164" i="61"/>
  <c r="T159" i="61"/>
  <c r="T155" i="61"/>
  <c r="T14" i="61"/>
  <c r="T19" i="61"/>
  <c r="T25" i="61"/>
  <c r="T30" i="61"/>
  <c r="T35" i="61"/>
  <c r="T41" i="61"/>
  <c r="T46" i="61"/>
  <c r="T51" i="61"/>
  <c r="T57" i="61"/>
  <c r="T62" i="61"/>
  <c r="T67" i="61"/>
  <c r="T73" i="61"/>
  <c r="T78" i="61"/>
  <c r="T83" i="61"/>
  <c r="T89" i="61"/>
  <c r="T94" i="61"/>
  <c r="T99" i="61"/>
  <c r="T105" i="61"/>
  <c r="T110" i="61"/>
  <c r="T115" i="61"/>
  <c r="T121" i="61"/>
  <c r="T126" i="61"/>
  <c r="T131" i="61"/>
  <c r="T137" i="61"/>
  <c r="T142" i="61"/>
  <c r="T147" i="61"/>
  <c r="T153" i="61"/>
  <c r="T162" i="61"/>
  <c r="T170" i="61"/>
  <c r="T178" i="61"/>
  <c r="T186" i="61"/>
  <c r="T194" i="61"/>
  <c r="T202" i="61"/>
  <c r="T210" i="61"/>
  <c r="T218" i="61"/>
  <c r="T226" i="61"/>
  <c r="T234" i="61"/>
  <c r="T242" i="61"/>
  <c r="T251" i="61"/>
  <c r="T12" i="61"/>
  <c r="J10" i="58"/>
  <c r="K33" i="58" s="1"/>
  <c r="K53" i="58"/>
  <c r="K29" i="58"/>
  <c r="K37" i="58"/>
  <c r="K21" i="58"/>
  <c r="K11" i="58"/>
  <c r="K19" i="58"/>
  <c r="K45" i="58"/>
  <c r="K54" i="58"/>
  <c r="K32" i="58"/>
  <c r="K40" i="58"/>
  <c r="K13" i="58"/>
  <c r="K17" i="58"/>
  <c r="K30" i="58"/>
  <c r="K34" i="58"/>
  <c r="K47" i="58"/>
  <c r="K52" i="58"/>
  <c r="K18" i="58"/>
  <c r="K23" i="58"/>
  <c r="K35" i="58"/>
  <c r="K39" i="58"/>
  <c r="C23" i="88"/>
  <c r="K48" i="58" l="1"/>
  <c r="K31" i="58"/>
  <c r="K42" i="58"/>
  <c r="K26" i="58"/>
  <c r="C11" i="88"/>
  <c r="K24" i="58"/>
  <c r="K36" i="58"/>
  <c r="K51" i="58"/>
  <c r="K25" i="58"/>
  <c r="K16" i="58"/>
  <c r="K46" i="58"/>
  <c r="K14" i="58"/>
  <c r="K43" i="58"/>
  <c r="K27" i="58"/>
  <c r="K10" i="58"/>
  <c r="K38" i="58"/>
  <c r="K22" i="58"/>
  <c r="K50" i="58"/>
  <c r="K15" i="58"/>
  <c r="K28" i="58"/>
  <c r="K12" i="58"/>
  <c r="K41" i="58"/>
  <c r="Q124" i="78"/>
  <c r="Q113" i="78"/>
  <c r="Q133" i="78"/>
  <c r="Q179" i="78"/>
  <c r="Q103" i="78"/>
  <c r="Q147" i="78"/>
  <c r="Q73" i="78"/>
  <c r="Q117" i="78"/>
  <c r="Q96" i="78"/>
  <c r="Q125" i="78"/>
  <c r="Q185" i="78"/>
  <c r="Q95" i="78"/>
  <c r="Q131" i="78"/>
  <c r="Q65" i="78"/>
  <c r="Q30" i="78"/>
  <c r="Q15" i="78"/>
  <c r="Q182" i="78"/>
  <c r="Q24" i="78"/>
  <c r="Q68" i="78"/>
  <c r="Q184" i="78"/>
  <c r="Q104" i="78"/>
  <c r="Q36" i="78"/>
  <c r="Q26" i="78"/>
  <c r="Q11" i="78"/>
  <c r="Q29" i="78"/>
  <c r="Q76" i="78"/>
  <c r="Q14" i="78"/>
  <c r="Q130" i="78"/>
  <c r="Q45" i="78"/>
  <c r="Q67" i="78"/>
  <c r="Q156" i="78"/>
  <c r="Q54" i="78"/>
  <c r="Q135" i="78"/>
  <c r="Q55" i="78"/>
  <c r="Q152" i="78"/>
  <c r="Q66" i="78"/>
  <c r="Q84" i="78"/>
  <c r="Q101" i="78"/>
  <c r="Q153" i="78"/>
  <c r="Q35" i="78"/>
  <c r="Q98" i="78"/>
  <c r="Q150" i="78"/>
  <c r="Q121" i="78"/>
  <c r="Q83" i="78"/>
  <c r="Q164" i="78"/>
  <c r="Q62" i="78"/>
  <c r="Q151" i="78"/>
  <c r="Q63" i="78"/>
  <c r="Q160" i="78"/>
  <c r="Q91" i="78"/>
  <c r="Q42" i="78"/>
  <c r="Q106" i="78"/>
  <c r="Q165" i="78"/>
  <c r="Q39" i="78"/>
  <c r="Q102" i="78"/>
  <c r="Q162" i="78"/>
  <c r="Q12" i="78"/>
  <c r="Q13" i="78"/>
  <c r="Q51" i="78"/>
  <c r="Q92" i="78"/>
  <c r="Q132" i="78"/>
  <c r="Q178" i="78"/>
  <c r="Q32" i="78"/>
  <c r="Q70" i="78"/>
  <c r="Q120" i="78"/>
  <c r="Q159" i="78"/>
  <c r="Q22" i="78"/>
  <c r="Q79" i="78"/>
  <c r="Q128" i="78"/>
  <c r="Q168" i="78"/>
  <c r="Q50" i="78"/>
  <c r="Q99" i="78"/>
  <c r="Q155" i="78"/>
  <c r="Q56" i="78"/>
  <c r="Q85" i="78"/>
  <c r="Q110" i="78"/>
  <c r="Q141" i="78"/>
  <c r="Q169" i="78"/>
  <c r="Q18" i="78"/>
  <c r="Q53" i="78"/>
  <c r="Q81" i="78"/>
  <c r="Q107" i="78"/>
  <c r="Q138" i="78"/>
  <c r="Q166" i="78"/>
  <c r="Q16" i="78"/>
  <c r="Q25" i="78"/>
  <c r="Q59" i="78"/>
  <c r="Q100" i="78"/>
  <c r="Q148" i="78"/>
  <c r="C33" i="88"/>
  <c r="Q37" i="78"/>
  <c r="Q87" i="78"/>
  <c r="Q127" i="78"/>
  <c r="Q167" i="78"/>
  <c r="Q38" i="78"/>
  <c r="Q88" i="78"/>
  <c r="Q136" i="78"/>
  <c r="Q183" i="78"/>
  <c r="Q58" i="78"/>
  <c r="Q116" i="78"/>
  <c r="Q48" i="78"/>
  <c r="Q60" i="78"/>
  <c r="Q89" i="78"/>
  <c r="Q122" i="78"/>
  <c r="Q149" i="78"/>
  <c r="Q173" i="78"/>
  <c r="Q31" i="78"/>
  <c r="Q57" i="78"/>
  <c r="Q86" i="78"/>
  <c r="Q119" i="78"/>
  <c r="Q146" i="78"/>
  <c r="Q170" i="78"/>
  <c r="Q28" i="78"/>
  <c r="Q19" i="78"/>
  <c r="Q41" i="78"/>
  <c r="Q75" i="78"/>
  <c r="Q109" i="78"/>
  <c r="Q140" i="78"/>
  <c r="Q172" i="78"/>
  <c r="Q20" i="78"/>
  <c r="Q44" i="78"/>
  <c r="Q78" i="78"/>
  <c r="Q112" i="78"/>
  <c r="Q143" i="78"/>
  <c r="Q174" i="78"/>
  <c r="Q33" i="78"/>
  <c r="Q71" i="78"/>
  <c r="Q105" i="78"/>
  <c r="Q144" i="78"/>
  <c r="Q176" i="78"/>
  <c r="Q34" i="78"/>
  <c r="Q82" i="78"/>
  <c r="Q123" i="78"/>
  <c r="Q163" i="78"/>
  <c r="Q52" i="78"/>
  <c r="Q72" i="78"/>
  <c r="Q93" i="78"/>
  <c r="Q118" i="78"/>
  <c r="Q137" i="78"/>
  <c r="Q157" i="78"/>
  <c r="Q180" i="78"/>
  <c r="Q23" i="78"/>
  <c r="Q49" i="78"/>
  <c r="Q69" i="78"/>
  <c r="Q90" i="78"/>
  <c r="Q115" i="78"/>
  <c r="Q134" i="78"/>
  <c r="Q154" i="78"/>
  <c r="Q47" i="78"/>
  <c r="Q17" i="78"/>
  <c r="Q40" i="78"/>
  <c r="Q74" i="78"/>
  <c r="Q108" i="78"/>
  <c r="Q139" i="78"/>
  <c r="Q171" i="78"/>
  <c r="Q46" i="78"/>
  <c r="Q64" i="78"/>
  <c r="Q80" i="78"/>
  <c r="Q97" i="78"/>
  <c r="Q114" i="78"/>
  <c r="Q129" i="78"/>
  <c r="Q145" i="78"/>
  <c r="Q161" i="78"/>
  <c r="Q10" i="78"/>
  <c r="Q27" i="78"/>
  <c r="Q43" i="78"/>
  <c r="Q61" i="78"/>
  <c r="Q77" i="78"/>
  <c r="Q94" i="78"/>
  <c r="Q111" i="78"/>
  <c r="Q126" i="78"/>
  <c r="Q142" i="78"/>
  <c r="Q158" i="78"/>
  <c r="Q175" i="78"/>
  <c r="N196" i="62"/>
  <c r="N95" i="62"/>
  <c r="N13" i="62"/>
  <c r="N133" i="62"/>
  <c r="N51" i="62"/>
  <c r="N142" i="62"/>
  <c r="N62" i="62"/>
  <c r="N179" i="62"/>
  <c r="N83" i="62"/>
  <c r="N240" i="62"/>
  <c r="N239" i="62"/>
  <c r="N222" i="62"/>
  <c r="N204" i="62"/>
  <c r="N187" i="62"/>
  <c r="N170" i="62"/>
  <c r="N153" i="62"/>
  <c r="N199" i="62"/>
  <c r="N125" i="62"/>
  <c r="N109" i="62"/>
  <c r="N93" i="62"/>
  <c r="N76" i="62"/>
  <c r="N60" i="62"/>
  <c r="N44" i="62"/>
  <c r="N27" i="62"/>
  <c r="N11" i="62"/>
  <c r="N238" i="62"/>
  <c r="N220" i="62"/>
  <c r="N203" i="62"/>
  <c r="N186" i="62"/>
  <c r="N169" i="62"/>
  <c r="N152" i="62"/>
  <c r="N20" i="62"/>
  <c r="N41" i="62"/>
  <c r="N63" i="62"/>
  <c r="N91" i="62"/>
  <c r="N112" i="62"/>
  <c r="N135" i="62"/>
  <c r="N155" i="62"/>
  <c r="N189" i="62"/>
  <c r="N225" i="62"/>
  <c r="N21" i="62"/>
  <c r="N42" i="62"/>
  <c r="N65" i="62"/>
  <c r="N87" i="62"/>
  <c r="N108" i="62"/>
  <c r="N131" i="62"/>
  <c r="N150" i="62"/>
  <c r="N183" i="62"/>
  <c r="N218" i="62"/>
  <c r="N17" i="62"/>
  <c r="N38" i="62"/>
  <c r="N61" i="62"/>
  <c r="N82" i="62"/>
  <c r="N104" i="62"/>
  <c r="N126" i="62"/>
  <c r="N145" i="62"/>
  <c r="N176" i="62"/>
  <c r="N211" i="62"/>
  <c r="N245" i="62"/>
  <c r="N163" i="62"/>
  <c r="N73" i="62"/>
  <c r="N223" i="62"/>
  <c r="N111" i="62"/>
  <c r="N29" i="62"/>
  <c r="N122" i="62"/>
  <c r="N40" i="62"/>
  <c r="N147" i="62"/>
  <c r="N67" i="62"/>
  <c r="N12" i="62"/>
  <c r="N235" i="62"/>
  <c r="N217" i="62"/>
  <c r="N200" i="62"/>
  <c r="N182" i="62"/>
  <c r="N166" i="62"/>
  <c r="N149" i="62"/>
  <c r="N138" i="62"/>
  <c r="N121" i="62"/>
  <c r="N105" i="62"/>
  <c r="N89" i="62"/>
  <c r="N72" i="62"/>
  <c r="N56" i="62"/>
  <c r="N39" i="62"/>
  <c r="N23" i="62"/>
  <c r="C16" i="88"/>
  <c r="C12" i="88" s="1"/>
  <c r="N234" i="62"/>
  <c r="N219" i="62"/>
  <c r="N168" i="62"/>
  <c r="N137" i="62"/>
  <c r="N110" i="62"/>
  <c r="N77" i="62"/>
  <c r="N50" i="62"/>
  <c r="N22" i="62"/>
  <c r="N210" i="62"/>
  <c r="N167" i="62"/>
  <c r="N136" i="62"/>
  <c r="N103" i="62"/>
  <c r="N75" i="62"/>
  <c r="N49" i="62"/>
  <c r="N16" i="62"/>
  <c r="N207" i="62"/>
  <c r="N164" i="62"/>
  <c r="N128" i="62"/>
  <c r="N102" i="62"/>
  <c r="N74" i="62"/>
  <c r="N36" i="62"/>
  <c r="N146" i="62"/>
  <c r="N165" i="62"/>
  <c r="N190" i="62"/>
  <c r="N212" i="62"/>
  <c r="N242" i="62"/>
  <c r="N31" i="62"/>
  <c r="N64" i="62"/>
  <c r="N97" i="62"/>
  <c r="N129" i="62"/>
  <c r="N158" i="62"/>
  <c r="N191" i="62"/>
  <c r="N227" i="62"/>
  <c r="N24" i="62"/>
  <c r="N214" i="62"/>
  <c r="N171" i="62"/>
  <c r="N154" i="62"/>
  <c r="N116" i="62"/>
  <c r="N202" i="62"/>
  <c r="N160" i="62"/>
  <c r="N132" i="62"/>
  <c r="N99" i="62"/>
  <c r="N71" i="62"/>
  <c r="N45" i="62"/>
  <c r="N244" i="62"/>
  <c r="N201" i="62"/>
  <c r="N159" i="62"/>
  <c r="N124" i="62"/>
  <c r="N98" i="62"/>
  <c r="N70" i="62"/>
  <c r="N37" i="62"/>
  <c r="N241" i="62"/>
  <c r="N197" i="62"/>
  <c r="N224" i="62"/>
  <c r="N123" i="62"/>
  <c r="N96" i="62"/>
  <c r="N58" i="62"/>
  <c r="N30" i="62"/>
  <c r="N148" i="62"/>
  <c r="N173" i="62"/>
  <c r="N194" i="62"/>
  <c r="N216" i="62"/>
  <c r="N246" i="62"/>
  <c r="N35" i="62"/>
  <c r="N68" i="62"/>
  <c r="N101" i="62"/>
  <c r="N134" i="62"/>
  <c r="N162" i="62"/>
  <c r="N195" i="62"/>
  <c r="N231" i="62"/>
  <c r="N46" i="62"/>
  <c r="N18" i="62"/>
  <c r="N206" i="62"/>
  <c r="N188" i="62"/>
  <c r="N139" i="62"/>
  <c r="C10" i="88" l="1"/>
  <c r="C42" i="88" l="1"/>
  <c r="O168" i="62" s="1"/>
  <c r="K166" i="76"/>
  <c r="O219" i="62"/>
  <c r="U249" i="61"/>
  <c r="U232" i="61"/>
  <c r="L35" i="58"/>
  <c r="L31" i="58"/>
  <c r="K14" i="81" l="1"/>
  <c r="K13" i="81"/>
  <c r="K12" i="81"/>
  <c r="K11" i="81"/>
  <c r="K10" i="81"/>
  <c r="M14" i="72"/>
  <c r="I21" i="80"/>
  <c r="I17" i="80"/>
  <c r="I13" i="80"/>
  <c r="I20" i="80"/>
  <c r="I16" i="80"/>
  <c r="I12" i="80"/>
  <c r="I23" i="80"/>
  <c r="I19" i="80"/>
  <c r="I15" i="80"/>
  <c r="I11" i="80"/>
  <c r="I22" i="80"/>
  <c r="I18" i="80"/>
  <c r="I14" i="80"/>
  <c r="I10" i="80"/>
  <c r="U141" i="61"/>
  <c r="O230" i="62"/>
  <c r="P31" i="69"/>
  <c r="U206" i="61"/>
  <c r="O26" i="62"/>
  <c r="P79" i="69"/>
  <c r="N50" i="63"/>
  <c r="N54" i="63"/>
  <c r="U45" i="61"/>
  <c r="U15" i="61"/>
  <c r="U128" i="61"/>
  <c r="O51" i="62"/>
  <c r="O106" i="62"/>
  <c r="P83" i="69"/>
  <c r="K39" i="73"/>
  <c r="U69" i="61"/>
  <c r="U19" i="61"/>
  <c r="U148" i="61"/>
  <c r="O72" i="62"/>
  <c r="O110" i="62"/>
  <c r="N17" i="63"/>
  <c r="K35" i="76"/>
  <c r="D42" i="88"/>
  <c r="L25" i="58"/>
  <c r="U149" i="61"/>
  <c r="U178" i="61"/>
  <c r="U119" i="61"/>
  <c r="U20" i="61"/>
  <c r="U241" i="61"/>
  <c r="O75" i="62"/>
  <c r="O19" i="62"/>
  <c r="O213" i="62"/>
  <c r="O214" i="62"/>
  <c r="P64" i="69"/>
  <c r="S35" i="71"/>
  <c r="P90" i="69"/>
  <c r="K36" i="73"/>
  <c r="D31" i="88"/>
  <c r="L41" i="58"/>
  <c r="U182" i="61"/>
  <c r="U242" i="61"/>
  <c r="U143" i="61"/>
  <c r="U24" i="61"/>
  <c r="O27" i="62"/>
  <c r="O129" i="62"/>
  <c r="O25" i="62"/>
  <c r="O231" i="62"/>
  <c r="O236" i="62"/>
  <c r="P88" i="69"/>
  <c r="P21" i="69"/>
  <c r="S37" i="71"/>
  <c r="K57" i="73"/>
  <c r="D13" i="88"/>
  <c r="L26" i="58"/>
  <c r="L24" i="58"/>
  <c r="U101" i="61"/>
  <c r="U186" i="61"/>
  <c r="U22" i="61"/>
  <c r="U41" i="61"/>
  <c r="U158" i="61"/>
  <c r="U63" i="61"/>
  <c r="U184" i="61"/>
  <c r="U171" i="61"/>
  <c r="U68" i="61"/>
  <c r="U193" i="61"/>
  <c r="O64" i="62"/>
  <c r="O136" i="62"/>
  <c r="O207" i="62"/>
  <c r="O133" i="62"/>
  <c r="O84" i="62"/>
  <c r="O162" i="62"/>
  <c r="O40" i="62"/>
  <c r="O150" i="62"/>
  <c r="N52" i="63"/>
  <c r="N43" i="63"/>
  <c r="N55" i="63"/>
  <c r="L17" i="66"/>
  <c r="P81" i="69"/>
  <c r="P14" i="69"/>
  <c r="K28" i="76"/>
  <c r="K35" i="73"/>
  <c r="K152" i="76"/>
  <c r="L42" i="58"/>
  <c r="L36" i="58"/>
  <c r="U133" i="61"/>
  <c r="U251" i="61"/>
  <c r="U46" i="61"/>
  <c r="U49" i="61"/>
  <c r="U203" i="61"/>
  <c r="U79" i="61"/>
  <c r="U192" i="61"/>
  <c r="U211" i="61"/>
  <c r="U84" i="61"/>
  <c r="U197" i="61"/>
  <c r="O66" i="62"/>
  <c r="O238" i="62"/>
  <c r="O215" i="62"/>
  <c r="O165" i="62"/>
  <c r="O107" i="62"/>
  <c r="O170" i="62"/>
  <c r="O61" i="62"/>
  <c r="O167" i="62"/>
  <c r="N57" i="63"/>
  <c r="N85" i="63"/>
  <c r="O14" i="64"/>
  <c r="K16" i="67"/>
  <c r="S13" i="71"/>
  <c r="P34" i="69"/>
  <c r="K55" i="76"/>
  <c r="K52" i="76"/>
  <c r="K104" i="76"/>
  <c r="K42" i="73"/>
  <c r="K111" i="76"/>
  <c r="K89" i="76"/>
  <c r="M13" i="72"/>
  <c r="K45" i="73"/>
  <c r="K63" i="76"/>
  <c r="K139" i="76"/>
  <c r="K48" i="73"/>
  <c r="P98" i="69"/>
  <c r="P42" i="69"/>
  <c r="N82" i="63"/>
  <c r="N29" i="63"/>
  <c r="P85" i="69"/>
  <c r="P25" i="69"/>
  <c r="P68" i="69"/>
  <c r="N67" i="63"/>
  <c r="P99" i="69"/>
  <c r="L13" i="65"/>
  <c r="N21" i="63"/>
  <c r="P24" i="69"/>
  <c r="N59" i="63"/>
  <c r="P87" i="69"/>
  <c r="O11" i="64"/>
  <c r="N30" i="63"/>
  <c r="O218" i="62"/>
  <c r="O171" i="62"/>
  <c r="O135" i="62"/>
  <c r="O90" i="62"/>
  <c r="O45" i="62"/>
  <c r="O239" i="62"/>
  <c r="O191" i="62"/>
  <c r="O221" i="62"/>
  <c r="O184" i="62"/>
  <c r="O112" i="62"/>
  <c r="O52" i="62"/>
  <c r="O226" i="62"/>
  <c r="O138" i="62"/>
  <c r="O78" i="62"/>
  <c r="O23" i="62"/>
  <c r="O172" i="62"/>
  <c r="O87" i="62"/>
  <c r="O50" i="62"/>
  <c r="O80" i="62"/>
  <c r="O132" i="62"/>
  <c r="O22" i="62"/>
  <c r="O38" i="62"/>
  <c r="U217" i="61"/>
  <c r="U177" i="61"/>
  <c r="U132" i="61"/>
  <c r="U88" i="61"/>
  <c r="U48" i="61"/>
  <c r="R18" i="59"/>
  <c r="U179" i="61"/>
  <c r="U94" i="61"/>
  <c r="U212" i="61"/>
  <c r="U168" i="61"/>
  <c r="U127" i="61"/>
  <c r="U83" i="61"/>
  <c r="U39" i="61"/>
  <c r="R17" i="59"/>
  <c r="U167" i="61"/>
  <c r="U82" i="61"/>
  <c r="U97" i="61"/>
  <c r="U17" i="61"/>
  <c r="U157" i="61"/>
  <c r="U54" i="61"/>
  <c r="U21" i="61"/>
  <c r="U66" i="61"/>
  <c r="U202" i="61"/>
  <c r="U77" i="61"/>
  <c r="R16" i="59"/>
  <c r="U42" i="61"/>
  <c r="L29" i="58"/>
  <c r="L40" i="58"/>
  <c r="L53" i="58"/>
  <c r="L18" i="58"/>
  <c r="L30" i="58"/>
  <c r="D15" i="88"/>
  <c r="D38" i="88"/>
  <c r="D35" i="88"/>
  <c r="K82" i="76"/>
  <c r="K25" i="73"/>
  <c r="K107" i="76"/>
  <c r="K48" i="76"/>
  <c r="D10" i="88"/>
  <c r="D28" i="88"/>
  <c r="D37" i="88"/>
  <c r="L47" i="58"/>
  <c r="L48" i="58"/>
  <c r="L54" i="58"/>
  <c r="L46" i="58"/>
  <c r="U247" i="61"/>
  <c r="U121" i="61"/>
  <c r="R15" i="59"/>
  <c r="R24" i="59"/>
  <c r="U78" i="61"/>
  <c r="U222" i="61"/>
  <c r="U73" i="61"/>
  <c r="U114" i="61"/>
  <c r="U207" i="61"/>
  <c r="U35" i="61"/>
  <c r="U99" i="61"/>
  <c r="U147" i="61"/>
  <c r="U208" i="61"/>
  <c r="U126" i="61"/>
  <c r="U227" i="61"/>
  <c r="U40" i="61"/>
  <c r="U104" i="61"/>
  <c r="U152" i="61"/>
  <c r="U213" i="61"/>
  <c r="O125" i="62"/>
  <c r="O76" i="62"/>
  <c r="O70" i="62"/>
  <c r="O137" i="62"/>
  <c r="O152" i="62"/>
  <c r="O13" i="62"/>
  <c r="O100" i="62"/>
  <c r="O173" i="62"/>
  <c r="O47" i="62"/>
  <c r="O134" i="62"/>
  <c r="O229" i="62"/>
  <c r="O187" i="62"/>
  <c r="O20" i="62"/>
  <c r="O69" i="62"/>
  <c r="O126" i="62"/>
  <c r="O188" i="62"/>
  <c r="O240" i="62"/>
  <c r="N84" i="63"/>
  <c r="S28" i="71"/>
  <c r="O13" i="64"/>
  <c r="S29" i="71"/>
  <c r="P35" i="69"/>
  <c r="N34" i="63"/>
  <c r="P44" i="69"/>
  <c r="P49" i="69"/>
  <c r="S21" i="71"/>
  <c r="N78" i="63"/>
  <c r="P62" i="69"/>
  <c r="M15" i="72"/>
  <c r="K123" i="76"/>
  <c r="K142" i="76"/>
  <c r="K72" i="76"/>
  <c r="K154" i="76"/>
  <c r="K26" i="76"/>
  <c r="D33" i="88"/>
  <c r="D29" i="88"/>
  <c r="L13" i="58"/>
  <c r="L14" i="58"/>
  <c r="L19" i="58"/>
  <c r="L12" i="58"/>
  <c r="U26" i="61"/>
  <c r="U37" i="61"/>
  <c r="U137" i="61"/>
  <c r="U50" i="61"/>
  <c r="U14" i="61"/>
  <c r="U93" i="61"/>
  <c r="R20" i="59"/>
  <c r="U162" i="61"/>
  <c r="U130" i="61"/>
  <c r="U243" i="61"/>
  <c r="U55" i="61"/>
  <c r="U103" i="61"/>
  <c r="U164" i="61"/>
  <c r="U228" i="61"/>
  <c r="U134" i="61"/>
  <c r="R14" i="59"/>
  <c r="U64" i="61"/>
  <c r="U112" i="61"/>
  <c r="U169" i="61"/>
  <c r="U233" i="61"/>
  <c r="O224" i="62"/>
  <c r="O120" i="62"/>
  <c r="O124" i="62"/>
  <c r="O177" i="62"/>
  <c r="O164" i="62"/>
  <c r="O46" i="62"/>
  <c r="O111" i="62"/>
  <c r="O208" i="62"/>
  <c r="O74" i="62"/>
  <c r="O185" i="62"/>
  <c r="O205" i="62"/>
  <c r="O209" i="62"/>
  <c r="O24" i="62"/>
  <c r="O85" i="62"/>
  <c r="O147" i="62"/>
  <c r="O196" i="62"/>
  <c r="N18" i="63"/>
  <c r="P15" i="69"/>
  <c r="N14" i="63"/>
  <c r="P16" i="69"/>
  <c r="N49" i="63"/>
  <c r="P43" i="69"/>
  <c r="N61" i="63"/>
  <c r="S16" i="71"/>
  <c r="P57" i="69"/>
  <c r="N16" i="63"/>
  <c r="L14" i="66"/>
  <c r="P66" i="69"/>
  <c r="K32" i="73"/>
  <c r="K21" i="73"/>
  <c r="M12" i="72"/>
  <c r="K151" i="76"/>
  <c r="K61" i="76"/>
  <c r="K34" i="76"/>
  <c r="K162" i="76"/>
  <c r="K149" i="76"/>
  <c r="K108" i="76"/>
  <c r="K74" i="76"/>
  <c r="K38" i="76"/>
  <c r="L12" i="74"/>
  <c r="K38" i="73"/>
  <c r="M27" i="72"/>
  <c r="K156" i="76"/>
  <c r="K128" i="76"/>
  <c r="K95" i="76"/>
  <c r="K69" i="76"/>
  <c r="K130" i="76"/>
  <c r="K67" i="76"/>
  <c r="K27" i="76"/>
  <c r="K52" i="73"/>
  <c r="M30" i="72"/>
  <c r="K143" i="76"/>
  <c r="K88" i="76"/>
  <c r="K36" i="76"/>
  <c r="K56" i="73"/>
  <c r="K16" i="73"/>
  <c r="K150" i="76"/>
  <c r="K93" i="76"/>
  <c r="K51" i="76"/>
  <c r="K55" i="73"/>
  <c r="K13" i="73"/>
  <c r="K155" i="76"/>
  <c r="K90" i="76"/>
  <c r="K49" i="76"/>
  <c r="K17" i="76"/>
  <c r="K37" i="73"/>
  <c r="M32" i="72"/>
  <c r="S32" i="71"/>
  <c r="P102" i="69"/>
  <c r="P86" i="69"/>
  <c r="P70" i="69"/>
  <c r="P54" i="69"/>
  <c r="P38" i="69"/>
  <c r="P22" i="69"/>
  <c r="L19" i="66"/>
  <c r="O12" i="64"/>
  <c r="N74" i="63"/>
  <c r="N58" i="63"/>
  <c r="N42" i="63"/>
  <c r="N25" i="63"/>
  <c r="S36" i="71"/>
  <c r="S17" i="71"/>
  <c r="P93" i="69"/>
  <c r="P77" i="69"/>
  <c r="P61" i="69"/>
  <c r="P45" i="69"/>
  <c r="P29" i="69"/>
  <c r="P13" i="69"/>
  <c r="S25" i="71"/>
  <c r="P84" i="69"/>
  <c r="P52" i="69"/>
  <c r="P20" i="69"/>
  <c r="L11" i="66"/>
  <c r="N72" i="63"/>
  <c r="N51" i="63"/>
  <c r="N28" i="63"/>
  <c r="S33" i="71"/>
  <c r="P91" i="69"/>
  <c r="P59" i="69"/>
  <c r="P27" i="69"/>
  <c r="L15" i="66"/>
  <c r="N81" i="63"/>
  <c r="N60" i="63"/>
  <c r="N38" i="63"/>
  <c r="N15" i="63"/>
  <c r="P104" i="69"/>
  <c r="P72" i="69"/>
  <c r="P40" i="69"/>
  <c r="K12" i="67"/>
  <c r="O18" i="64"/>
  <c r="N75" i="63"/>
  <c r="N53" i="63"/>
  <c r="N31" i="63"/>
  <c r="S38" i="71"/>
  <c r="P103" i="69"/>
  <c r="P71" i="69"/>
  <c r="P39" i="69"/>
  <c r="K11" i="67"/>
  <c r="O17" i="64"/>
  <c r="N73" i="63"/>
  <c r="K141" i="76"/>
  <c r="K86" i="76"/>
  <c r="K50" i="76"/>
  <c r="K58" i="73"/>
  <c r="K20" i="73"/>
  <c r="K161" i="76"/>
  <c r="K120" i="76"/>
  <c r="K85" i="76"/>
  <c r="K138" i="76"/>
  <c r="K59" i="76"/>
  <c r="L13" i="74"/>
  <c r="K17" i="73"/>
  <c r="K135" i="76"/>
  <c r="K57" i="76"/>
  <c r="L11" i="74"/>
  <c r="M24" i="72"/>
  <c r="K126" i="76"/>
  <c r="K56" i="76"/>
  <c r="K44" i="73"/>
  <c r="M16" i="72"/>
  <c r="K114" i="76"/>
  <c r="K39" i="76"/>
  <c r="K53" i="73"/>
  <c r="K12" i="73"/>
  <c r="S23" i="71"/>
  <c r="P94" i="69"/>
  <c r="P74" i="69"/>
  <c r="P50" i="69"/>
  <c r="P30" i="69"/>
  <c r="K14" i="67"/>
  <c r="N86" i="63"/>
  <c r="N66" i="63"/>
  <c r="N46" i="63"/>
  <c r="N20" i="63"/>
  <c r="S26" i="71"/>
  <c r="P97" i="69"/>
  <c r="P73" i="69"/>
  <c r="P53" i="69"/>
  <c r="P33" i="69"/>
  <c r="K13" i="67"/>
  <c r="P100" i="69"/>
  <c r="P60" i="69"/>
  <c r="P12" i="69"/>
  <c r="N83" i="63"/>
  <c r="N56" i="63"/>
  <c r="N22" i="63"/>
  <c r="S15" i="71"/>
  <c r="P67" i="69"/>
  <c r="P19" i="69"/>
  <c r="O19" i="64"/>
  <c r="N65" i="63"/>
  <c r="N32" i="63"/>
  <c r="S20" i="71"/>
  <c r="P80" i="69"/>
  <c r="P32" i="69"/>
  <c r="L13" i="66"/>
  <c r="N80" i="63"/>
  <c r="N48" i="63"/>
  <c r="N19" i="63"/>
  <c r="S11" i="71"/>
  <c r="P63" i="69"/>
  <c r="P23" i="69"/>
  <c r="L11" i="65"/>
  <c r="N68" i="63"/>
  <c r="N47" i="63"/>
  <c r="N23" i="63"/>
  <c r="O244" i="62"/>
  <c r="O228" i="62"/>
  <c r="O210" i="62"/>
  <c r="O192" i="62"/>
  <c r="O175" i="62"/>
  <c r="O159" i="62"/>
  <c r="O144" i="62"/>
  <c r="O131" i="62"/>
  <c r="O114" i="62"/>
  <c r="O98" i="62"/>
  <c r="O81" i="62"/>
  <c r="O65" i="62"/>
  <c r="O49" i="62"/>
  <c r="O32" i="62"/>
  <c r="O16" i="62"/>
  <c r="O235" i="62"/>
  <c r="O217" i="62"/>
  <c r="O200" i="62"/>
  <c r="O182" i="62"/>
  <c r="O166" i="62"/>
  <c r="O149" i="62"/>
  <c r="O245" i="62"/>
  <c r="O211" i="62"/>
  <c r="O176" i="62"/>
  <c r="O145" i="62"/>
  <c r="O123" i="62"/>
  <c r="O101" i="62"/>
  <c r="O79" i="62"/>
  <c r="O58" i="62"/>
  <c r="O35" i="62"/>
  <c r="O14" i="62"/>
  <c r="O216" i="62"/>
  <c r="O181" i="62"/>
  <c r="O148" i="62"/>
  <c r="O127" i="62"/>
  <c r="O105" i="62"/>
  <c r="O83" i="62"/>
  <c r="O62" i="62"/>
  <c r="O39" i="62"/>
  <c r="O18" i="62"/>
  <c r="O225" i="62"/>
  <c r="O189" i="62"/>
  <c r="O155" i="62"/>
  <c r="O140" i="62"/>
  <c r="O97" i="62"/>
  <c r="O31" i="62"/>
  <c r="O115" i="62"/>
  <c r="O17" i="62"/>
  <c r="O146" i="62"/>
  <c r="O103" i="62"/>
  <c r="O59" i="62"/>
  <c r="O15" i="62"/>
  <c r="O142" i="62"/>
  <c r="O99" i="62"/>
  <c r="O55" i="62"/>
  <c r="O11" i="62"/>
  <c r="O212" i="62"/>
  <c r="O82" i="62"/>
  <c r="U237" i="61"/>
  <c r="U221" i="61"/>
  <c r="U205" i="61"/>
  <c r="U189" i="61"/>
  <c r="U173" i="61"/>
  <c r="U156" i="61"/>
  <c r="U140" i="61"/>
  <c r="U124" i="61"/>
  <c r="U108" i="61"/>
  <c r="U92" i="61"/>
  <c r="U76" i="61"/>
  <c r="U60" i="61"/>
  <c r="U44" i="61"/>
  <c r="U28" i="61"/>
  <c r="U12" i="61"/>
  <c r="U248" i="61"/>
  <c r="U223" i="61"/>
  <c r="U183" i="61"/>
  <c r="U154" i="61"/>
  <c r="U118" i="61"/>
  <c r="U86" i="61"/>
  <c r="U236" i="61"/>
  <c r="U220" i="61"/>
  <c r="U204" i="61"/>
  <c r="U188" i="61"/>
  <c r="U172" i="61"/>
  <c r="U155" i="61"/>
  <c r="U139" i="61"/>
  <c r="U123" i="61"/>
  <c r="U107" i="61"/>
  <c r="U91" i="61"/>
  <c r="U75" i="61"/>
  <c r="U59" i="61"/>
  <c r="U43" i="61"/>
  <c r="U27" i="61"/>
  <c r="U11" i="61"/>
  <c r="R13" i="59"/>
  <c r="U215" i="61"/>
  <c r="U187" i="61"/>
  <c r="U150" i="61"/>
  <c r="U122" i="61"/>
  <c r="U90" i="61"/>
  <c r="U210" i="61"/>
  <c r="U145" i="61"/>
  <c r="U81" i="61"/>
  <c r="D23" i="88"/>
  <c r="D16" i="88"/>
  <c r="D17" i="88"/>
  <c r="D18" i="88"/>
  <c r="D19" i="88"/>
  <c r="D20" i="88"/>
  <c r="L17" i="58"/>
  <c r="L34" i="58"/>
  <c r="L52" i="58"/>
  <c r="L23" i="58"/>
  <c r="L39" i="58"/>
  <c r="L11" i="58"/>
  <c r="L28" i="58"/>
  <c r="L45" i="58"/>
  <c r="L16" i="58"/>
  <c r="L33" i="58"/>
  <c r="L51" i="58"/>
  <c r="U58" i="61"/>
  <c r="U166" i="61"/>
  <c r="U13" i="61"/>
  <c r="U53" i="61"/>
  <c r="U89" i="61"/>
  <c r="U153" i="61"/>
  <c r="U218" i="61"/>
  <c r="U18" i="61"/>
  <c r="U85" i="61"/>
  <c r="U214" i="61"/>
  <c r="R11" i="59"/>
  <c r="U30" i="61"/>
  <c r="U62" i="61"/>
  <c r="U109" i="61"/>
  <c r="U174" i="61"/>
  <c r="U238" i="61"/>
  <c r="U25" i="61"/>
  <c r="U57" i="61"/>
  <c r="U113" i="61"/>
  <c r="U194" i="61"/>
  <c r="U98" i="61"/>
  <c r="U138" i="61"/>
  <c r="U175" i="61"/>
  <c r="U219" i="61"/>
  <c r="R21" i="59"/>
  <c r="U23" i="61"/>
  <c r="U47" i="61"/>
  <c r="U67" i="61"/>
  <c r="U87" i="61"/>
  <c r="U111" i="61"/>
  <c r="U131" i="61"/>
  <c r="U151" i="61"/>
  <c r="U176" i="61"/>
  <c r="U196" i="61"/>
  <c r="U216" i="61"/>
  <c r="U240" i="61"/>
  <c r="U102" i="61"/>
  <c r="U142" i="61"/>
  <c r="U191" i="61"/>
  <c r="U235" i="61"/>
  <c r="R22" i="59"/>
  <c r="U32" i="61"/>
  <c r="U52" i="61"/>
  <c r="U72" i="61"/>
  <c r="U96" i="61"/>
  <c r="U116" i="61"/>
  <c r="U136" i="61"/>
  <c r="U161" i="61"/>
  <c r="U181" i="61"/>
  <c r="U201" i="61"/>
  <c r="U225" i="61"/>
  <c r="U246" i="61"/>
  <c r="O60" i="62"/>
  <c r="O21" i="62"/>
  <c r="O33" i="62"/>
  <c r="O88" i="62"/>
  <c r="O161" i="62"/>
  <c r="O37" i="62"/>
  <c r="O92" i="62"/>
  <c r="O169" i="62"/>
  <c r="O71" i="62"/>
  <c r="O246" i="62"/>
  <c r="O108" i="62"/>
  <c r="O186" i="62"/>
  <c r="O180" i="62"/>
  <c r="O233" i="62"/>
  <c r="O29" i="62"/>
  <c r="O56" i="62"/>
  <c r="O89" i="62"/>
  <c r="O116" i="62"/>
  <c r="O143" i="62"/>
  <c r="O190" i="62"/>
  <c r="O234" i="62"/>
  <c r="O30" i="62"/>
  <c r="O63" i="62"/>
  <c r="O91" i="62"/>
  <c r="O117" i="62"/>
  <c r="O151" i="62"/>
  <c r="O193" i="62"/>
  <c r="O237" i="62"/>
  <c r="O153" i="62"/>
  <c r="O174" i="62"/>
  <c r="O195" i="62"/>
  <c r="O222" i="62"/>
  <c r="O243" i="62"/>
  <c r="O28" i="62"/>
  <c r="O53" i="62"/>
  <c r="O73" i="62"/>
  <c r="O94" i="62"/>
  <c r="O118" i="62"/>
  <c r="O139" i="62"/>
  <c r="O154" i="62"/>
  <c r="O179" i="62"/>
  <c r="O201" i="62"/>
  <c r="O223" i="62"/>
  <c r="N35" i="63"/>
  <c r="N63" i="63"/>
  <c r="L12" i="66"/>
  <c r="P47" i="69"/>
  <c r="P95" i="69"/>
  <c r="N26" i="63"/>
  <c r="N64" i="63"/>
  <c r="L12" i="65"/>
  <c r="P48" i="69"/>
  <c r="P96" i="69"/>
  <c r="N27" i="63"/>
  <c r="N71" i="63"/>
  <c r="K15" i="67"/>
  <c r="P51" i="69"/>
  <c r="S24" i="71"/>
  <c r="N39" i="63"/>
  <c r="N77" i="63"/>
  <c r="P28" i="69"/>
  <c r="P76" i="69"/>
  <c r="L18" i="66"/>
  <c r="P37" i="69"/>
  <c r="P65" i="69"/>
  <c r="P89" i="69"/>
  <c r="S31" i="71"/>
  <c r="N33" i="63"/>
  <c r="N62" i="63"/>
  <c r="O16" i="64"/>
  <c r="P18" i="69"/>
  <c r="P46" i="69"/>
  <c r="P78" i="69"/>
  <c r="S14" i="71"/>
  <c r="M26" i="72"/>
  <c r="K59" i="73"/>
  <c r="K76" i="76"/>
  <c r="M11" i="72"/>
  <c r="K19" i="76"/>
  <c r="K87" i="76"/>
  <c r="M18" i="72"/>
  <c r="K25" i="76"/>
  <c r="K102" i="76"/>
  <c r="M20" i="72"/>
  <c r="K21" i="76"/>
  <c r="K97" i="76"/>
  <c r="K73" i="76"/>
  <c r="K136" i="76"/>
  <c r="M19" i="72"/>
  <c r="K46" i="73"/>
  <c r="K54" i="76"/>
  <c r="K121" i="76"/>
  <c r="D12" i="88"/>
  <c r="D11" i="88"/>
  <c r="D21" i="88"/>
  <c r="D24" i="88"/>
  <c r="D26" i="88"/>
  <c r="D27" i="88"/>
  <c r="L22" i="58"/>
  <c r="L38" i="58"/>
  <c r="L10" i="58"/>
  <c r="L27" i="58"/>
  <c r="L43" i="58"/>
  <c r="L15" i="58"/>
  <c r="L32" i="58"/>
  <c r="L50" i="58"/>
  <c r="L21" i="58"/>
  <c r="L37" i="58"/>
  <c r="R23" i="59"/>
  <c r="U74" i="61"/>
  <c r="U198" i="61"/>
  <c r="U29" i="61"/>
  <c r="U61" i="61"/>
  <c r="U105" i="61"/>
  <c r="U170" i="61"/>
  <c r="U234" i="61"/>
  <c r="U34" i="61"/>
  <c r="U117" i="61"/>
  <c r="U230" i="61"/>
  <c r="R19" i="59"/>
  <c r="U38" i="61"/>
  <c r="U70" i="61"/>
  <c r="U125" i="61"/>
  <c r="U190" i="61"/>
  <c r="R12" i="59"/>
  <c r="U33" i="61"/>
  <c r="U65" i="61"/>
  <c r="U129" i="61"/>
  <c r="U226" i="61"/>
  <c r="U106" i="61"/>
  <c r="U146" i="61"/>
  <c r="U195" i="61"/>
  <c r="U231" i="61"/>
  <c r="R25" i="59"/>
  <c r="U31" i="61"/>
  <c r="U51" i="61"/>
  <c r="U71" i="61"/>
  <c r="U95" i="61"/>
  <c r="U115" i="61"/>
  <c r="U135" i="61"/>
  <c r="U159" i="61"/>
  <c r="U180" i="61"/>
  <c r="U200" i="61"/>
  <c r="U224" i="61"/>
  <c r="U245" i="61"/>
  <c r="U110" i="61"/>
  <c r="U163" i="61"/>
  <c r="U199" i="61"/>
  <c r="U239" i="61"/>
  <c r="U16" i="61"/>
  <c r="U36" i="61"/>
  <c r="U56" i="61"/>
  <c r="U80" i="61"/>
  <c r="U100" i="61"/>
  <c r="U120" i="61"/>
  <c r="U144" i="61"/>
  <c r="U165" i="61"/>
  <c r="U185" i="61"/>
  <c r="U209" i="61"/>
  <c r="U229" i="61"/>
  <c r="U250" i="61"/>
  <c r="O93" i="62"/>
  <c r="O42" i="62"/>
  <c r="O44" i="62"/>
  <c r="O109" i="62"/>
  <c r="O194" i="62"/>
  <c r="O48" i="62"/>
  <c r="O113" i="62"/>
  <c r="O203" i="62"/>
  <c r="O104" i="62"/>
  <c r="O54" i="62"/>
  <c r="O119" i="62"/>
  <c r="O220" i="62"/>
  <c r="O197" i="62"/>
  <c r="O241" i="62"/>
  <c r="O34" i="62"/>
  <c r="O67" i="62"/>
  <c r="O95" i="62"/>
  <c r="O121" i="62"/>
  <c r="O156" i="62"/>
  <c r="O198" i="62"/>
  <c r="O242" i="62"/>
  <c r="O41" i="62"/>
  <c r="O68" i="62"/>
  <c r="O96" i="62"/>
  <c r="O128" i="62"/>
  <c r="O160" i="62"/>
  <c r="O202" i="62"/>
  <c r="O199" i="62"/>
  <c r="O158" i="62"/>
  <c r="O178" i="62"/>
  <c r="O204" i="62"/>
  <c r="O227" i="62"/>
  <c r="O12" i="62"/>
  <c r="O36" i="62"/>
  <c r="O57" i="62"/>
  <c r="O77" i="62"/>
  <c r="O102" i="62"/>
  <c r="O122" i="62"/>
  <c r="O141" i="62"/>
  <c r="O163" i="62"/>
  <c r="O183" i="62"/>
  <c r="O206" i="62"/>
  <c r="O232" i="62"/>
  <c r="N13" i="63"/>
  <c r="N41" i="63"/>
  <c r="N79" i="63"/>
  <c r="L20" i="66"/>
  <c r="P55" i="69"/>
  <c r="S19" i="71"/>
  <c r="N36" i="63"/>
  <c r="N69" i="63"/>
  <c r="L21" i="66"/>
  <c r="P56" i="69"/>
  <c r="S12" i="71"/>
  <c r="N44" i="63"/>
  <c r="N76" i="63"/>
  <c r="P11" i="69"/>
  <c r="P75" i="69"/>
  <c r="N11" i="63"/>
  <c r="N45" i="63"/>
  <c r="O15" i="64"/>
  <c r="P36" i="69"/>
  <c r="P92" i="69"/>
  <c r="P17" i="69"/>
  <c r="P41" i="69"/>
  <c r="P69" i="69"/>
  <c r="P101" i="69"/>
  <c r="N12" i="63"/>
  <c r="N37" i="63"/>
  <c r="N70" i="63"/>
  <c r="L14" i="65"/>
  <c r="P26" i="69"/>
  <c r="P58" i="69"/>
  <c r="P82" i="69"/>
  <c r="S18" i="71"/>
  <c r="K26" i="73"/>
  <c r="K23" i="76"/>
  <c r="K84" i="76"/>
  <c r="M33" i="72"/>
  <c r="K29" i="76"/>
  <c r="K109" i="76"/>
  <c r="K22" i="73"/>
  <c r="K31" i="76"/>
  <c r="K110" i="76"/>
  <c r="K31" i="73"/>
  <c r="K37" i="76"/>
  <c r="K105" i="76"/>
  <c r="K91" i="76"/>
  <c r="K140" i="76"/>
  <c r="M35" i="72"/>
  <c r="K18" i="76"/>
  <c r="K58" i="76"/>
  <c r="K133" i="76"/>
  <c r="S27" i="71"/>
  <c r="M21" i="72"/>
  <c r="K19" i="73"/>
  <c r="K43" i="73"/>
  <c r="K12" i="76"/>
  <c r="K33" i="76"/>
  <c r="K60" i="76"/>
  <c r="K106" i="76"/>
  <c r="K147" i="76"/>
  <c r="M22" i="72"/>
  <c r="K33" i="73"/>
  <c r="K13" i="76"/>
  <c r="K40" i="76"/>
  <c r="K79" i="76"/>
  <c r="K118" i="76"/>
  <c r="K159" i="76"/>
  <c r="M34" i="72"/>
  <c r="K40" i="73"/>
  <c r="K15" i="76"/>
  <c r="K47" i="76"/>
  <c r="K80" i="76"/>
  <c r="K119" i="76"/>
  <c r="K168" i="76"/>
  <c r="K11" i="73"/>
  <c r="K41" i="73"/>
  <c r="K16" i="76"/>
  <c r="K43" i="76"/>
  <c r="K75" i="76"/>
  <c r="K122" i="76"/>
  <c r="K163" i="76"/>
  <c r="K77" i="76"/>
  <c r="K103" i="76"/>
  <c r="K124" i="76"/>
  <c r="K144" i="76"/>
  <c r="K169" i="76"/>
  <c r="M31" i="72"/>
  <c r="K30" i="73"/>
  <c r="K54" i="73"/>
  <c r="K22" i="76"/>
  <c r="K42" i="76"/>
  <c r="K66" i="76"/>
  <c r="K100" i="76"/>
  <c r="K125" i="76"/>
  <c r="K153" i="76"/>
  <c r="K70" i="76"/>
  <c r="K92" i="76"/>
  <c r="K116" i="76"/>
  <c r="K137" i="76"/>
  <c r="K158" i="76"/>
  <c r="K44" i="76"/>
  <c r="K68" i="76"/>
  <c r="K98" i="76"/>
  <c r="K131" i="76"/>
  <c r="K164" i="76"/>
  <c r="M28" i="72"/>
  <c r="K28" i="73"/>
  <c r="K49" i="73"/>
  <c r="K24" i="76"/>
  <c r="K45" i="76"/>
  <c r="K71" i="76"/>
  <c r="K101" i="76"/>
  <c r="K134" i="76"/>
  <c r="K167" i="76"/>
  <c r="M29" i="72"/>
  <c r="K29" i="73"/>
  <c r="K51" i="73"/>
  <c r="K20" i="76"/>
  <c r="K41" i="76"/>
  <c r="K64" i="76"/>
  <c r="K94" i="76"/>
  <c r="K127" i="76"/>
  <c r="K160" i="76"/>
  <c r="M25" i="72"/>
  <c r="K24" i="73"/>
  <c r="K47" i="73"/>
  <c r="K11" i="76"/>
  <c r="K32" i="76"/>
  <c r="K53" i="76"/>
  <c r="K83" i="76"/>
  <c r="K113" i="76"/>
  <c r="K146" i="76"/>
  <c r="K65" i="76"/>
  <c r="K81" i="76"/>
  <c r="K99" i="76"/>
  <c r="K115" i="76"/>
  <c r="K132" i="76"/>
  <c r="K148" i="76"/>
  <c r="K165" i="76"/>
  <c r="M23" i="72"/>
  <c r="K14" i="73"/>
  <c r="K34" i="73"/>
  <c r="K50" i="73"/>
  <c r="K14" i="76"/>
  <c r="K30" i="76"/>
  <c r="K46" i="76"/>
  <c r="K62" i="76"/>
  <c r="K78" i="76"/>
  <c r="K96" i="76"/>
  <c r="K112" i="76"/>
  <c r="K129" i="76"/>
  <c r="K145" i="76"/>
  <c r="R185" i="78"/>
  <c r="R181" i="78"/>
  <c r="R47" i="78"/>
  <c r="R175" i="78"/>
  <c r="R170" i="78"/>
  <c r="R166" i="78"/>
  <c r="R162" i="78"/>
  <c r="R158" i="78"/>
  <c r="R154" i="78"/>
  <c r="R150" i="78"/>
  <c r="R146" i="78"/>
  <c r="R142" i="78"/>
  <c r="R138" i="78"/>
  <c r="R134" i="78"/>
  <c r="R130" i="78"/>
  <c r="R126" i="78"/>
  <c r="R104" i="78"/>
  <c r="R119" i="78"/>
  <c r="R115" i="78"/>
  <c r="R111" i="78"/>
  <c r="R107" i="78"/>
  <c r="R102" i="78"/>
  <c r="R98" i="78"/>
  <c r="R94" i="78"/>
  <c r="R90" i="78"/>
  <c r="R86" i="78"/>
  <c r="R81" i="78"/>
  <c r="R77" i="78"/>
  <c r="R73" i="78"/>
  <c r="R69" i="78"/>
  <c r="R65" i="78"/>
  <c r="R61" i="78"/>
  <c r="R57" i="78"/>
  <c r="R53" i="78"/>
  <c r="R49" i="78"/>
  <c r="R43" i="78"/>
  <c r="R39" i="78"/>
  <c r="R35" i="78"/>
  <c r="R31" i="78"/>
  <c r="R27" i="78"/>
  <c r="R23" i="78"/>
  <c r="R18" i="78"/>
  <c r="R14" i="78"/>
  <c r="R184" i="78"/>
  <c r="R180" i="78"/>
  <c r="R173" i="78"/>
  <c r="R169" i="78"/>
  <c r="R165" i="78"/>
  <c r="R161" i="78"/>
  <c r="R157" i="78"/>
  <c r="R153" i="78"/>
  <c r="R149" i="78"/>
  <c r="R145" i="78"/>
  <c r="R141" i="78"/>
  <c r="R137" i="78"/>
  <c r="R133" i="78"/>
  <c r="R129" i="78"/>
  <c r="R125" i="78"/>
  <c r="R122" i="78"/>
  <c r="R118" i="78"/>
  <c r="R114" i="78"/>
  <c r="R110" i="78"/>
  <c r="R106" i="78"/>
  <c r="R101" i="78"/>
  <c r="R97" i="78"/>
  <c r="R93" i="78"/>
  <c r="R89" i="78"/>
  <c r="R85" i="78"/>
  <c r="R80" i="78"/>
  <c r="R76" i="78"/>
  <c r="R72" i="78"/>
  <c r="R68" i="78"/>
  <c r="R64" i="78"/>
  <c r="R60" i="78"/>
  <c r="R56" i="78"/>
  <c r="R52" i="78"/>
  <c r="R46" i="78"/>
  <c r="R42" i="78"/>
  <c r="R183" i="78"/>
  <c r="R176" i="78"/>
  <c r="R168" i="78"/>
  <c r="R160" i="78"/>
  <c r="R152" i="78"/>
  <c r="R144" i="78"/>
  <c r="R136" i="78"/>
  <c r="R128" i="78"/>
  <c r="R121" i="78"/>
  <c r="R113" i="78"/>
  <c r="R105" i="78"/>
  <c r="R96" i="78"/>
  <c r="R88" i="78"/>
  <c r="R79" i="78"/>
  <c r="R71" i="78"/>
  <c r="R63" i="78"/>
  <c r="R55" i="78"/>
  <c r="R45" i="78"/>
  <c r="R38" i="78"/>
  <c r="R33" i="78"/>
  <c r="R28" i="78"/>
  <c r="R22" i="78"/>
  <c r="R16" i="78"/>
  <c r="R10" i="78"/>
  <c r="R182" i="78"/>
  <c r="R174" i="78"/>
  <c r="R167" i="78"/>
  <c r="R159" i="78"/>
  <c r="R151" i="78"/>
  <c r="R143" i="78"/>
  <c r="R135" i="78"/>
  <c r="R127" i="78"/>
  <c r="R120" i="78"/>
  <c r="R112" i="78"/>
  <c r="R103" i="78"/>
  <c r="R95" i="78"/>
  <c r="R87" i="78"/>
  <c r="R78" i="78"/>
  <c r="R70" i="78"/>
  <c r="R62" i="78"/>
  <c r="R54" i="78"/>
  <c r="R44" i="78"/>
  <c r="R37" i="78"/>
  <c r="R32" i="78"/>
  <c r="R26" i="78"/>
  <c r="R20" i="78"/>
  <c r="R15" i="78"/>
  <c r="R48" i="78"/>
  <c r="R171" i="78"/>
  <c r="R155" i="78"/>
  <c r="R131" i="78"/>
  <c r="R116" i="78"/>
  <c r="R91" i="78"/>
  <c r="R74" i="78"/>
  <c r="R50" i="78"/>
  <c r="R29" i="78"/>
  <c r="R12" i="78"/>
  <c r="R84" i="78"/>
  <c r="R172" i="78"/>
  <c r="R164" i="78"/>
  <c r="R156" i="78"/>
  <c r="R148" i="78"/>
  <c r="R140" i="78"/>
  <c r="R132" i="78"/>
  <c r="R124" i="78"/>
  <c r="R117" i="78"/>
  <c r="R109" i="78"/>
  <c r="R100" i="78"/>
  <c r="R92" i="78"/>
  <c r="R83" i="78"/>
  <c r="R75" i="78"/>
  <c r="R67" i="78"/>
  <c r="R59" i="78"/>
  <c r="R51" i="78"/>
  <c r="R41" i="78"/>
  <c r="R36" i="78"/>
  <c r="R30" i="78"/>
  <c r="R25" i="78"/>
  <c r="R19" i="78"/>
  <c r="R13" i="78"/>
  <c r="R163" i="78"/>
  <c r="R147" i="78"/>
  <c r="R139" i="78"/>
  <c r="R123" i="78"/>
  <c r="R108" i="78"/>
  <c r="R99" i="78"/>
  <c r="R82" i="78"/>
  <c r="R66" i="78"/>
  <c r="R58" i="78"/>
  <c r="R40" i="78"/>
  <c r="R34" i="78"/>
  <c r="R24" i="78"/>
  <c r="R17" i="78"/>
  <c r="R179" i="78"/>
  <c r="R11" i="78"/>
  <c r="R178" i="7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1">
    <s v="Migdal Hashkaot Neches Boded"/>
    <s v="{[Time].[Hie Time].[Yom].&amp;[20200630]}"/>
    <s v="{[Medida].[Medida].&amp;[2]}"/>
    <s v="{[Keren].[Keren].[All]}"/>
    <s v="{[Cheshbon KM].[Hie Peilut].[Chevra].&amp;[374]&amp;[Kod_Peilut_L7_106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2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3" si="20">
        <n x="1" s="1"/>
        <n x="18"/>
        <n x="19"/>
      </t>
    </mdx>
    <mdx n="0" f="v">
      <t c="3" si="20">
        <n x="1" s="1"/>
        <n x="21"/>
        <n x="19"/>
      </t>
    </mdx>
    <mdx n="0" f="v">
      <t c="3" si="20">
        <n x="1" s="1"/>
        <n x="22"/>
        <n x="19"/>
      </t>
    </mdx>
    <mdx n="0" f="v">
      <t c="3" si="20">
        <n x="1" s="1"/>
        <n x="23"/>
        <n x="19"/>
      </t>
    </mdx>
    <mdx n="0" f="v">
      <t c="3" si="20">
        <n x="1" s="1"/>
        <n x="24"/>
        <n x="19"/>
      </t>
    </mdx>
    <mdx n="0" f="v">
      <t c="3" si="20">
        <n x="1" s="1"/>
        <n x="25"/>
        <n x="19"/>
      </t>
    </mdx>
    <mdx n="0" f="v">
      <t c="3" si="20">
        <n x="1" s="1"/>
        <n x="26"/>
        <n x="19"/>
      </t>
    </mdx>
    <mdx n="0" f="v">
      <t c="3" si="20">
        <n x="1" s="1"/>
        <n x="27"/>
        <n x="19"/>
      </t>
    </mdx>
    <mdx n="0" f="v">
      <t c="3" si="20">
        <n x="1" s="1"/>
        <n x="28"/>
        <n x="19"/>
      </t>
    </mdx>
    <mdx n="0" f="v">
      <t c="3" si="20">
        <n x="1" s="1"/>
        <n x="29"/>
        <n x="19"/>
      </t>
    </mdx>
    <mdx n="0" f="v">
      <t c="3" si="20">
        <n x="1" s="1"/>
        <n x="30"/>
        <n x="19"/>
      </t>
    </mdx>
  </mdxMetadata>
  <valueMetadata count="3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</valueMetadata>
</metadata>
</file>

<file path=xl/sharedStrings.xml><?xml version="1.0" encoding="utf-8"?>
<sst xmlns="http://schemas.openxmlformats.org/spreadsheetml/2006/main" count="8197" uniqueCount="2359">
  <si>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</si>
  <si>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</si>
  <si>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</si>
  <si>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</si>
  <si>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</si>
  <si>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</si>
  <si>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</si>
  <si>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</si>
  <si>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</si>
  <si>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</si>
  <si>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</si>
  <si>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</si>
  <si>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</si>
  <si>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</si>
  <si>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</si>
  <si>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</si>
  <si>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</si>
  <si>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</si>
  <si>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</si>
  <si>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</si>
  <si>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</si>
  <si>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</si>
  <si>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</si>
  <si>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</si>
  <si>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</si>
  <si>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</si>
  <si>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</si>
  <si>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</si>
  <si>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</si>
  <si>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</si>
  <si>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</si>
  <si>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</si>
  <si>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</si>
  <si>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</si>
  <si>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</si>
  <si>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</si>
  <si>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</si>
  <si>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</si>
  <si>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</si>
  <si>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</si>
  <si>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</si>
  <si>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</si>
  <si>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</si>
  <si>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</si>
  <si>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</si>
  <si>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</si>
  <si>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</si>
  <si>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</si>
  <si>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</si>
  <si>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</si>
  <si>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</si>
  <si>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</si>
  <si>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</si>
  <si>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</si>
  <si>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</si>
  <si>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</si>
  <si>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</si>
  <si>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</si>
  <si>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</si>
  <si>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</si>
  <si>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</si>
  <si>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</si>
  <si>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</si>
  <si>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</si>
  <si>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</si>
  <si>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ערד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</si>
  <si>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</si>
  <si>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</si>
  <si>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</si>
  <si>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</si>
  <si>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</si>
  <si>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</si>
  <si>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</si>
  <si>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</si>
  <si>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</si>
  <si>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</si>
  <si>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</si>
  <si>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</si>
  <si>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</si>
  <si>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</si>
  <si>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</si>
  <si>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</si>
  <si>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</si>
  <si>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</si>
  <si>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</si>
  <si>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</si>
  <si>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</si>
  <si>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</si>
  <si>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</si>
  <si>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</si>
  <si>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</si>
  <si>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</si>
  <si>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</si>
  <si>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</si>
  <si>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</si>
  <si>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</si>
  <si>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</si>
  <si>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</si>
  <si>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</si>
  <si>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</si>
  <si>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</si>
  <si>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</si>
  <si>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</si>
  <si>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</si>
  <si>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</si>
  <si>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</si>
  <si>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</si>
  <si>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</si>
  <si>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</si>
  <si>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</si>
  <si>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</si>
  <si>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</si>
  <si>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</si>
  <si>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</si>
  <si>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</si>
  <si>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</si>
  <si>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</si>
  <si>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</si>
  <si>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</si>
  <si>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</si>
  <si>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</si>
  <si>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</si>
  <si>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</si>
  <si>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</si>
  <si>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</si>
  <si>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</si>
  <si>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</si>
  <si>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</si>
  <si>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</si>
  <si>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</si>
  <si>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</si>
  <si>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</si>
  <si>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</si>
  <si>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</si>
  <si>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</si>
  <si>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</si>
  <si>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</si>
  <si>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</si>
  <si>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</si>
  <si>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</si>
  <si>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</si>
  <si>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</si>
  <si>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</si>
  <si>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</si>
  <si>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</si>
  <si>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</si>
  <si>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</si>
  <si>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</si>
  <si>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</si>
  <si>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</si>
  <si>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</si>
  <si>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</si>
  <si>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</si>
  <si>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</si>
  <si>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</si>
  <si>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</si>
  <si>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</si>
  <si>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</si>
  <si>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</si>
  <si>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</si>
  <si>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</si>
  <si>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</si>
  <si>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</si>
  <si>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</si>
  <si>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</si>
  <si>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</si>
  <si>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</si>
  <si>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</si>
  <si>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</si>
  <si>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</si>
  <si>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</si>
  <si>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</si>
  <si>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</si>
  <si>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</si>
  <si>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</si>
  <si>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</si>
  <si>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</si>
  <si>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</si>
  <si>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</si>
  <si>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</si>
  <si>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</si>
  <si>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</si>
  <si>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</si>
  <si>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</si>
  <si>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</si>
  <si>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</si>
  <si>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</si>
  <si>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</si>
  <si>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</si>
  <si>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</si>
  <si>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</si>
  <si>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</si>
  <si>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</si>
  <si>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</si>
  <si>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</si>
  <si>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</si>
  <si>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</si>
  <si>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</si>
  <si>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</si>
  <si>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</si>
  <si>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</si>
  <si>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</si>
  <si>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</si>
  <si>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</si>
  <si>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</si>
  <si>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</si>
  <si>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</si>
  <si>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</si>
  <si>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</si>
  <si>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</si>
  <si>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</si>
  <si>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</si>
  <si>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</si>
  <si>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</si>
  <si>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</si>
  <si>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</si>
  <si>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</si>
  <si>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</si>
  <si>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</si>
  <si>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</si>
  <si>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</si>
  <si>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</si>
  <si>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</si>
  <si>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</si>
  <si>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</si>
  <si>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</si>
  <si>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</si>
  <si>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</si>
  <si>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</si>
  <si>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</si>
  <si>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</si>
  <si>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</si>
  <si>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</si>
  <si>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</si>
  <si>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</si>
  <si>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</si>
  <si>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</si>
  <si>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</si>
  <si>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</si>
  <si>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</si>
  <si>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</si>
  <si>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</si>
  <si>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</si>
  <si>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</si>
  <si>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</si>
  <si>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</si>
  <si>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</si>
  <si>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</si>
  <si>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</si>
  <si>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</si>
  <si>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</si>
  <si>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</si>
  <si>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</si>
  <si>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</si>
  <si>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</si>
  <si>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</si>
  <si>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</si>
  <si>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5. קרנות סל</t>
  </si>
  <si>
    <t>ענף משק</t>
  </si>
  <si>
    <t>30/06/2020</t>
  </si>
  <si>
    <t>מגדל מקפת קרנות פנסיה וקופות גמל בע"מ</t>
  </si>
  <si>
    <t xml:space="preserve">מגדל מקפת אישית (מספר אוצר 162) - מסלול כללי למקבלי קצבה קיימים 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</si>
  <si>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</si>
  <si>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</si>
  <si>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</si>
  <si>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</si>
  <si>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</si>
  <si>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</si>
  <si>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</si>
  <si>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</si>
  <si>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</si>
  <si>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</si>
  <si>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</si>
  <si>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</si>
  <si>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</si>
  <si>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</si>
  <si>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</si>
  <si>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</si>
  <si>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</si>
  <si>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</si>
  <si>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</si>
  <si>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</si>
  <si>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</si>
  <si>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</si>
  <si>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</si>
  <si>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</si>
  <si>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</si>
  <si>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</si>
  <si>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</si>
  <si>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</si>
  <si>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</si>
  <si>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</si>
  <si>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</si>
  <si>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</si>
  <si>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</si>
  <si>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</si>
  <si>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513704304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</si>
  <si>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</si>
  <si>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</si>
  <si>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</si>
  <si>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</si>
  <si>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</si>
  <si>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</si>
  <si>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</si>
  <si>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</si>
  <si>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</si>
  <si>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</si>
  <si>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</si>
  <si>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179</t>
  </si>
  <si>
    <t>6040372</t>
  </si>
  <si>
    <t>520018078</t>
  </si>
  <si>
    <t>מזרחי הנפקות 38</t>
  </si>
  <si>
    <t>2310142</t>
  </si>
  <si>
    <t>520032046</t>
  </si>
  <si>
    <t>מזרחי הנפקות 44</t>
  </si>
  <si>
    <t>2310209</t>
  </si>
  <si>
    <t>מזרחי הנפקות 45</t>
  </si>
  <si>
    <t>2310217</t>
  </si>
  <si>
    <t>מזרחי הנפקות 49</t>
  </si>
  <si>
    <t>2310282</t>
  </si>
  <si>
    <t>מזרחי הנפקות 51</t>
  </si>
  <si>
    <t>2310324</t>
  </si>
  <si>
    <t>מזרחי הנפקות אגח 42</t>
  </si>
  <si>
    <t>2310183</t>
  </si>
  <si>
    <t>מקורות אגח 11</t>
  </si>
  <si>
    <t>1158476</t>
  </si>
  <si>
    <t>520010869</t>
  </si>
  <si>
    <t>פועלים הנפקות אגח 32</t>
  </si>
  <si>
    <t>1940535</t>
  </si>
  <si>
    <t>520032640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</si>
  <si>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</si>
  <si>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</si>
  <si>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</si>
  <si>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</si>
  <si>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</si>
  <si>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</si>
  <si>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</si>
  <si>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</si>
  <si>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</si>
  <si>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</si>
  <si>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</si>
  <si>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</si>
  <si>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</si>
  <si>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</si>
  <si>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</si>
  <si>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</si>
  <si>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דסקמנ.ק4</t>
  </si>
  <si>
    <t>7480049</t>
  </si>
  <si>
    <t>520029935</t>
  </si>
  <si>
    <t>וילאר אג 6</t>
  </si>
  <si>
    <t>4160115</t>
  </si>
  <si>
    <t>520038910</t>
  </si>
  <si>
    <t>נדל"ן מניב בישראל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</si>
  <si>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</si>
  <si>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</si>
  <si>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</si>
  <si>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</si>
  <si>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</si>
  <si>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</si>
  <si>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</si>
  <si>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</si>
  <si>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</si>
  <si>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</si>
  <si>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</si>
  <si>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</si>
  <si>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</si>
  <si>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</si>
  <si>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</si>
  <si>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</si>
  <si>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</si>
  <si>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</si>
  <si>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</si>
  <si>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</si>
  <si>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</si>
  <si>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</si>
  <si>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</si>
  <si>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</si>
  <si>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</si>
  <si>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</si>
  <si>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</si>
  <si>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</si>
  <si>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</si>
  <si>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</si>
  <si>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</si>
  <si>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</si>
  <si>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</si>
  <si>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</si>
  <si>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</si>
  <si>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</si>
  <si>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</si>
  <si>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</si>
  <si>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</si>
  <si>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</si>
  <si>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</si>
  <si>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</si>
  <si>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</si>
  <si>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</si>
  <si>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</si>
  <si>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</si>
  <si>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</si>
  <si>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</si>
  <si>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</si>
  <si>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</si>
  <si>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</si>
  <si>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</si>
  <si>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</si>
  <si>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</si>
  <si>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</si>
  <si>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</si>
  <si>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הראל הנפקות אגח א</t>
  </si>
  <si>
    <t>1099738</t>
  </si>
  <si>
    <t>513834200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</si>
  <si>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</si>
  <si>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</si>
  <si>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</si>
  <si>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</si>
  <si>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</si>
  <si>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</si>
  <si>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</si>
  <si>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</si>
  <si>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</si>
  <si>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</si>
  <si>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</si>
  <si>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</si>
  <si>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</si>
  <si>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</si>
  <si>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</si>
  <si>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</si>
  <si>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</si>
  <si>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</si>
  <si>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</si>
  <si>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</si>
  <si>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</si>
  <si>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</si>
  <si>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</si>
  <si>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</si>
  <si>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</si>
  <si>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למן.ק300</t>
  </si>
  <si>
    <t>6040257</t>
  </si>
  <si>
    <t>מבני תעשיה אגח יח</t>
  </si>
  <si>
    <t>2260479</t>
  </si>
  <si>
    <t>520024126</t>
  </si>
  <si>
    <t>מבני תעשיה אגח כג</t>
  </si>
  <si>
    <t>2260545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</si>
  <si>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</si>
  <si>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</si>
  <si>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</si>
  <si>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</si>
  <si>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</si>
  <si>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</si>
  <si>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</si>
  <si>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</si>
  <si>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</si>
  <si>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</si>
  <si>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</si>
  <si>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</si>
  <si>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</si>
  <si>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</si>
  <si>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</si>
  <si>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</si>
  <si>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</si>
  <si>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</si>
  <si>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</si>
  <si>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</si>
  <si>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</si>
  <si>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</si>
  <si>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</si>
  <si>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</si>
  <si>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</si>
  <si>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</si>
  <si>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</si>
  <si>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</si>
  <si>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 גומי ופלסטיק</t>
  </si>
  <si>
    <t>ilAA-</t>
  </si>
  <si>
    <t>בזק אגח 12</t>
  </si>
  <si>
    <t>2300242</t>
  </si>
  <si>
    <t>520031931</t>
  </si>
  <si>
    <t>Aa3.il</t>
  </si>
  <si>
    <t>בזק סדרה ו</t>
  </si>
  <si>
    <t>2300143</t>
  </si>
  <si>
    <t>בזק סדרה י</t>
  </si>
  <si>
    <t>2300184</t>
  </si>
  <si>
    <t>ביג 5</t>
  </si>
  <si>
    <t>1129279</t>
  </si>
  <si>
    <t>ביג אגח ז</t>
  </si>
  <si>
    <t>1136084</t>
  </si>
  <si>
    <t>ביג אגח ח</t>
  </si>
  <si>
    <t>1138924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</si>
  <si>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</si>
  <si>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</si>
  <si>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</si>
  <si>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</si>
  <si>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</si>
  <si>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</si>
  <si>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</si>
  <si>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</si>
  <si>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</si>
  <si>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</si>
  <si>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</si>
  <si>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</si>
  <si>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בינלאומי כה COCO</t>
  </si>
  <si>
    <t>1167030</t>
  </si>
  <si>
    <t>גזית גלוב אגח יב</t>
  </si>
  <si>
    <t>1260603</t>
  </si>
  <si>
    <t>520033234</t>
  </si>
  <si>
    <t>נדל"ן מניב בחו"ל</t>
  </si>
  <si>
    <t>גזית גלוב אגח יג</t>
  </si>
  <si>
    <t>1260652</t>
  </si>
  <si>
    <t>דיסקונט מנפיקים ו COCO</t>
  </si>
  <si>
    <t>7480197</t>
  </si>
  <si>
    <t>דיסקונט מנפיקים ז COCO</t>
  </si>
  <si>
    <t>7480247</t>
  </si>
  <si>
    <t>הראל הנפקות 6</t>
  </si>
  <si>
    <t>1126069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</si>
  <si>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</si>
  <si>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</si>
  <si>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</si>
  <si>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</si>
  <si>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</si>
  <si>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</si>
  <si>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</si>
  <si>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</si>
  <si>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</si>
  <si>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</si>
  <si>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</si>
  <si>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</si>
  <si>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</si>
  <si>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</si>
  <si>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</si>
  <si>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</si>
  <si>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</si>
  <si>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</si>
  <si>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</si>
  <si>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כד</t>
  </si>
  <si>
    <t>2260552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</si>
  <si>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</si>
  <si>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</si>
  <si>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</si>
  <si>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</si>
  <si>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</si>
  <si>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</si>
  <si>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</si>
  <si>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</si>
  <si>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</si>
  <si>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</si>
  <si>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</si>
  <si>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</si>
  <si>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</si>
  <si>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</si>
  <si>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</si>
  <si>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</si>
  <si>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</si>
  <si>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</si>
  <si>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</si>
  <si>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</si>
  <si>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513937714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</si>
  <si>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</si>
  <si>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</si>
  <si>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</si>
  <si>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</si>
  <si>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</si>
  <si>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</si>
  <si>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</si>
  <si>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כ COCO</t>
  </si>
  <si>
    <t>1940691</t>
  </si>
  <si>
    <t>פועלים הנפקות כא COCO</t>
  </si>
  <si>
    <t>1940725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</si>
  <si>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</si>
  <si>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</si>
  <si>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</si>
  <si>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</si>
  <si>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</si>
  <si>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</si>
  <si>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</si>
  <si>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</si>
  <si>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</si>
  <si>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514290345</t>
  </si>
  <si>
    <t>ריבוע נדלן ז</t>
  </si>
  <si>
    <t>1140615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</si>
  <si>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</si>
  <si>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</si>
  <si>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</si>
  <si>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</si>
  <si>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</si>
  <si>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</si>
  <si>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</si>
  <si>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</si>
  <si>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513668277</t>
  </si>
  <si>
    <t>A1.il</t>
  </si>
  <si>
    <t>אלדן אגח ה</t>
  </si>
  <si>
    <t>1155357</t>
  </si>
  <si>
    <t>510454333</t>
  </si>
  <si>
    <t>ilA+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</si>
  <si>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</si>
  <si>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</si>
  <si>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</si>
  <si>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</si>
  <si>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</si>
  <si>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</si>
  <si>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</si>
  <si>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אגוד הנפקות שה נד 1*</t>
  </si>
  <si>
    <t>1115278</t>
  </si>
  <si>
    <t>A2.il</t>
  </si>
  <si>
    <t>אזורים סדרה 9*</t>
  </si>
  <si>
    <t>7150337</t>
  </si>
  <si>
    <t>520025990</t>
  </si>
  <si>
    <t>בנייה</t>
  </si>
  <si>
    <t>דיסקונט שטר הון 1</t>
  </si>
  <si>
    <t>6910095</t>
  </si>
  <si>
    <t>ilA</t>
  </si>
  <si>
    <t>ירושלים הנפקות נדחה אגח י</t>
  </si>
  <si>
    <t>1127414</t>
  </si>
  <si>
    <t>מגה אור אגח ד</t>
  </si>
  <si>
    <t>1130632</t>
  </si>
  <si>
    <t>מגה אור אגח ו</t>
  </si>
  <si>
    <t>1138668</t>
  </si>
  <si>
    <t>מגה אור אגח ז</t>
  </si>
  <si>
    <t>1141696</t>
  </si>
  <si>
    <t>מגה אור אגח ט</t>
  </si>
  <si>
    <t>1165141</t>
  </si>
  <si>
    <t>סלקום אגח ח*</t>
  </si>
  <si>
    <t>1132828</t>
  </si>
  <si>
    <t>511930125</t>
  </si>
  <si>
    <t>אדגר אגח ט</t>
  </si>
  <si>
    <t>1820190</t>
  </si>
  <si>
    <t>520035171</t>
  </si>
  <si>
    <t>A3.il</t>
  </si>
  <si>
    <t>או פי סי אגח ב*</t>
  </si>
  <si>
    <t>1166057</t>
  </si>
  <si>
    <t>514401702</t>
  </si>
  <si>
    <t>אפריקה נכסים 6</t>
  </si>
  <si>
    <t>1129550</t>
  </si>
  <si>
    <t>510560188</t>
  </si>
  <si>
    <t>דה לסר אגח 3</t>
  </si>
  <si>
    <t>1127299</t>
  </si>
  <si>
    <t>1427976</t>
  </si>
  <si>
    <t>ilA-</t>
  </si>
  <si>
    <t>דה לסר אגח ד</t>
  </si>
  <si>
    <t>1132059</t>
  </si>
  <si>
    <t>קרדן אןוי אגח ב</t>
  </si>
  <si>
    <t>1113034</t>
  </si>
  <si>
    <t>NV1239114</t>
  </si>
  <si>
    <t>השקעה ואחזקות</t>
  </si>
  <si>
    <t>ilD</t>
  </si>
  <si>
    <t>אגח הפחתת שווי ניירות חסומים</t>
  </si>
  <si>
    <t>259026600</t>
  </si>
  <si>
    <t>ל.ר.</t>
  </si>
  <si>
    <t>NR</t>
  </si>
  <si>
    <t>מגוריט אגח א</t>
  </si>
  <si>
    <t>1141712</t>
  </si>
  <si>
    <t>515434074</t>
  </si>
  <si>
    <t>מניבים ריט אגח א</t>
  </si>
  <si>
    <t>1140581</t>
  </si>
  <si>
    <t>515327120</t>
  </si>
  <si>
    <t>מניבים ריט אגח ב</t>
  </si>
  <si>
    <t>1155928</t>
  </si>
  <si>
    <t>דיסקונט מנפיקים אגח יג</t>
  </si>
  <si>
    <t>7480155</t>
  </si>
  <si>
    <t>דיסקונט מנפיקים אגח יד</t>
  </si>
  <si>
    <t>7480163</t>
  </si>
  <si>
    <t>עמידר אגח א</t>
  </si>
  <si>
    <t>1143585</t>
  </si>
  <si>
    <t>520017393</t>
  </si>
  <si>
    <t>דיסקונט התחייבות יא</t>
  </si>
  <si>
    <t>6910137</t>
  </si>
  <si>
    <t>נמלי ישראל אגח ג</t>
  </si>
  <si>
    <t>1145580</t>
  </si>
  <si>
    <t>פועלים הנפקות התח אגח יא</t>
  </si>
  <si>
    <t>1940410</t>
  </si>
  <si>
    <t>שטראוס אגח ה*</t>
  </si>
  <si>
    <t>7460389</t>
  </si>
  <si>
    <t>520003781</t>
  </si>
  <si>
    <t>מזון</t>
  </si>
  <si>
    <t>איי סי אל אגח ז</t>
  </si>
  <si>
    <t>2810372</t>
  </si>
  <si>
    <t>520027830</t>
  </si>
  <si>
    <t>אמות אגח ה</t>
  </si>
  <si>
    <t>1138114</t>
  </si>
  <si>
    <t>אמות אגח ז</t>
  </si>
  <si>
    <t>1162866</t>
  </si>
  <si>
    <t>בנק לאומי שה סדרה 201</t>
  </si>
  <si>
    <t>6040158</t>
  </si>
  <si>
    <t>גב ים ח*</t>
  </si>
  <si>
    <t>7590151</t>
  </si>
  <si>
    <t>דה זראסאי אגח ג</t>
  </si>
  <si>
    <t>1137975</t>
  </si>
  <si>
    <t>1744984</t>
  </si>
  <si>
    <t>וילאר אגח 8</t>
  </si>
  <si>
    <t>4160156</t>
  </si>
  <si>
    <t>חשמל אגח 26</t>
  </si>
  <si>
    <t>6000202</t>
  </si>
  <si>
    <t>חשמל אגח 28</t>
  </si>
  <si>
    <t>6000228</t>
  </si>
  <si>
    <t>ישראכרט א*</t>
  </si>
  <si>
    <t>1157536</t>
  </si>
  <si>
    <t>510706153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</si>
  <si>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</si>
  <si>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</si>
  <si>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</si>
  <si>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</si>
  <si>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</si>
  <si>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</si>
  <si>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</si>
  <si>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שופרסל אגח ז*</t>
  </si>
  <si>
    <t>7770258</t>
  </si>
  <si>
    <t>תעשיה אוירית אגח ד</t>
  </si>
  <si>
    <t>1133131</t>
  </si>
  <si>
    <t>520027194</t>
  </si>
  <si>
    <t>ביטחוניות</t>
  </si>
  <si>
    <t>בזק אגח 11</t>
  </si>
  <si>
    <t>2300234</t>
  </si>
  <si>
    <t>בזק סדרה ט</t>
  </si>
  <si>
    <t>2300176</t>
  </si>
  <si>
    <t>ביג אג"ח סדרה ו</t>
  </si>
  <si>
    <t>1132521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</si>
  <si>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</si>
  <si>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</si>
  <si>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</si>
  <si>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</si>
  <si>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</si>
  <si>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</si>
  <si>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</si>
  <si>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</si>
  <si>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</si>
  <si>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</si>
  <si>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</si>
  <si>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</si>
  <si>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ישרס אגח יד</t>
  </si>
  <si>
    <t>6130199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</si>
  <si>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</si>
  <si>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</si>
  <si>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</si>
  <si>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</si>
  <si>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</si>
  <si>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</si>
  <si>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</si>
  <si>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</si>
  <si>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</si>
  <si>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</si>
  <si>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</si>
  <si>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</si>
  <si>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</si>
  <si>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</si>
  <si>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</si>
  <si>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</si>
  <si>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</si>
  <si>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</si>
  <si>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</si>
  <si>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</si>
  <si>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</si>
  <si>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</si>
  <si>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</si>
  <si>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</si>
  <si>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קרסו אגח א</t>
  </si>
  <si>
    <t>1136464</t>
  </si>
  <si>
    <t>514065283</t>
  </si>
  <si>
    <t>קרסו אגח ג</t>
  </si>
  <si>
    <t>1141829</t>
  </si>
  <si>
    <t>שלמה אחזקות אגח יז</t>
  </si>
  <si>
    <t>1410299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</si>
  <si>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</si>
  <si>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</si>
  <si>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</si>
  <si>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</si>
  <si>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</si>
  <si>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</si>
  <si>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</si>
  <si>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</si>
  <si>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</si>
  <si>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</si>
  <si>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520028911</t>
  </si>
  <si>
    <t>אלקטרה אגח ה*</t>
  </si>
  <si>
    <t>7390222</t>
  </si>
  <si>
    <t>יוניברסל אגח ב</t>
  </si>
  <si>
    <t>1141647</t>
  </si>
  <si>
    <t>511809071</t>
  </si>
  <si>
    <t>לייטסטון אגח א</t>
  </si>
  <si>
    <t>1133891</t>
  </si>
  <si>
    <t>1838682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</si>
  <si>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</si>
  <si>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</si>
  <si>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</si>
  <si>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</si>
  <si>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</si>
  <si>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</si>
  <si>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</si>
  <si>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</si>
  <si>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</si>
  <si>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</si>
  <si>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</si>
  <si>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אגח ו</t>
  </si>
  <si>
    <t>1141415</t>
  </si>
  <si>
    <t>קרסו אגח ב</t>
  </si>
  <si>
    <t>1139591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</si>
  <si>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</si>
  <si>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</si>
  <si>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</si>
  <si>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</si>
  <si>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</si>
  <si>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</si>
  <si>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</si>
  <si>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</si>
  <si>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אול יר אגח 3</t>
  </si>
  <si>
    <t>1140136</t>
  </si>
  <si>
    <t>1841580</t>
  </si>
  <si>
    <t>אול יר אגח ה</t>
  </si>
  <si>
    <t>1143304</t>
  </si>
  <si>
    <t>אזורים אגח 13*</t>
  </si>
  <si>
    <t>7150410</t>
  </si>
  <si>
    <t>איי די איי הנפקות 4</t>
  </si>
  <si>
    <t>1133099</t>
  </si>
  <si>
    <t>514486042</t>
  </si>
  <si>
    <t>איי די איי הנפקות 5</t>
  </si>
  <si>
    <t>1155878</t>
  </si>
  <si>
    <t>אלבר 14</t>
  </si>
  <si>
    <t>1132562</t>
  </si>
  <si>
    <t>512025891</t>
  </si>
  <si>
    <t>סלקום אגח ט*</t>
  </si>
  <si>
    <t>1132836</t>
  </si>
  <si>
    <t>סלקום אגח יב*</t>
  </si>
  <si>
    <t>1143080</t>
  </si>
  <si>
    <t>סלקום יא*</t>
  </si>
  <si>
    <t>1139252</t>
  </si>
  <si>
    <t>או.פי.סי אגח א*</t>
  </si>
  <si>
    <t>1141589</t>
  </si>
  <si>
    <t>אנלייט אגח ה*</t>
  </si>
  <si>
    <t>7200116</t>
  </si>
  <si>
    <t>520041146</t>
  </si>
  <si>
    <t>אנלייט אגח ו*</t>
  </si>
  <si>
    <t>7200173</t>
  </si>
  <si>
    <t>בזן אגח ה</t>
  </si>
  <si>
    <t>2590388</t>
  </si>
  <si>
    <t>520036658</t>
  </si>
  <si>
    <t>בזן אגח י</t>
  </si>
  <si>
    <t>2590511</t>
  </si>
  <si>
    <t>דלשה קפיטל אגח ב</t>
  </si>
  <si>
    <t>1137314</t>
  </si>
  <si>
    <t>1888119</t>
  </si>
  <si>
    <t>פתאל אגח ב*</t>
  </si>
  <si>
    <t>1150812</t>
  </si>
  <si>
    <t>512607888</t>
  </si>
  <si>
    <t>מלונאות ותיירות</t>
  </si>
  <si>
    <t>פתאל אגח ג*</t>
  </si>
  <si>
    <t>1161785</t>
  </si>
  <si>
    <t>רילייטד אגח א</t>
  </si>
  <si>
    <t>1134923</t>
  </si>
  <si>
    <t>1849766</t>
  </si>
  <si>
    <t>ilBBB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</si>
  <si>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</si>
  <si>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</si>
  <si>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</si>
  <si>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</si>
  <si>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</si>
  <si>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</si>
  <si>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</si>
  <si>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</si>
  <si>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דלק קידוחים אגח א*</t>
  </si>
  <si>
    <t>4750089</t>
  </si>
  <si>
    <t>550013098</t>
  </si>
  <si>
    <t>בזן אגח ו</t>
  </si>
  <si>
    <t>2590396</t>
  </si>
  <si>
    <t>בזן אגח ט</t>
  </si>
  <si>
    <t>2590461</t>
  </si>
  <si>
    <t>סה"כ תל אביב 35</t>
  </si>
  <si>
    <t>אורמת טכנולוגיות*</t>
  </si>
  <si>
    <t>1134402</t>
  </si>
  <si>
    <t>520036716</t>
  </si>
  <si>
    <t>איי סי אל</t>
  </si>
  <si>
    <t>281014</t>
  </si>
  <si>
    <t>איי.אפ.אפ</t>
  </si>
  <si>
    <t>1155019</t>
  </si>
  <si>
    <t>איירפורט סיטי</t>
  </si>
  <si>
    <t>1095835</t>
  </si>
  <si>
    <t>אלביט מערכות</t>
  </si>
  <si>
    <t>1081124</t>
  </si>
  <si>
    <t>520043027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</si>
  <si>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</si>
  <si>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</si>
  <si>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</si>
  <si>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</si>
  <si>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</si>
  <si>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</si>
  <si>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</si>
  <si>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בזק</t>
  </si>
  <si>
    <t>230011</t>
  </si>
  <si>
    <t>בינלאומי 5</t>
  </si>
  <si>
    <t>593038</t>
  </si>
  <si>
    <t>520029083</t>
  </si>
  <si>
    <t>בתי זיקוק לנפט</t>
  </si>
  <si>
    <t>2590248</t>
  </si>
  <si>
    <t>דיסקונט</t>
  </si>
  <si>
    <t>691212</t>
  </si>
  <si>
    <t>דלק קדוחים*</t>
  </si>
  <si>
    <t>475020</t>
  </si>
  <si>
    <t>הפניקס 1</t>
  </si>
  <si>
    <t>767012</t>
  </si>
  <si>
    <t>520017450</t>
  </si>
  <si>
    <t>הראל השקעות</t>
  </si>
  <si>
    <t>585018</t>
  </si>
  <si>
    <t>520033986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</si>
  <si>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</si>
  <si>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</si>
  <si>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</si>
  <si>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</si>
  <si>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</si>
  <si>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</si>
  <si>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</si>
  <si>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</si>
  <si>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לאומי</t>
  </si>
  <si>
    <t>604611</t>
  </si>
  <si>
    <t>מבני תעשיה</t>
  </si>
  <si>
    <t>226019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</si>
  <si>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</si>
  <si>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</si>
  <si>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</si>
  <si>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</si>
  <si>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</si>
  <si>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</si>
  <si>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</si>
  <si>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</si>
  <si>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</si>
  <si>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520000118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</si>
  <si>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</si>
  <si>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</si>
  <si>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</si>
  <si>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</si>
  <si>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</si>
  <si>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</si>
  <si>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</si>
  <si>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גרופ*</t>
  </si>
  <si>
    <t>746016</t>
  </si>
  <si>
    <t>שיכון ובינוי</t>
  </si>
  <si>
    <t>1081942</t>
  </si>
  <si>
    <t>520036104</t>
  </si>
  <si>
    <t>שפיר הנדסה*</t>
  </si>
  <si>
    <t>1133875</t>
  </si>
  <si>
    <t>סה"כ תל אביב 90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</si>
  <si>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</si>
  <si>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</si>
  <si>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</si>
  <si>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</si>
  <si>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</si>
  <si>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</si>
  <si>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513910703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</si>
  <si>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</si>
  <si>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</si>
  <si>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</si>
  <si>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</si>
  <si>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</si>
  <si>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</si>
  <si>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אנלייט אנרגיה*</t>
  </si>
  <si>
    <t>720011</t>
  </si>
  <si>
    <t>אנרגיקס*</t>
  </si>
  <si>
    <t>1123355</t>
  </si>
  <si>
    <t>513901371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</si>
  <si>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</si>
  <si>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</si>
  <si>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</si>
  <si>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</si>
  <si>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</si>
  <si>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</si>
  <si>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</si>
  <si>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</si>
  <si>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</si>
  <si>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</si>
  <si>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</si>
  <si>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</si>
  <si>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</si>
  <si>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</si>
  <si>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</si>
  <si>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</si>
  <si>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</si>
  <si>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</si>
  <si>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</si>
  <si>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</si>
  <si>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</si>
  <si>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</si>
  <si>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</si>
  <si>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</si>
  <si>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</si>
  <si>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ישראכרט*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</si>
  <si>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</si>
  <si>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</si>
  <si>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</si>
  <si>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</si>
  <si>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</si>
  <si>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</si>
  <si>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</si>
  <si>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</si>
  <si>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</si>
  <si>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</si>
  <si>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</si>
  <si>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</si>
  <si>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</si>
  <si>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</si>
  <si>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</si>
  <si>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</si>
  <si>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</si>
  <si>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</si>
  <si>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</si>
  <si>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מנועי בית שמש*</t>
  </si>
  <si>
    <t>1081561</t>
  </si>
  <si>
    <t>520043480</t>
  </si>
  <si>
    <t>מנורה</t>
  </si>
  <si>
    <t>566018</t>
  </si>
  <si>
    <t>520007469</t>
  </si>
  <si>
    <t>נובה</t>
  </si>
  <si>
    <t>1084557</t>
  </si>
  <si>
    <t>511812463</t>
  </si>
  <si>
    <t>נפטא*</t>
  </si>
  <si>
    <t>643015</t>
  </si>
  <si>
    <t>520020942</t>
  </si>
  <si>
    <t>סלקום CEL*</t>
  </si>
  <si>
    <t>1101534</t>
  </si>
  <si>
    <t>סקופ*</t>
  </si>
  <si>
    <t>288019</t>
  </si>
  <si>
    <t>520037425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</si>
  <si>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</si>
  <si>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</si>
  <si>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</si>
  <si>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</si>
  <si>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</si>
  <si>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</si>
  <si>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</si>
  <si>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</si>
  <si>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</si>
  <si>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</si>
  <si>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</si>
  <si>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</si>
  <si>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</si>
  <si>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</si>
  <si>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</si>
  <si>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</si>
  <si>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</si>
  <si>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</si>
  <si>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</si>
  <si>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</si>
  <si>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</si>
  <si>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</si>
  <si>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</si>
  <si>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</si>
  <si>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</si>
  <si>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</si>
  <si>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</si>
  <si>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</si>
  <si>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</si>
  <si>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</si>
  <si>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</si>
  <si>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תדיראן</t>
  </si>
  <si>
    <t>258012</t>
  </si>
  <si>
    <t>520036732</t>
  </si>
  <si>
    <t>אבגול*</t>
  </si>
  <si>
    <t>1100957</t>
  </si>
  <si>
    <t>510119068</t>
  </si>
  <si>
    <t>עץ נייר ודפוס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</si>
  <si>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</si>
  <si>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</si>
  <si>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</si>
  <si>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</si>
  <si>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</si>
  <si>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</si>
  <si>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</si>
  <si>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</si>
  <si>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</si>
  <si>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</si>
  <si>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</si>
  <si>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</si>
  <si>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</t>
  </si>
  <si>
    <t>1102458</t>
  </si>
  <si>
    <t>512434218</t>
  </si>
  <si>
    <t>מכשור רפואי</t>
  </si>
  <si>
    <t>אלספק*</t>
  </si>
  <si>
    <t>1090364</t>
  </si>
  <si>
    <t>511297541</t>
  </si>
  <si>
    <t>חשמל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</si>
  <si>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</si>
  <si>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</si>
  <si>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</si>
  <si>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</si>
  <si>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</si>
  <si>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</si>
  <si>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</si>
  <si>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</si>
  <si>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</si>
  <si>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</si>
  <si>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</si>
  <si>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</si>
  <si>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</si>
  <si>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</si>
  <si>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</si>
  <si>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ישראל מגורים*</t>
  </si>
  <si>
    <t>1097948</t>
  </si>
  <si>
    <t>520034760</t>
  </si>
  <si>
    <t>אפריקה תעשיות*</t>
  </si>
  <si>
    <t>800011</t>
  </si>
  <si>
    <t>520026618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</si>
  <si>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</si>
  <si>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</si>
  <si>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</si>
  <si>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</si>
  <si>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</si>
  <si>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</si>
  <si>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</si>
  <si>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</si>
  <si>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</si>
  <si>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</si>
  <si>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</si>
  <si>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</si>
  <si>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</si>
  <si>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</si>
  <si>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</si>
  <si>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</si>
  <si>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</si>
  <si>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</si>
  <si>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</si>
  <si>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</si>
  <si>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</si>
  <si>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</si>
  <si>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</si>
  <si>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</si>
  <si>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</si>
  <si>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</si>
  <si>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</si>
  <si>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</si>
  <si>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</si>
  <si>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</si>
  <si>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</si>
  <si>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</si>
  <si>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</si>
  <si>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מניבים ריט</t>
  </si>
  <si>
    <t>1140573</t>
  </si>
  <si>
    <t>מניות הפחתת שווי ניירות חסומים</t>
  </si>
  <si>
    <t>112239100</t>
  </si>
  <si>
    <t>משביר לצרכן</t>
  </si>
  <si>
    <t>1104959</t>
  </si>
  <si>
    <t>513389270</t>
  </si>
  <si>
    <t>משק אנרגיה*</t>
  </si>
  <si>
    <t>1166974</t>
  </si>
  <si>
    <t>516167343</t>
  </si>
  <si>
    <t>נובולוג*</t>
  </si>
  <si>
    <t>1140151</t>
  </si>
  <si>
    <t>510475312</t>
  </si>
  <si>
    <t>סופרגז אנרגיה*</t>
  </si>
  <si>
    <t>1166917</t>
  </si>
  <si>
    <t>516077989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</si>
  <si>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</si>
  <si>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</si>
  <si>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</si>
  <si>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</si>
  <si>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</si>
  <si>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</si>
  <si>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</si>
  <si>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</si>
  <si>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</si>
  <si>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</si>
  <si>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</si>
  <si>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</si>
  <si>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</si>
  <si>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</si>
  <si>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</si>
  <si>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</si>
  <si>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</si>
  <si>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</si>
  <si>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</si>
  <si>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</si>
  <si>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</si>
  <si>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</si>
  <si>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</si>
  <si>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</si>
  <si>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</si>
  <si>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</si>
  <si>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</si>
  <si>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</si>
  <si>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</si>
  <si>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</si>
  <si>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</si>
  <si>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</si>
  <si>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</si>
  <si>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</si>
  <si>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</si>
  <si>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ALLOT COMMUNICATIONS LTD*</t>
  </si>
  <si>
    <t>IL0010996549</t>
  </si>
  <si>
    <t>NASDAQ</t>
  </si>
  <si>
    <t>בלומברג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</si>
  <si>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</si>
  <si>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</si>
  <si>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</si>
  <si>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</si>
  <si>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</si>
  <si>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</si>
  <si>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</si>
  <si>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</si>
  <si>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Capital Goods</t>
  </si>
  <si>
    <t>CAMTEK</t>
  </si>
  <si>
    <t>IL0010952641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</si>
  <si>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</si>
  <si>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</si>
  <si>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</si>
  <si>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</si>
  <si>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</si>
  <si>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</si>
  <si>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</si>
  <si>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</si>
  <si>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</si>
  <si>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</si>
  <si>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</si>
  <si>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</si>
  <si>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</si>
  <si>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</si>
  <si>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Retailing</t>
  </si>
  <si>
    <t>INTL FLAVORS AND FRAGRANCES</t>
  </si>
  <si>
    <t>US4595061015</t>
  </si>
  <si>
    <t>ITURAN LOCATION AND CONTROL</t>
  </si>
  <si>
    <t>IL0010818685</t>
  </si>
  <si>
    <t>520043811</t>
  </si>
  <si>
    <t>Technology Hardware &amp; Equipment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</si>
  <si>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</si>
  <si>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</si>
  <si>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</si>
  <si>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</si>
  <si>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</si>
  <si>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</si>
  <si>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</si>
  <si>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Ltd*</t>
  </si>
  <si>
    <t>IL0011316309</t>
  </si>
  <si>
    <t>512894940</t>
  </si>
  <si>
    <t>Pharmaceuticals &amp; Biotechnology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</si>
  <si>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</si>
  <si>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</si>
  <si>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</si>
  <si>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</si>
  <si>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</si>
  <si>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</si>
  <si>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</si>
  <si>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</si>
  <si>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</si>
  <si>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</si>
  <si>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</si>
  <si>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</si>
  <si>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</si>
  <si>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SOL GEL TECHNOLOGIES LTD</t>
  </si>
  <si>
    <t>IL0011417206</t>
  </si>
  <si>
    <t>512544693</t>
  </si>
  <si>
    <t>SOLAREDGE TECHNOLOGIES</t>
  </si>
  <si>
    <t>US83417M1045</t>
  </si>
  <si>
    <t>513865329</t>
  </si>
  <si>
    <t>Semiconductors &amp; Semiconductor Equipment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</si>
  <si>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</si>
  <si>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</si>
  <si>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</si>
  <si>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</si>
  <si>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</si>
  <si>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</si>
  <si>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</si>
  <si>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</si>
  <si>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</si>
  <si>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</si>
  <si>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</si>
  <si>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</si>
  <si>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</si>
  <si>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</si>
  <si>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</si>
  <si>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</si>
  <si>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</si>
  <si>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</si>
  <si>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</si>
  <si>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</si>
  <si>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</si>
  <si>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Consumer Durables &amp; Apparel</t>
  </si>
  <si>
    <t>AIRBUS</t>
  </si>
  <si>
    <t>NL0000235190</t>
  </si>
  <si>
    <t>ALIBABA GROUP HOLDING_SP ADR</t>
  </si>
  <si>
    <t>US01609W1027</t>
  </si>
  <si>
    <t>ALPHABET INC CL C</t>
  </si>
  <si>
    <t>US02079K1079</t>
  </si>
  <si>
    <t>Media</t>
  </si>
  <si>
    <t>AMAZON.COM INC</t>
  </si>
  <si>
    <t>US0231351067</t>
  </si>
  <si>
    <t>AMERICAN EXPRESS</t>
  </si>
  <si>
    <t>US0258161092</t>
  </si>
  <si>
    <t>Diversified Financials</t>
  </si>
  <si>
    <t>AMERICAN TOWER</t>
  </si>
  <si>
    <t>US03027X1000</t>
  </si>
  <si>
    <t>Real Estate</t>
  </si>
  <si>
    <t>APPLE INC</t>
  </si>
  <si>
    <t>US0378331005</t>
  </si>
  <si>
    <t>AROUNDTOWN</t>
  </si>
  <si>
    <t>LU1673108939</t>
  </si>
  <si>
    <t>ASML HOLDING NV</t>
  </si>
  <si>
    <t>NL0010273215</t>
  </si>
  <si>
    <t>AUTOLIV</t>
  </si>
  <si>
    <t>US0528001094</t>
  </si>
  <si>
    <t>Automobiles &amp; Components</t>
  </si>
  <si>
    <t>BANK OF AMERICA CORP</t>
  </si>
  <si>
    <t>US0605051046</t>
  </si>
  <si>
    <t>Banks</t>
  </si>
  <si>
    <t>BAYERISCHE MOTOREN WERKE AG</t>
  </si>
  <si>
    <t>DE0005190003</t>
  </si>
  <si>
    <t>BLACKROCK</t>
  </si>
  <si>
    <t>US09247X1019</t>
  </si>
  <si>
    <t>BOOKING HOLDINGS INC</t>
  </si>
  <si>
    <t>US09857L1089</t>
  </si>
  <si>
    <t>CATERPILLAR INC</t>
  </si>
  <si>
    <t>US1491231015</t>
  </si>
  <si>
    <t>CELLNEX TELECOM SA</t>
  </si>
  <si>
    <t>ES0105066007</t>
  </si>
  <si>
    <t>BME</t>
  </si>
  <si>
    <t>TELECOMMUNICATION SERVICES</t>
  </si>
  <si>
    <t>CENTENE CORP</t>
  </si>
  <si>
    <t>US15135B1017</t>
  </si>
  <si>
    <t>Health Care Equipment &amp; Services</t>
  </si>
  <si>
    <t>CISCO SYSTEMS</t>
  </si>
  <si>
    <t>US17275R1023</t>
  </si>
  <si>
    <t>CITIGROUP INC</t>
  </si>
  <si>
    <t>US1729674242</t>
  </si>
  <si>
    <t>COMPAGNIE DE SAINT GOBAIN</t>
  </si>
  <si>
    <t>FR0000125007</t>
  </si>
  <si>
    <t>CROWN CASTLE INTL CORP</t>
  </si>
  <si>
    <t>US22822V1017</t>
  </si>
  <si>
    <t>DEUTSCHE POST AG REG</t>
  </si>
  <si>
    <t>DE0005552004</t>
  </si>
  <si>
    <t>Transportation</t>
  </si>
  <si>
    <t>DOLLAR GENERAL</t>
  </si>
  <si>
    <t>US2566771059</t>
  </si>
  <si>
    <t>EIFFAGE</t>
  </si>
  <si>
    <t>FR0000130452</t>
  </si>
  <si>
    <t>EQUINIX</t>
  </si>
  <si>
    <t>US29444U7000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</si>
  <si>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</si>
  <si>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</si>
  <si>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</si>
  <si>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</si>
  <si>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</si>
  <si>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</si>
  <si>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</si>
  <si>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FEDEX CORPORATION</t>
  </si>
  <si>
    <t>US31428X1063</t>
  </si>
  <si>
    <t>FERRARI</t>
  </si>
  <si>
    <t>NL0011585146</t>
  </si>
  <si>
    <t>FERROVIAL SA</t>
  </si>
  <si>
    <t>ES0118900010</t>
  </si>
  <si>
    <t>GENERAL MOTORS CO</t>
  </si>
  <si>
    <t>US37045V1008</t>
  </si>
  <si>
    <t>GOLDMAN SACHS GROUP INC</t>
  </si>
  <si>
    <t>US38141G1040</t>
  </si>
  <si>
    <t>HOME DEPOT INC</t>
  </si>
  <si>
    <t>US4370761029</t>
  </si>
  <si>
    <t>INDITEX</t>
  </si>
  <si>
    <t>ES0148396007</t>
  </si>
  <si>
    <t>INFINEON TECHNOLOGIES</t>
  </si>
  <si>
    <t>DE0006231004</t>
  </si>
  <si>
    <t>INTEL CORP</t>
  </si>
  <si>
    <t>US4581401001</t>
  </si>
  <si>
    <t>INTERCONTINENTAL EXCHANGE IN</t>
  </si>
  <si>
    <t>US45866F1049</t>
  </si>
  <si>
    <t>JPMORGAN CHASE</t>
  </si>
  <si>
    <t>US46625H1005</t>
  </si>
  <si>
    <t>L3HARRIS TECHNOLOGIES</t>
  </si>
  <si>
    <t>US5024311095</t>
  </si>
  <si>
    <t>LEG IMMOBILIEN AG</t>
  </si>
  <si>
    <t>DE000LEG1110</t>
  </si>
  <si>
    <t>LEVI STRAUSS &amp; CO  CLASS A</t>
  </si>
  <si>
    <t>US52736R1023</t>
  </si>
  <si>
    <t>LOCKHEED MARTIN CORP</t>
  </si>
  <si>
    <t>US5398301094</t>
  </si>
  <si>
    <t>LOREAL</t>
  </si>
  <si>
    <t>FR0000120321</t>
  </si>
  <si>
    <t>MARTIN MARIETTA MATERIALS</t>
  </si>
  <si>
    <t>US5732841060</t>
  </si>
  <si>
    <t>MATERIALS</t>
  </si>
  <si>
    <t>MASTERCARD INC CLASS A</t>
  </si>
  <si>
    <t>US57636Q1040</t>
  </si>
  <si>
    <t>MCDONALDS</t>
  </si>
  <si>
    <t>US5801351017</t>
  </si>
  <si>
    <t>Hotels Restaurants &amp; Leisure</t>
  </si>
  <si>
    <t>MICROSOFT CORP</t>
  </si>
  <si>
    <t>US5949181045</t>
  </si>
  <si>
    <t>MOODY`S</t>
  </si>
  <si>
    <t>US6153691059</t>
  </si>
  <si>
    <t>MORGAN STANLEY</t>
  </si>
  <si>
    <t>US6174464486</t>
  </si>
  <si>
    <t>NASDAQ INC</t>
  </si>
  <si>
    <t>US6311031081</t>
  </si>
  <si>
    <t>NESTLE SA REG</t>
  </si>
  <si>
    <t>CH0038863350</t>
  </si>
  <si>
    <t>Food Beverage &amp; Tobacco</t>
  </si>
  <si>
    <t>NETFLIX INC</t>
  </si>
  <si>
    <t>US64110L1061</t>
  </si>
  <si>
    <t>NIKE INC CL B</t>
  </si>
  <si>
    <t>US6541061031</t>
  </si>
  <si>
    <t>NOKIA OYJ</t>
  </si>
  <si>
    <t>FI0009000681</t>
  </si>
  <si>
    <t>NUTRIEN LTD</t>
  </si>
  <si>
    <t>CA67077M1086</t>
  </si>
  <si>
    <t>NVIDIA CORP</t>
  </si>
  <si>
    <t>US67066G1040</t>
  </si>
  <si>
    <t>PALO ALTO NETWORKS</t>
  </si>
  <si>
    <t>US6974351057</t>
  </si>
  <si>
    <t>PAYPAL HOLDINGS INC</t>
  </si>
  <si>
    <t>US70450Y1038</t>
  </si>
  <si>
    <t>PROLOGIS INC</t>
  </si>
  <si>
    <t>US74340W1036</t>
  </si>
  <si>
    <t>RECKITT BENCKISER GROUP</t>
  </si>
  <si>
    <t>GB00B24CGK77</t>
  </si>
  <si>
    <t>ROSS STORES</t>
  </si>
  <si>
    <t>US7782961038</t>
  </si>
  <si>
    <t>S&amp;P GLOBAL</t>
  </si>
  <si>
    <t>US78409V1044</t>
  </si>
  <si>
    <t>SAMSUNG ELECTR GDR REG</t>
  </si>
  <si>
    <t>US7960508882</t>
  </si>
  <si>
    <t>SAP AG</t>
  </si>
  <si>
    <t>DE0007164600</t>
  </si>
  <si>
    <t>SEGRO</t>
  </si>
  <si>
    <t>GB00B5ZN1N88</t>
  </si>
  <si>
    <t>SIEMENS AG REG</t>
  </si>
  <si>
    <t>DE0007236101</t>
  </si>
  <si>
    <t>STARBUCKS CORP</t>
  </si>
  <si>
    <t>US8552441094</t>
  </si>
  <si>
    <t>STMICROELECTRONICS</t>
  </si>
  <si>
    <t>NL0000226223</t>
  </si>
  <si>
    <t>TARGET CORP</t>
  </si>
  <si>
    <t>US87612E1064</t>
  </si>
  <si>
    <t>TENCENT HOLDINGS LTD</t>
  </si>
  <si>
    <t>KYG875721634</t>
  </si>
  <si>
    <t>HKSE</t>
  </si>
  <si>
    <t>TJX COMPANIES INC</t>
  </si>
  <si>
    <t>US8725401090</t>
  </si>
  <si>
    <t>UNITED PARCEL SERVICE CL B</t>
  </si>
  <si>
    <t>US9113121068</t>
  </si>
  <si>
    <t>VARONIS SYSTEMS</t>
  </si>
  <si>
    <t>US9222801022</t>
  </si>
  <si>
    <t>VINCI SA</t>
  </si>
  <si>
    <t>FR0000125486</t>
  </si>
  <si>
    <t>VISA</t>
  </si>
  <si>
    <t>US92826C8394</t>
  </si>
  <si>
    <t>VOLKSWAGEN AG PREF</t>
  </si>
  <si>
    <t>DE0007664039</t>
  </si>
  <si>
    <t>VOLVO AB B SHS</t>
  </si>
  <si>
    <t>SE0000115446</t>
  </si>
  <si>
    <t>VONOVIA</t>
  </si>
  <si>
    <t>DE000A1ML7J1</t>
  </si>
  <si>
    <t>VULCAN MATERIALS CO</t>
  </si>
  <si>
    <t>US9291601097</t>
  </si>
  <si>
    <t>WAL MART STORES INC</t>
  </si>
  <si>
    <t>US9311421039</t>
  </si>
  <si>
    <t>Food &amp; Staples Retailing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</si>
  <si>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</si>
  <si>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</si>
  <si>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</si>
  <si>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</si>
  <si>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</si>
  <si>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</si>
  <si>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</si>
  <si>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</si>
  <si>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</si>
  <si>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</si>
  <si>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</si>
  <si>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</si>
  <si>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</si>
  <si>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</si>
  <si>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</si>
  <si>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</si>
  <si>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</si>
  <si>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</si>
  <si>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</si>
  <si>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</si>
  <si>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</si>
  <si>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</si>
  <si>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</si>
  <si>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</si>
  <si>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</si>
  <si>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תלבונד 40</t>
  </si>
  <si>
    <t>1150499</t>
  </si>
  <si>
    <t>אג"ח</t>
  </si>
  <si>
    <t>הראל סל תלבונד 60</t>
  </si>
  <si>
    <t>1150473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</si>
  <si>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</si>
  <si>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</si>
  <si>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</si>
  <si>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</si>
  <si>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</si>
  <si>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</si>
  <si>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</si>
  <si>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</si>
  <si>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</si>
  <si>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</si>
  <si>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</si>
  <si>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</si>
  <si>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</si>
  <si>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</si>
  <si>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</si>
  <si>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</si>
  <si>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</si>
  <si>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</si>
  <si>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</si>
  <si>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</si>
  <si>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</si>
  <si>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</si>
  <si>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</si>
  <si>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</si>
  <si>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 ASIA UCIT</t>
  </si>
  <si>
    <t>LU1681044563</t>
  </si>
  <si>
    <t>AMUNDI ETF MSCI EMERGING MAR</t>
  </si>
  <si>
    <t>LU1681045453</t>
  </si>
  <si>
    <t>AMUNDI INDEX MSCI EM UCITS</t>
  </si>
  <si>
    <t>LU1437017350</t>
  </si>
  <si>
    <t>AMUNDI INDEX MSCI EUROPE SRI</t>
  </si>
  <si>
    <t>LU1861137484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</si>
  <si>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</si>
  <si>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</si>
  <si>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</si>
  <si>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</si>
  <si>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</si>
  <si>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</si>
  <si>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</si>
  <si>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</si>
  <si>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HEALTH CARE SELECT SECTOR</t>
  </si>
  <si>
    <t>US81369Y2090</t>
  </si>
  <si>
    <t>HORIZONS S&amp;P/TSX 60 INDEX</t>
  </si>
  <si>
    <t>CA44056G1054</t>
  </si>
  <si>
    <t>I SHARES MSCI CHINA A</t>
  </si>
  <si>
    <t>IE00BQT3WG13</t>
  </si>
  <si>
    <t>INDUSTRIAL SELECT SECT SPDR</t>
  </si>
  <si>
    <t>US81369Y7040</t>
  </si>
  <si>
    <t>INVESCO CHINA TECHNOLOGY ETF</t>
  </si>
  <si>
    <t>US46138E8003</t>
  </si>
  <si>
    <t>ISH MSCI USA ESG EHNCD USD D</t>
  </si>
  <si>
    <t>IE00BHZPJ890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</si>
  <si>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</si>
  <si>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</si>
  <si>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</si>
  <si>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</si>
  <si>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</si>
  <si>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</si>
  <si>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</si>
  <si>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</si>
  <si>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</si>
  <si>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</si>
  <si>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CORE S&amp;P 500 UCITS ETF</t>
  </si>
  <si>
    <t>IE00B5BMR087</t>
  </si>
  <si>
    <t>ISHARES DJ CONSRU</t>
  </si>
  <si>
    <t>US4642887529</t>
  </si>
  <si>
    <t>ISHARES EUR600 INSURANCE (DE)</t>
  </si>
  <si>
    <t>DE000A0H08K7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</si>
  <si>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</si>
  <si>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</si>
  <si>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</si>
  <si>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</si>
  <si>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</si>
  <si>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</si>
  <si>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 600 UTIL DE</t>
  </si>
  <si>
    <t>DE000A0Q4R02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</si>
  <si>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</si>
  <si>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</si>
  <si>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</si>
  <si>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</si>
  <si>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</si>
  <si>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</si>
  <si>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EURSTX600 HALTHCARE</t>
  </si>
  <si>
    <t>LU1834986900</t>
  </si>
  <si>
    <t>LYXOR STOXX BASIC RSRCES</t>
  </si>
  <si>
    <t>LU1834983550</t>
  </si>
  <si>
    <t>MARKET VECTORS SEMICONDUCTOR</t>
  </si>
  <si>
    <t>US92189F6768</t>
  </si>
  <si>
    <t>SOURCE S&amp;P 500 UCITS ETF</t>
  </si>
  <si>
    <t>IE00B3YCGJ38</t>
  </si>
  <si>
    <t>SPDR KBW BANK ETF</t>
  </si>
  <si>
    <t>US78464A7972</t>
  </si>
  <si>
    <t>SPDR MSCI EUROPE CONSUMER ST</t>
  </si>
  <si>
    <t>IE00BKWQ0D84</t>
  </si>
  <si>
    <t>SPDR S&amp;P US CON STAP SELECT</t>
  </si>
  <si>
    <t>IE00BWBXM385</t>
  </si>
  <si>
    <t>TECHNOLOGY SELECT SECT SPDR</t>
  </si>
  <si>
    <t>US81369Y8030</t>
  </si>
  <si>
    <t>UBS ETF MSCI EMERG.MARKETS</t>
  </si>
  <si>
    <t>LU0480132876</t>
  </si>
  <si>
    <t>UTILITIES SELECT SECTOR SPDR</t>
  </si>
  <si>
    <t>US81369Y8865</t>
  </si>
  <si>
    <t>VANGUARD AUST SHARES IDX ETF</t>
  </si>
  <si>
    <t>AU000000VAS1</t>
  </si>
  <si>
    <t>VANGUARD HEALTH CARE ETF</t>
  </si>
  <si>
    <t>US92204A5048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</si>
  <si>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</si>
  <si>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</si>
  <si>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</si>
  <si>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</si>
  <si>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</si>
  <si>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</si>
  <si>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BNP CHINA EQUITY I C</t>
  </si>
  <si>
    <t>LU0823426647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</si>
  <si>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</si>
  <si>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</si>
  <si>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</si>
  <si>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</si>
  <si>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</si>
  <si>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</si>
  <si>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Tokio Marine Japan</t>
  </si>
  <si>
    <t>IE00BYYTL417</t>
  </si>
  <si>
    <t>VANGUARD IS EM.MKTS STK.IDX</t>
  </si>
  <si>
    <t>IE00BFPM9H50</t>
  </si>
  <si>
    <t>כתבי אופציה בישראל</t>
  </si>
  <si>
    <t>אנרג'יקס אופציה 3*</t>
  </si>
  <si>
    <t>1158922</t>
  </si>
  <si>
    <t>C 1400 JUL 2020</t>
  </si>
  <si>
    <t>83135186</t>
  </si>
  <si>
    <t>P 1400 JUL 2020</t>
  </si>
  <si>
    <t>83135723</t>
  </si>
  <si>
    <t>SPX 08/21/20 C3000</t>
  </si>
  <si>
    <t>SPX0820C3000</t>
  </si>
  <si>
    <t>SX5E 07/17/20 C3300</t>
  </si>
  <si>
    <t>SX5E720C3300</t>
  </si>
  <si>
    <t>SX5E 08/21/20 C3350</t>
  </si>
  <si>
    <t>SX5E820C3350</t>
  </si>
  <si>
    <t>EUROSTOXX 50 SEP20</t>
  </si>
  <si>
    <t>VGU0</t>
  </si>
  <si>
    <t>S&amp;P 500 ANNL DIV DEC21</t>
  </si>
  <si>
    <t>ASDZ1</t>
  </si>
  <si>
    <t>S&amp;P500 EMINI FUT SEP20</t>
  </si>
  <si>
    <t>ESU0</t>
  </si>
  <si>
    <t>STOXX EUROPE 600 SEP20</t>
  </si>
  <si>
    <t>SXOU0</t>
  </si>
  <si>
    <t>ערד   4.8%   סדרה  8714</t>
  </si>
  <si>
    <t>98715000</t>
  </si>
  <si>
    <t>ערד   4.8%   סדרה  8730</t>
  </si>
  <si>
    <t>8287302</t>
  </si>
  <si>
    <t>ערד   4.8%   סדרה  8733</t>
  </si>
  <si>
    <t>8287336</t>
  </si>
  <si>
    <t>ערד   4.8%   סדרה  8752   2024</t>
  </si>
  <si>
    <t>8287526</t>
  </si>
  <si>
    <t>ערד  8738 % 4.8  2023</t>
  </si>
  <si>
    <t>98732000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</si>
  <si>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</si>
  <si>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</si>
  <si>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</si>
  <si>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</si>
  <si>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</si>
  <si>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</si>
  <si>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</si>
  <si>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</si>
  <si>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8786_1/2027</t>
  </si>
  <si>
    <t>71116487</t>
  </si>
  <si>
    <t>ערד 8793</t>
  </si>
  <si>
    <t>ערד 8794</t>
  </si>
  <si>
    <t>71120232</t>
  </si>
  <si>
    <t>ערד 8795</t>
  </si>
  <si>
    <t>71120356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</si>
  <si>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</si>
  <si>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</si>
  <si>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</si>
  <si>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</si>
  <si>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</si>
  <si>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</si>
  <si>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</si>
  <si>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</si>
  <si>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</si>
  <si>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</si>
  <si>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</si>
  <si>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</si>
  <si>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</si>
  <si>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</si>
  <si>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</si>
  <si>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ערד 8807</t>
  </si>
  <si>
    <t>3236000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</si>
  <si>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</si>
  <si>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</si>
  <si>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</si>
  <si>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</si>
  <si>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</si>
  <si>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</si>
  <si>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</si>
  <si>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</si>
  <si>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8816</t>
  </si>
  <si>
    <t>98816000</t>
  </si>
  <si>
    <t>ערד 8817</t>
  </si>
  <si>
    <t>98817000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</si>
  <si>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</si>
  <si>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</si>
  <si>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</si>
  <si>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</si>
  <si>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</si>
  <si>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</si>
  <si>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</si>
  <si>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</si>
  <si>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</si>
  <si>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</si>
  <si>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</si>
  <si>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</si>
  <si>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</si>
  <si>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</si>
  <si>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</si>
  <si>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</si>
  <si>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</si>
  <si>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</si>
  <si>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</si>
  <si>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</si>
  <si>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</si>
  <si>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</si>
  <si>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</si>
  <si>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</si>
  <si>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</si>
  <si>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</si>
  <si>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</si>
  <si>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</si>
  <si>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</si>
  <si>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</si>
  <si>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</si>
  <si>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</si>
  <si>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</si>
  <si>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</si>
  <si>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</si>
  <si>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</si>
  <si>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</si>
  <si>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</si>
  <si>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</si>
  <si>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</si>
  <si>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</si>
  <si>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</si>
  <si>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</si>
  <si>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</si>
  <si>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</si>
  <si>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</si>
  <si>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</si>
  <si>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</si>
  <si>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</si>
  <si>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</si>
  <si>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</si>
  <si>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</si>
  <si>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</si>
  <si>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</si>
  <si>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</si>
  <si>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</si>
  <si>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</si>
  <si>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</si>
  <si>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</si>
  <si>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</si>
  <si>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</si>
  <si>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</si>
  <si>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</si>
  <si>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</si>
  <si>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</si>
  <si>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</si>
  <si>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</si>
  <si>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</si>
  <si>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8866</t>
  </si>
  <si>
    <t>88660000</t>
  </si>
  <si>
    <t>ערד 8871</t>
  </si>
  <si>
    <t>88710000</t>
  </si>
  <si>
    <t>ערד 8872</t>
  </si>
  <si>
    <t>88720000</t>
  </si>
  <si>
    <t>ערד 8873</t>
  </si>
  <si>
    <t>88730000</t>
  </si>
  <si>
    <t>ערד 8877</t>
  </si>
  <si>
    <t>88770000</t>
  </si>
  <si>
    <t>ערד 8882</t>
  </si>
  <si>
    <t>88820000</t>
  </si>
  <si>
    <t>ערד 8883</t>
  </si>
  <si>
    <t>88830000</t>
  </si>
  <si>
    <t>ערד סדרה 2024  8758  4.8%</t>
  </si>
  <si>
    <t>8287583</t>
  </si>
  <si>
    <t>ערד סדרה 8743  4.8%  2023</t>
  </si>
  <si>
    <t>8287435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</si>
  <si>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</si>
  <si>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</si>
  <si>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</si>
  <si>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</si>
  <si>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</si>
  <si>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</si>
  <si>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</si>
  <si>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</si>
  <si>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</si>
  <si>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</si>
  <si>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</si>
  <si>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</si>
  <si>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</si>
  <si>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</si>
  <si>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</si>
  <si>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</si>
  <si>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</si>
  <si>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</si>
  <si>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</si>
  <si>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</si>
  <si>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</si>
  <si>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</si>
  <si>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8776 2026 4.8%</t>
  </si>
  <si>
    <t>8287765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</si>
  <si>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</si>
  <si>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</si>
  <si>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</si>
  <si>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</si>
  <si>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</si>
  <si>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</si>
  <si>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</si>
  <si>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</si>
  <si>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</si>
  <si>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</si>
  <si>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</si>
  <si>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ערד סדרה 8810 2029 4.8%</t>
  </si>
  <si>
    <t>71121438</t>
  </si>
  <si>
    <t>מקורות אג סדרה 6 ל.ס 4.9%</t>
  </si>
  <si>
    <t>1100908</t>
  </si>
  <si>
    <t>מרווח הוגן</t>
  </si>
  <si>
    <t>מקורות אגח 8 רמ</t>
  </si>
  <si>
    <t>1124346</t>
  </si>
  <si>
    <t>עירית רעננה 5% 2021</t>
  </si>
  <si>
    <t>1098698</t>
  </si>
  <si>
    <t>500287008</t>
  </si>
  <si>
    <t>רפאל אגח ג רצף מוסדי</t>
  </si>
  <si>
    <t>1140276</t>
  </si>
  <si>
    <t>520042185</t>
  </si>
  <si>
    <t>נתיבי גז  סדרה א ל.ס 5.6%</t>
  </si>
  <si>
    <t>1103084</t>
  </si>
  <si>
    <t>אגח ל.ס חשמל 2022</t>
  </si>
  <si>
    <t>6000129</t>
  </si>
  <si>
    <t>שטרהון נדחה פועלים ג ל.ס 5.75%</t>
  </si>
  <si>
    <t>6620280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</si>
  <si>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</si>
  <si>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</si>
  <si>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</si>
  <si>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</si>
  <si>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</si>
  <si>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</si>
  <si>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</si>
  <si>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</si>
  <si>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</si>
  <si>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</si>
  <si>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גמא אגח א רמ</t>
  </si>
  <si>
    <t>1160852</t>
  </si>
  <si>
    <t>512711789</t>
  </si>
  <si>
    <t>גב ים נגב אגח א</t>
  </si>
  <si>
    <t>1151141</t>
  </si>
  <si>
    <t>514189596</t>
  </si>
  <si>
    <t>אמקור א</t>
  </si>
  <si>
    <t>1133545</t>
  </si>
  <si>
    <t>510064603</t>
  </si>
  <si>
    <t>אורמת אגח 2*</t>
  </si>
  <si>
    <t>1139161</t>
  </si>
  <si>
    <t>אורמת אגח 3*</t>
  </si>
  <si>
    <t>1139179</t>
  </si>
  <si>
    <t>RUBY PIPELINE 6 04/22</t>
  </si>
  <si>
    <t>ENERGY</t>
  </si>
  <si>
    <t>BB</t>
  </si>
  <si>
    <t>S&amp;P</t>
  </si>
  <si>
    <t>TRANSED PARTNERS 3.951 09/50 12/37</t>
  </si>
  <si>
    <t>אלון דלק מניה לא סחירה</t>
  </si>
  <si>
    <t>מניה לא סחירה BIG USA*</t>
  </si>
  <si>
    <t>35000</t>
  </si>
  <si>
    <t>514435395</t>
  </si>
  <si>
    <t>צים מניה</t>
  </si>
  <si>
    <t>347283</t>
  </si>
  <si>
    <t>520015041</t>
  </si>
  <si>
    <t xml:space="preserve"> Michelson Program*</t>
  </si>
  <si>
    <t>120 Wall Street*</t>
  </si>
  <si>
    <t>330507</t>
  </si>
  <si>
    <t>180 Livingston equity*</t>
  </si>
  <si>
    <t>45499</t>
  </si>
  <si>
    <t>820 Washington*</t>
  </si>
  <si>
    <t>330506</t>
  </si>
  <si>
    <t>Adgar Invest and Dev Poland</t>
  </si>
  <si>
    <t>BERO CENTER*</t>
  </si>
  <si>
    <t>330500</t>
  </si>
  <si>
    <t>Data Center Atlanta*</t>
  </si>
  <si>
    <t>330509</t>
  </si>
  <si>
    <t>Fenwick*</t>
  </si>
  <si>
    <t>330514</t>
  </si>
  <si>
    <t>MM Texas*</t>
  </si>
  <si>
    <t>386423</t>
  </si>
  <si>
    <t>Project Hush*</t>
  </si>
  <si>
    <t>Sacramento 353*</t>
  </si>
  <si>
    <t>Terraces*</t>
  </si>
  <si>
    <t>Walgreens*</t>
  </si>
  <si>
    <t>330511</t>
  </si>
  <si>
    <t>White Oak*</t>
  </si>
  <si>
    <t>white oak 2*</t>
  </si>
  <si>
    <t>סה"כ קרנות השקעה</t>
  </si>
  <si>
    <t>סה"כ קרנות השקעה בישראל</t>
  </si>
  <si>
    <t>Orbimed Israel Partners II LP</t>
  </si>
  <si>
    <t>MA Movilim Renewable Energies L.P*</t>
  </si>
  <si>
    <t>סה"כ קרנות השקעה בחו"ל</t>
  </si>
  <si>
    <t>Horsley Bridge XII Ventures</t>
  </si>
  <si>
    <t>Strategic Investors Fund VIII LP</t>
  </si>
  <si>
    <t>Portfolio EDGE מקפת</t>
  </si>
  <si>
    <t>53431</t>
  </si>
  <si>
    <t>Waterton Residential P V XIII</t>
  </si>
  <si>
    <t>APCS LP*</t>
  </si>
  <si>
    <t>Apollo Natural Resources Partners II LP</t>
  </si>
  <si>
    <t>Apollo Overseas Partners (Delaware) IX L.P</t>
  </si>
  <si>
    <t>CMPVIIC</t>
  </si>
  <si>
    <t>co investment Anesthesia</t>
  </si>
  <si>
    <t>CRECH V</t>
  </si>
  <si>
    <t>Dover Street IX LP</t>
  </si>
  <si>
    <t>harbourvest A</t>
  </si>
  <si>
    <t>HARBOURVEST A AE II</t>
  </si>
  <si>
    <t>harbourvest co inv DNLD</t>
  </si>
  <si>
    <t>harbourvest co inv Dwyer</t>
  </si>
  <si>
    <t>Harbourvest co inv perston</t>
  </si>
  <si>
    <t>Harbourvest Project Starboard</t>
  </si>
  <si>
    <t>harbourvest Sec gridiron</t>
  </si>
  <si>
    <t>INCLINE   HARBOURVEST A</t>
  </si>
  <si>
    <t>MediFox harbourvest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</si>
  <si>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</si>
  <si>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</si>
  <si>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</si>
  <si>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</si>
  <si>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</si>
  <si>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</si>
  <si>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Pamlico capital IV</t>
  </si>
  <si>
    <t>PCSIII LP</t>
  </si>
  <si>
    <t>project Celtics</t>
  </si>
  <si>
    <t>SLF1</t>
  </si>
  <si>
    <t>Thoma Bravo Fund XII A  L P</t>
  </si>
  <si>
    <t>VESTCOM</t>
  </si>
  <si>
    <t>Warburg Pincus China LP</t>
  </si>
  <si>
    <t>WestView IV harbourvest</t>
  </si>
  <si>
    <t>windjammer V har A</t>
  </si>
  <si>
    <t>SOLGEL WARRANT</t>
  </si>
  <si>
    <t>565685</t>
  </si>
  <si>
    <t>₪ / מט"ח</t>
  </si>
  <si>
    <t>+ILS/-USD 3.4045 03-03-21 (12) -505</t>
  </si>
  <si>
    <t>10000006</t>
  </si>
  <si>
    <t>+ILS/-USD 3.4457 18-11-20 (20) -143</t>
  </si>
  <si>
    <t>10000025</t>
  </si>
  <si>
    <t>+ILS/-USD 3.4506 19-11-20 (20) -144</t>
  </si>
  <si>
    <t>10000027</t>
  </si>
  <si>
    <t>+ILS/-USD 3.4952 18-09-20 (12) -128</t>
  </si>
  <si>
    <t>10000019</t>
  </si>
  <si>
    <t>+ILS/-USD 3.5049 01-07-20 (20) -51</t>
  </si>
  <si>
    <t>10000016</t>
  </si>
  <si>
    <t>+ILS/-USD 3.5086 28-07-20 (20) -64</t>
  </si>
  <si>
    <t>10000021</t>
  </si>
  <si>
    <t>+ILS/-USD 3.51 01-07-20 (12) -54</t>
  </si>
  <si>
    <t>10000018</t>
  </si>
  <si>
    <t>+ILS/-USD 3.523 03-08-20 (20) -63</t>
  </si>
  <si>
    <t>10000023</t>
  </si>
  <si>
    <t>+ILS/-USD 3.82 02-07-20 (20) -450</t>
  </si>
  <si>
    <t>10000011</t>
  </si>
  <si>
    <t>פורוורד ש"ח-מט"ח</t>
  </si>
  <si>
    <t>10000026</t>
  </si>
  <si>
    <t>10000024</t>
  </si>
  <si>
    <t>+ILS/-USD 3.398 08-12-20 (11) -429</t>
  </si>
  <si>
    <t>10000079</t>
  </si>
  <si>
    <t>+ILS/-USD 3.3981 08-12-20 (10) -429</t>
  </si>
  <si>
    <t>10000137</t>
  </si>
  <si>
    <t>+ILS/-USD 3.3996 02-12-20 (12) -424</t>
  </si>
  <si>
    <t>10002970</t>
  </si>
  <si>
    <t>+ILS/-USD 3.4015 03-03-21 (11) -505</t>
  </si>
  <si>
    <t>10000082</t>
  </si>
  <si>
    <t>+ILS/-USD 3.407 08-12-20 (10) -420</t>
  </si>
  <si>
    <t>10000149</t>
  </si>
  <si>
    <t>+ILS/-USD 3.4138 15-12-20 (11) -167</t>
  </si>
  <si>
    <t>10000142</t>
  </si>
  <si>
    <t>+ILS/-USD 3.417 04-11-20 (20) -118</t>
  </si>
  <si>
    <t>10000372</t>
  </si>
  <si>
    <t>+ILS/-USD 3.4174 05-11-20 (10) -906</t>
  </si>
  <si>
    <t>10002859</t>
  </si>
  <si>
    <t>+ILS/-USD 3.42035 21-09-20 (11) -76.5</t>
  </si>
  <si>
    <t>10000145</t>
  </si>
  <si>
    <t>+ILS/-USD 3.4206 04-11-20 (10) -124</t>
  </si>
  <si>
    <t>10000370</t>
  </si>
  <si>
    <t>+ILS/-USD 3.427 15-12-20 (10) -440</t>
  </si>
  <si>
    <t>10000162</t>
  </si>
  <si>
    <t>+ILS/-USD 3.4275 15-09-20 (11) -75</t>
  </si>
  <si>
    <t>10000143</t>
  </si>
  <si>
    <t>+ILS/-USD 3.428051 02-09-20 (93) -65</t>
  </si>
  <si>
    <t>10003040</t>
  </si>
  <si>
    <t>+ILS/-USD 3.4305 04-11-20 (20) -125</t>
  </si>
  <si>
    <t>10000141</t>
  </si>
  <si>
    <t>+ILS/-USD 3.4315 01-12-20 (10) -395</t>
  </si>
  <si>
    <t>10000168</t>
  </si>
  <si>
    <t>+ILS/-USD 3.43225 24-09-20 (11) -77.5</t>
  </si>
  <si>
    <t>10000147</t>
  </si>
  <si>
    <t>+ILS/-USD 3.4327 16-11-20 (10) -928</t>
  </si>
  <si>
    <t>10002857</t>
  </si>
  <si>
    <t>+ILS/-USD 3.433 24-09-20 (12) -78</t>
  </si>
  <si>
    <t>10000407</t>
  </si>
  <si>
    <t>+ILS/-USD 3.437 27-10-20 (12) -120</t>
  </si>
  <si>
    <t>10000393</t>
  </si>
  <si>
    <t>+ILS/-USD 3.4379 04-11-20 (11) -126</t>
  </si>
  <si>
    <t>10000138</t>
  </si>
  <si>
    <t>+ILS/-USD 3.438 11-09-20 (11) -75</t>
  </si>
  <si>
    <t>10000134</t>
  </si>
  <si>
    <t>+ILS/-USD 3.4415 23-09-20 (11) -80</t>
  </si>
  <si>
    <t>10000140</t>
  </si>
  <si>
    <t>+ILS/-USD 3.4416 11-09-20 (93) -74</t>
  </si>
  <si>
    <t>10000133</t>
  </si>
  <si>
    <t>+ILS/-USD 3.4426 23-09-20 (93) -80</t>
  </si>
  <si>
    <t>10003038</t>
  </si>
  <si>
    <t>+ILS/-USD 3.4445 16-09-20 (11) -75</t>
  </si>
  <si>
    <t>10000135</t>
  </si>
  <si>
    <t>+ILS/-USD 3.446 15-09-20 (20) -86</t>
  </si>
  <si>
    <t>10000368</t>
  </si>
  <si>
    <t>+ILS/-USD 3.4464 11-09-20 (11) -76</t>
  </si>
  <si>
    <t>10000129</t>
  </si>
  <si>
    <t>+ILS/-USD 3.4471 11-09-20 (20) -77</t>
  </si>
  <si>
    <t>10000130</t>
  </si>
  <si>
    <t>+ILS/-USD 3.4476 02-09-20 (10) -64</t>
  </si>
  <si>
    <t>10003036</t>
  </si>
  <si>
    <t>+ILS/-USD 3.4476 15-09-20 (10) -244</t>
  </si>
  <si>
    <t>10000185</t>
  </si>
  <si>
    <t>+ILS/-USD 3.4477 02-09-20 (11) -63</t>
  </si>
  <si>
    <t>+ILS/-USD 3.4482 10-09-20 (10) -238</t>
  </si>
  <si>
    <t>10000183</t>
  </si>
  <si>
    <t>+ILS/-USD 3.4498 18-11-20 (11) -142</t>
  </si>
  <si>
    <t>+ILS/-USD 3.454 15-09-20 (12) -85</t>
  </si>
  <si>
    <t>10000364</t>
  </si>
  <si>
    <t>+ILS/-USD 3.45615 13-08-20 (11) -48.5</t>
  </si>
  <si>
    <t>10000132</t>
  </si>
  <si>
    <t>+ILS/-USD 3.458 12-08-20 (12) -51</t>
  </si>
  <si>
    <t>10000126</t>
  </si>
  <si>
    <t>+ILS/-USD 3.45825 12-08-20 (11) -47.5</t>
  </si>
  <si>
    <t>10000125</t>
  </si>
  <si>
    <t>+ILS/-USD 3.46 12-08-20 (20) -48</t>
  </si>
  <si>
    <t>10000128</t>
  </si>
  <si>
    <t>10000366</t>
  </si>
  <si>
    <t>+ILS/-USD 3.4637 13-07-20 (10) -23</t>
  </si>
  <si>
    <t>10000378</t>
  </si>
  <si>
    <t>+ILS/-USD 3.4646 14-07-20 (20) -29</t>
  </si>
  <si>
    <t>10000121</t>
  </si>
  <si>
    <t>+ILS/-USD 3.4651 18-09-20 (10) -249</t>
  </si>
  <si>
    <t>10000189</t>
  </si>
  <si>
    <t>+ILS/-USD 3.4653 02-07-20 (11) -17</t>
  </si>
  <si>
    <t>10000120</t>
  </si>
  <si>
    <t>+ILS/-USD 3.4658 11-09-20 (10) -242</t>
  </si>
  <si>
    <t>10000187</t>
  </si>
  <si>
    <t>+ILS/-USD 3.4665 08-07-20 (10) -15</t>
  </si>
  <si>
    <t>10003034</t>
  </si>
  <si>
    <t>+ILS/-USD 3.4666 08-07-20 (11) -14</t>
  </si>
  <si>
    <t>10000136</t>
  </si>
  <si>
    <t>+ILS/-USD 3.4673 14-07-20 (10) -627</t>
  </si>
  <si>
    <t>10002898</t>
  </si>
  <si>
    <t>+ILS/-USD 3.4691 10-09-20 (11) -79</t>
  </si>
  <si>
    <t>10000122</t>
  </si>
  <si>
    <t>+ILS/-USD 3.4693 14-07-20 (93) -627</t>
  </si>
  <si>
    <t>10002900</t>
  </si>
  <si>
    <t>+ILS/-USD 3.4722 10-09-20 (20) -78</t>
  </si>
  <si>
    <t>10000123</t>
  </si>
  <si>
    <t>+ILS/-USD 3.473 11-08-20 (12) -53</t>
  </si>
  <si>
    <t>10003028</t>
  </si>
  <si>
    <t>+ILS/-USD 3.4751 16-07-20 (20) -29</t>
  </si>
  <si>
    <t>10000119</t>
  </si>
  <si>
    <t>+ILS/-USD 3.484 01-09-20 (12) -60</t>
  </si>
  <si>
    <t>10000380</t>
  </si>
  <si>
    <t>+ILS/-USD 3.4884 11-09-20 (11) -171</t>
  </si>
  <si>
    <t>10000105</t>
  </si>
  <si>
    <t>+ILS/-USD 3.49 06-08-20 (10) -50</t>
  </si>
  <si>
    <t>10003026</t>
  </si>
  <si>
    <t>+ILS/-USD 3.4914 18-09-20 (20) -126</t>
  </si>
  <si>
    <t>10000322</t>
  </si>
  <si>
    <t>+ILS/-USD 3.49305 06-08-20 (11) -49.5</t>
  </si>
  <si>
    <t>10000116</t>
  </si>
  <si>
    <t>+ILS/-USD 3.5005 18-09-20 (11) -130</t>
  </si>
  <si>
    <t>10000110</t>
  </si>
  <si>
    <t>+ILS/-USD 3.5022 15-07-20 (11) -28</t>
  </si>
  <si>
    <t>10000115</t>
  </si>
  <si>
    <t>+ILS/-USD 3.50325 05-08-20 (11) -47.5</t>
  </si>
  <si>
    <t>10000114</t>
  </si>
  <si>
    <t>+ILS/-USD 3.5052 05-08-20 (10) -48</t>
  </si>
  <si>
    <t>10003024</t>
  </si>
  <si>
    <t>+ILS/-USD 3.506 01-07-20 (11) -50</t>
  </si>
  <si>
    <t>10000109</t>
  </si>
  <si>
    <t>+ILS/-USD 3.5076 09-09-20 (11) -154</t>
  </si>
  <si>
    <t>10000104</t>
  </si>
  <si>
    <t>+ILS/-USD 3.50965 28-07-20 (11) -63.5</t>
  </si>
  <si>
    <t>10000112</t>
  </si>
  <si>
    <t>+ILS/-USD 3.5196 03-08-20 (10) -64</t>
  </si>
  <si>
    <t>10003017</t>
  </si>
  <si>
    <t>+ILS/-USD 3.522 09-09-20 (12) -115</t>
  </si>
  <si>
    <t>10000324</t>
  </si>
  <si>
    <t>+ILS/-USD 3.5294 29-07-20 (11) -56</t>
  </si>
  <si>
    <t>10000113</t>
  </si>
  <si>
    <t>+ILS/-USD 3.5343 29-07-20 (10) -57</t>
  </si>
  <si>
    <t>10003015</t>
  </si>
  <si>
    <t>+ILS/-USD 3.5344 16-07-20 (12) -121</t>
  </si>
  <si>
    <t>10000286</t>
  </si>
  <si>
    <t>+ILS/-USD 3.5376 16-03-21 (11) -514</t>
  </si>
  <si>
    <t>10000097</t>
  </si>
  <si>
    <t>+ILS/-USD 3.5382 16-03-21 (12) -518</t>
  </si>
  <si>
    <t>10000263</t>
  </si>
  <si>
    <t>+ILS/-USD 3.5572 09-09-20 (12) -198</t>
  </si>
  <si>
    <t>10000280</t>
  </si>
  <si>
    <t>+ILS/-USD 3.5573 09-09-20 (11) -197</t>
  </si>
  <si>
    <t>10000103</t>
  </si>
  <si>
    <t>+ILS/-USD 3.5622 21-07-20 (12) -133</t>
  </si>
  <si>
    <t>10000283</t>
  </si>
  <si>
    <t>+ILS/-USD 3.5715 14-07-20 (12) -210</t>
  </si>
  <si>
    <t>10000260</t>
  </si>
  <si>
    <t>+ILS/-USD 3.583 16-11-20 (11) -340</t>
  </si>
  <si>
    <t>10000095</t>
  </si>
  <si>
    <t>+ILS/-USD 3.6445 15-07-20 (12) -235</t>
  </si>
  <si>
    <t>10002976</t>
  </si>
  <si>
    <t>+ILS/-USD 3.8 02-07-20 (11) -380</t>
  </si>
  <si>
    <t>10000090</t>
  </si>
  <si>
    <t>+USD/-ILS 3.4264 04-11-20 (20) -116</t>
  </si>
  <si>
    <t>10000408</t>
  </si>
  <si>
    <t>+USD/-ILS 3.4338 08-12-20 (10) -382</t>
  </si>
  <si>
    <t>10000158</t>
  </si>
  <si>
    <t>+USD/-ILS 3.438 15-09-20 (12) -70</t>
  </si>
  <si>
    <t>10000399</t>
  </si>
  <si>
    <t>+USD/-ILS 3.439 15-09-20 (20) -70</t>
  </si>
  <si>
    <t>10000401</t>
  </si>
  <si>
    <t>+USD/-ILS 3.4507 13-07-20 (10) -13</t>
  </si>
  <si>
    <t>10000391</t>
  </si>
  <si>
    <t>+USD/-ILS 3.4535 15-12-20 (10) -155</t>
  </si>
  <si>
    <t>10000356</t>
  </si>
  <si>
    <t>+USD/-ILS 3.4638 15-09-20 (10) -82</t>
  </si>
  <si>
    <t>10000353</t>
  </si>
  <si>
    <t>+USD/-ILS 3.47 16-03-21 (12) -240</t>
  </si>
  <si>
    <t>10000385</t>
  </si>
  <si>
    <t>+USD/-ILS 3.4753 01-12-20 (10) -147</t>
  </si>
  <si>
    <t>10000382</t>
  </si>
  <si>
    <t>+USD/-ILS 3.4831 08-12-20 (10) -159</t>
  </si>
  <si>
    <t>10000345</t>
  </si>
  <si>
    <t>+USD/-ILS 3.4914 11-09-20 (10) -76</t>
  </si>
  <si>
    <t>10000343</t>
  </si>
  <si>
    <t>+USD/-ILS 3.5118 10-09-20 (10) -82</t>
  </si>
  <si>
    <t>10000336</t>
  </si>
  <si>
    <t>+USD/-ILS 3.536 05-11-20 (10) -300</t>
  </si>
  <si>
    <t>10002996</t>
  </si>
  <si>
    <t>10000148</t>
  </si>
  <si>
    <t>+EUR/-USD 1.1559 22-09-20 (20) +85</t>
  </si>
  <si>
    <t>10000202</t>
  </si>
  <si>
    <t>+GBP/-USD 1.23758 06-07-20 (12) +6.3</t>
  </si>
  <si>
    <t>10000291</t>
  </si>
  <si>
    <t>+GBP/-USD 1.24585 09-11-20 (10) +8.5</t>
  </si>
  <si>
    <t>10000348</t>
  </si>
  <si>
    <t>+GBP/-USD 1.25721 13-10-20 (10) +8.1</t>
  </si>
  <si>
    <t>10003032</t>
  </si>
  <si>
    <t>+USD/-CAD 1.3989 26-10-20 (10) -1</t>
  </si>
  <si>
    <t>10003020</t>
  </si>
  <si>
    <t>+USD/-EUR 1.08331 19-10-20 (12) +37.1</t>
  </si>
  <si>
    <t>10000315</t>
  </si>
  <si>
    <t>+USD/-EUR 1.08341 20-07-20 (10) +15.1</t>
  </si>
  <si>
    <t>10000319</t>
  </si>
  <si>
    <t>+USD/-EUR 1.085905 03-09-20 (10) +40.05</t>
  </si>
  <si>
    <t>10002989</t>
  </si>
  <si>
    <t>+USD/-EUR 1.08738 14-09-20 (12) +33.8</t>
  </si>
  <si>
    <t>10000295</t>
  </si>
  <si>
    <t>+USD/-EUR 1.08751 22-09-20 (10) +40.1</t>
  </si>
  <si>
    <t>10000288</t>
  </si>
  <si>
    <t>+USD/-EUR 1.0918 19-10-20 (12) +78</t>
  </si>
  <si>
    <t>10002983</t>
  </si>
  <si>
    <t>+USD/-EUR 1.09205 02-11-20 (10) +50.5</t>
  </si>
  <si>
    <t>10002998</t>
  </si>
  <si>
    <t>+USD/-EUR 1.09255 19-10-20 (10) +78.5</t>
  </si>
  <si>
    <t>10002981</t>
  </si>
  <si>
    <t>+USD/-EUR 1.09699 14-09-20 (10) +29.9</t>
  </si>
  <si>
    <t>10000307</t>
  </si>
  <si>
    <t>+USD/-EUR 1.09775 10-08-20 (10) +112.5</t>
  </si>
  <si>
    <t>10002960</t>
  </si>
  <si>
    <t>+USD/-EUR 1.0982 02-11-20 (10) +42</t>
  </si>
  <si>
    <t>10000305</t>
  </si>
  <si>
    <t>+USD/-EUR 1.0985 10-08-20 (10) +17</t>
  </si>
  <si>
    <t>10003018</t>
  </si>
  <si>
    <t>+USD/-EUR 1.099 25-11-20 (10) +41</t>
  </si>
  <si>
    <t>10003022</t>
  </si>
  <si>
    <t>+USD/-EUR 1.10125 19-10-20 (12) +32.5</t>
  </si>
  <si>
    <t>10000341</t>
  </si>
  <si>
    <t>+USD/-EUR 1.124 21-10-20 (10) +32</t>
  </si>
  <si>
    <t>10000358</t>
  </si>
  <si>
    <t>+USD/-EUR 1.12524 01-12-20 (10) +41.4</t>
  </si>
  <si>
    <t>10000395</t>
  </si>
  <si>
    <t>+USD/-EUR 1.1255 22-09-20 (12) +90</t>
  </si>
  <si>
    <t>10000170</t>
  </si>
  <si>
    <t>+USD/-EUR 1.1256 22-09-20 (20) +91</t>
  </si>
  <si>
    <t>10000172</t>
  </si>
  <si>
    <t>+USD/-EUR 1.12563 01-12-20 (12) +41.3</t>
  </si>
  <si>
    <t>10000397</t>
  </si>
  <si>
    <t>+USD/-EUR 1.1258 22-09-20 (10) +90</t>
  </si>
  <si>
    <t>10000174</t>
  </si>
  <si>
    <t>+USD/-EUR 1.12684 19-10-20 (10) +102.4</t>
  </si>
  <si>
    <t>10000177</t>
  </si>
  <si>
    <t>+USD/-EUR 1.12812 14-12-20 (10) +42.2</t>
  </si>
  <si>
    <t>10003042</t>
  </si>
  <si>
    <t>+USD/-EUR 1.1289 21-10-20 (20) +99</t>
  </si>
  <si>
    <t>10000181</t>
  </si>
  <si>
    <t>+USD/-EUR 1.129 21-10-20 (12) +99</t>
  </si>
  <si>
    <t>10000179</t>
  </si>
  <si>
    <t>+USD/-EUR 1.12944 10-08-20 (10) +139.4</t>
  </si>
  <si>
    <t>10002949</t>
  </si>
  <si>
    <t>+USD/-EUR 1.13257 28-10-20 (10) +35.7</t>
  </si>
  <si>
    <t>10000362</t>
  </si>
  <si>
    <t>+USD/-EUR 1.13556 25-11-20 (10) +39.6</t>
  </si>
  <si>
    <t>10000403</t>
  </si>
  <si>
    <t>+USD/-GBP 1.1793 06-07-20 (12) +18</t>
  </si>
  <si>
    <t>10000255</t>
  </si>
  <si>
    <t>+USD/-GBP 1.2117 09-11-20 (10) +7</t>
  </si>
  <si>
    <t>10000328</t>
  </si>
  <si>
    <t>+USD/-GBP 1.22124 09-11-20 (10) +7.4</t>
  </si>
  <si>
    <t>10003011</t>
  </si>
  <si>
    <t>+USD/-GBP 1.2217 09-11-20 (12) +7</t>
  </si>
  <si>
    <t>10003013</t>
  </si>
  <si>
    <t>+USD/-GBP 1.23462 13-10-20 (10) +16.2</t>
  </si>
  <si>
    <t>10002993</t>
  </si>
  <si>
    <t>+USD/-JPY 107.689 08-07-20 (10) -6.1</t>
  </si>
  <si>
    <t>10000333</t>
  </si>
  <si>
    <t>TRS</t>
  </si>
  <si>
    <t>10000261</t>
  </si>
  <si>
    <t>10000274</t>
  </si>
  <si>
    <t>10000279</t>
  </si>
  <si>
    <t>10000311</t>
  </si>
  <si>
    <t>10000313</t>
  </si>
  <si>
    <t>10000321</t>
  </si>
  <si>
    <t>10000330</t>
  </si>
  <si>
    <t>10000334</t>
  </si>
  <si>
    <t>10000312</t>
  </si>
  <si>
    <t>10000349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</si>
  <si>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</si>
  <si>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</si>
  <si>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</si>
  <si>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</si>
  <si>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</si>
  <si>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</si>
  <si>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</si>
  <si>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</si>
  <si>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</si>
  <si>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34112000</t>
  </si>
  <si>
    <t>בנק לאומי לישראל בע"מ</t>
  </si>
  <si>
    <t>34110000</t>
  </si>
  <si>
    <t>30110000</t>
  </si>
  <si>
    <t>בנק מזרחי טפחות בע"מ</t>
  </si>
  <si>
    <t>30120000</t>
  </si>
  <si>
    <t>יו בנק</t>
  </si>
  <si>
    <t>30026000</t>
  </si>
  <si>
    <t>32012000</t>
  </si>
  <si>
    <t>30212000</t>
  </si>
  <si>
    <t>30312000</t>
  </si>
  <si>
    <t>31712000</t>
  </si>
  <si>
    <t>31710000</t>
  </si>
  <si>
    <t>30210000</t>
  </si>
  <si>
    <t>30710000</t>
  </si>
  <si>
    <t>33810000</t>
  </si>
  <si>
    <t>30310000</t>
  </si>
  <si>
    <t>32610000</t>
  </si>
  <si>
    <t>34010000</t>
  </si>
  <si>
    <t>30810000</t>
  </si>
  <si>
    <t>32010000</t>
  </si>
  <si>
    <t>31110000</t>
  </si>
  <si>
    <t>34510000</t>
  </si>
  <si>
    <t>34610000</t>
  </si>
  <si>
    <t>31210000</t>
  </si>
  <si>
    <t>34520000</t>
  </si>
  <si>
    <t>30820000</t>
  </si>
  <si>
    <t>31220000</t>
  </si>
  <si>
    <t>34020000</t>
  </si>
  <si>
    <t>31720000</t>
  </si>
  <si>
    <t>32011000</t>
  </si>
  <si>
    <t>30211000</t>
  </si>
  <si>
    <t>30311000</t>
  </si>
  <si>
    <t>30326000</t>
  </si>
  <si>
    <t>UBS</t>
  </si>
  <si>
    <t>30391000</t>
  </si>
  <si>
    <t>סוויסקי</t>
  </si>
  <si>
    <t>31796000</t>
  </si>
  <si>
    <t>דירוג פנימי</t>
  </si>
  <si>
    <t>30396000</t>
  </si>
  <si>
    <t>כן</t>
  </si>
  <si>
    <t>לא</t>
  </si>
  <si>
    <t>AA</t>
  </si>
  <si>
    <t>תשתיות</t>
  </si>
  <si>
    <t>AA-</t>
  </si>
  <si>
    <t>A+</t>
  </si>
  <si>
    <t>A</t>
  </si>
  <si>
    <t>ilBBB+</t>
  </si>
  <si>
    <t>Baa1.il</t>
  </si>
  <si>
    <t>D</t>
  </si>
  <si>
    <t>BBB-</t>
  </si>
  <si>
    <t>FITCH</t>
  </si>
  <si>
    <t>B</t>
  </si>
  <si>
    <t>CCC+</t>
  </si>
  <si>
    <t>נדלן מקרקעין להשכרה - מגדל צ'מפיון</t>
  </si>
  <si>
    <t>השכרה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</si>
  <si>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</si>
  <si>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</si>
  <si>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</si>
  <si>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סופר פארם בת ים</t>
  </si>
  <si>
    <t>שד העצמאות 67, בת ים</t>
  </si>
  <si>
    <t>נדלן מגדלי הסיבים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</si>
  <si>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</si>
  <si>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</si>
  <si>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</si>
  <si>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</si>
  <si>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</si>
  <si>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</si>
  <si>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פסגות ירושלים</t>
  </si>
  <si>
    <t>מרכז מסחרי, שכונת רוממה, ירושלים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</si>
  <si>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</si>
  <si>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</si>
  <si>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</si>
  <si>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</si>
  <si>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טרמינל  פארק אור יהודה בניין B</t>
  </si>
  <si>
    <t>קרדן אן.וי אגח ב חש 2/18</t>
  </si>
  <si>
    <t>1143270</t>
  </si>
  <si>
    <t>A-</t>
  </si>
  <si>
    <t>Citymark Building*</t>
  </si>
  <si>
    <t>סה"כ יתרות התחייבות להשקעה</t>
  </si>
  <si>
    <t>Enlight</t>
  </si>
  <si>
    <t>Orbimed  II</t>
  </si>
  <si>
    <t>סה"כ בחו"ל</t>
  </si>
  <si>
    <t>apollo  II</t>
  </si>
  <si>
    <t>Apollo Fund IX</t>
  </si>
  <si>
    <t>ARES private credit solutions</t>
  </si>
  <si>
    <t>Bluebay SLFI</t>
  </si>
  <si>
    <t>Crescent mezzanine VII</t>
  </si>
  <si>
    <t>HARBOURVEST co-inv preston</t>
  </si>
  <si>
    <t>harbourvest DOVER</t>
  </si>
  <si>
    <t>HARBOURVEST incline</t>
  </si>
  <si>
    <t>HARBOURVEST pamlico</t>
  </si>
  <si>
    <t>HARBOURVEST project Celtics</t>
  </si>
  <si>
    <t>harbourvest ח-ן מנוהל</t>
  </si>
  <si>
    <t>Migdal-HarbourVes project Draco</t>
  </si>
  <si>
    <t>Migdal-HarbourVest Project Saxa</t>
  </si>
  <si>
    <t>Permira</t>
  </si>
  <si>
    <t>SVB VIII</t>
  </si>
  <si>
    <t>THOMA BRAVO XII</t>
  </si>
  <si>
    <t>Warburg Pincus China I</t>
  </si>
  <si>
    <t>waterton</t>
  </si>
  <si>
    <t>גורם 111</t>
  </si>
  <si>
    <t>גורם 80</t>
  </si>
  <si>
    <t>גורם 98</t>
  </si>
  <si>
    <t>גורם 158</t>
  </si>
  <si>
    <t>גורם 105</t>
  </si>
  <si>
    <t>גורם 156</t>
  </si>
  <si>
    <t>גורם 43</t>
  </si>
  <si>
    <t>גורם 104</t>
  </si>
  <si>
    <t>מובטחות משכנתא - גורם 01</t>
  </si>
  <si>
    <t>בבטחונות אחרים - גורם 80</t>
  </si>
  <si>
    <t>בבטחונות אחרים - גורם 81</t>
  </si>
  <si>
    <t>בבטחונות אחרים - גורם 38</t>
  </si>
  <si>
    <t>בבטחונות אחרים - גורם 7</t>
  </si>
  <si>
    <t>בבטחונות אחרים - גורם 29</t>
  </si>
  <si>
    <t>בבטחונות אחרים - גורם 111</t>
  </si>
  <si>
    <t>בבטחונות אחרים - גורם 69</t>
  </si>
  <si>
    <t>בבטחונות אחרים - גורם 63</t>
  </si>
  <si>
    <t>בבטחונות אחרים - גורם 37</t>
  </si>
  <si>
    <t>בבטחונות אחרים - גורם 156</t>
  </si>
  <si>
    <t>בבטחונות אחרים - גורם 64</t>
  </si>
  <si>
    <t>בבטחונות אחרים - גורם 35</t>
  </si>
  <si>
    <t>בבטחונות אחרים - גורם 41</t>
  </si>
  <si>
    <t>בבטחונות אחרים - גורם 33</t>
  </si>
  <si>
    <t>בבטחונות אחרים - גורם 105</t>
  </si>
  <si>
    <t>בבטחונות אחרים - גורם 62</t>
  </si>
  <si>
    <t>בבטחונות אחרים - גורם 40</t>
  </si>
  <si>
    <t>בבטחונות אחרים - גורם 76</t>
  </si>
  <si>
    <t>בבטחונות אחרים - גורם 47</t>
  </si>
  <si>
    <t>בבטחונות אחרים - גורם 78</t>
  </si>
  <si>
    <t>בבטחונות אחרים - גורם 77</t>
  </si>
  <si>
    <t>בבטחונות אחרים - גורם 96</t>
  </si>
  <si>
    <t>בבטחונות אחרים - גורם 147</t>
  </si>
  <si>
    <t>בבטחונות אחרים - גורם 89</t>
  </si>
  <si>
    <t>בבטחונות אחרים - גורם 30</t>
  </si>
  <si>
    <t>בבטחונות אחרים - גורם 90</t>
  </si>
  <si>
    <t>בבטחונות אחרים - גורם 43</t>
  </si>
  <si>
    <t>בבטחונות אחרים - גורם 104</t>
  </si>
  <si>
    <t>בבטחונות אחרים - גורם 98*</t>
  </si>
  <si>
    <t>בבטחונות אחרים - גורם 70</t>
  </si>
  <si>
    <t>בבטחונות אחרים - גורם 14*</t>
  </si>
  <si>
    <t>בבטחונות אחרים - גורם 84</t>
  </si>
  <si>
    <t>בבטחונות אחרים - גורם 86</t>
  </si>
  <si>
    <t>בבטחונות אחרים - גורם 91</t>
  </si>
  <si>
    <t>בבטחונות אחרים - גורם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</si>
</sst>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  <numFmt numFmtId="169" formatCode="0.0%"/>
    <numFmt numFmtId="170" formatCode="dd/mm/yyyy;@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164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4"/>
    </xf>
    <xf numFmtId="0" fontId="25" fillId="0" borderId="0" xfId="0" applyFont="1" applyFill="1" applyBorder="1" applyAlignment="1">
      <alignment horizontal="right" indent="3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6" fillId="0" borderId="23" xfId="0" applyFont="1" applyFill="1" applyBorder="1" applyAlignment="1">
      <alignment horizontal="right"/>
    </xf>
    <xf numFmtId="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4" fontId="26" fillId="0" borderId="23" xfId="0" applyNumberFormat="1" applyFont="1" applyFill="1" applyBorder="1" applyAlignment="1">
      <alignment horizontal="right"/>
    </xf>
    <xf numFmtId="167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/>
    </xf>
    <xf numFmtId="0" fontId="26" fillId="0" borderId="25" xfId="0" applyFont="1" applyFill="1" applyBorder="1" applyAlignment="1">
      <alignment horizontal="right" indent="1"/>
    </xf>
    <xf numFmtId="0" fontId="26" fillId="0" borderId="25" xfId="0" applyFont="1" applyFill="1" applyBorder="1" applyAlignment="1">
      <alignment horizontal="right" indent="2"/>
    </xf>
    <xf numFmtId="0" fontId="25" fillId="0" borderId="25" xfId="0" applyFont="1" applyFill="1" applyBorder="1" applyAlignment="1">
      <alignment horizontal="right" indent="3"/>
    </xf>
    <xf numFmtId="0" fontId="25" fillId="0" borderId="25" xfId="0" applyFont="1" applyFill="1" applyBorder="1" applyAlignment="1">
      <alignment horizontal="right" indent="2"/>
    </xf>
    <xf numFmtId="0" fontId="6" fillId="0" borderId="0" xfId="0" applyFont="1" applyAlignment="1">
      <alignment horizontal="right"/>
    </xf>
    <xf numFmtId="164" fontId="5" fillId="0" borderId="26" xfId="13" applyFont="1" applyBorder="1" applyAlignment="1">
      <alignment horizontal="right"/>
    </xf>
    <xf numFmtId="10" fontId="5" fillId="0" borderId="26" xfId="14" applyNumberFormat="1" applyFont="1" applyBorder="1" applyAlignment="1">
      <alignment horizontal="center"/>
    </xf>
    <xf numFmtId="2" fontId="5" fillId="0" borderId="26" xfId="7" applyNumberFormat="1" applyFont="1" applyBorder="1" applyAlignment="1">
      <alignment horizontal="right"/>
    </xf>
    <xf numFmtId="168" fontId="5" fillId="0" borderId="26" xfId="7" applyNumberFormat="1" applyFont="1" applyBorder="1" applyAlignment="1">
      <alignment horizontal="center"/>
    </xf>
    <xf numFmtId="49" fontId="26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/>
    <xf numFmtId="0" fontId="28" fillId="0" borderId="0" xfId="0" applyFont="1" applyFill="1" applyBorder="1" applyAlignment="1">
      <alignment horizontal="right" indent="1"/>
    </xf>
    <xf numFmtId="0" fontId="28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9" fillId="0" borderId="0" xfId="5" applyNumberFormat="1" applyFont="1" applyFill="1" applyBorder="1" applyAlignment="1" applyProtection="1">
      <alignment horizontal="right"/>
      <protection locked="0"/>
    </xf>
    <xf numFmtId="169" fontId="30" fillId="0" borderId="0" xfId="14" applyNumberFormat="1" applyFont="1" applyFill="1" applyBorder="1" applyAlignment="1" applyProtection="1">
      <alignment horizontal="right"/>
      <protection locked="0"/>
    </xf>
    <xf numFmtId="0" fontId="30" fillId="0" borderId="0" xfId="0" applyFont="1" applyFill="1" applyBorder="1" applyAlignment="1" applyProtection="1">
      <alignment horizontal="right"/>
      <protection locked="0"/>
    </xf>
    <xf numFmtId="49" fontId="28" fillId="0" borderId="0" xfId="0" applyNumberFormat="1" applyFont="1" applyFill="1" applyBorder="1" applyAlignment="1">
      <alignment horizontal="right"/>
    </xf>
    <xf numFmtId="170" fontId="25" fillId="0" borderId="0" xfId="0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164" fontId="4" fillId="0" borderId="0" xfId="13" applyFont="1" applyAlignment="1">
      <alignment horizontal="center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Percent 3" xfId="15"/>
    <cellStyle name="Text" xfId="9"/>
    <cellStyle name="Total" xfId="10"/>
    <cellStyle name="היפר-קישור" xfId="11" builtinId="8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198120</xdr:colOff>
      <xdr:row>50</xdr:row>
      <xdr:rowOff>0</xdr:rowOff>
    </xdr:from>
    <xdr:to>
      <xdr:col>27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V66"/>
  <sheetViews>
    <sheetView rightToLeft="1" tabSelected="1" workbookViewId="0">
      <selection activeCell="K8" sqref="K8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6" width="6.7109375" style="9" customWidth="1"/>
    <col min="7" max="7" width="19.28515625" style="9" bestFit="1" customWidth="1"/>
    <col min="8" max="22" width="6.7109375" style="9" customWidth="1"/>
    <col min="23" max="25" width="7.7109375" style="9" customWidth="1"/>
    <col min="26" max="26" width="7.140625" style="9" customWidth="1"/>
    <col min="27" max="27" width="6" style="9" customWidth="1"/>
    <col min="28" max="28" width="8.140625" style="9" customWidth="1"/>
    <col min="29" max="29" width="6.28515625" style="9" customWidth="1"/>
    <col min="30" max="30" width="8" style="9" customWidth="1"/>
    <col min="31" max="31" width="8.7109375" style="9" customWidth="1"/>
    <col min="32" max="32" width="10" style="9" customWidth="1"/>
    <col min="33" max="33" width="9.5703125" style="9" customWidth="1"/>
    <col min="34" max="34" width="6.140625" style="9" customWidth="1"/>
    <col min="35" max="36" width="5.7109375" style="9" customWidth="1"/>
    <col min="37" max="37" width="6.85546875" style="9" customWidth="1"/>
    <col min="38" max="38" width="6.42578125" style="9" customWidth="1"/>
    <col min="39" max="39" width="6.7109375" style="9" customWidth="1"/>
    <col min="40" max="40" width="7.28515625" style="9" customWidth="1"/>
    <col min="41" max="52" width="5.7109375" style="9" customWidth="1"/>
    <col min="53" max="16384" width="9.140625" style="9"/>
  </cols>
  <sheetData>
    <row r="1" spans="1:22">
      <c r="B1" s="47" t="s">
        <v>175</v>
      </c>
      <c r="C1" s="68" t="s" vm="1">
        <v>259</v>
      </c>
    </row>
    <row r="2" spans="1:22">
      <c r="B2" s="47" t="s">
        <v>174</v>
      </c>
      <c r="C2" s="68" t="s">
        <v>260</v>
      </c>
    </row>
    <row r="3" spans="1:22">
      <c r="B3" s="47" t="s">
        <v>176</v>
      </c>
      <c r="C3" s="68" t="s">
        <v>261</v>
      </c>
    </row>
    <row r="4" spans="1:22">
      <c r="B4" s="47" t="s">
        <v>177</v>
      </c>
      <c r="C4" s="68">
        <v>2207</v>
      </c>
    </row>
    <row r="6" spans="1:22" ht="26.25" customHeight="1">
      <c r="B6" s="123" t="s">
        <v>191</v>
      </c>
      <c r="C6" s="124"/>
      <c r="D6" s="125"/>
    </row>
    <row r="7" spans="1:22" s="10" customFormat="1">
      <c r="B7" s="22"/>
      <c r="C7" s="23" t="s">
        <v>107</v>
      </c>
      <c r="D7" s="24" t="s">
        <v>105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s="10" customFormat="1">
      <c r="B8" s="22"/>
      <c r="C8" s="25" t="s">
        <v>239</v>
      </c>
      <c r="D8" s="26" t="s">
        <v>19</v>
      </c>
    </row>
    <row r="9" spans="1:22" s="11" customFormat="1" ht="18" customHeight="1">
      <c r="B9" s="36"/>
      <c r="C9" s="19" t="s">
        <v>0</v>
      </c>
      <c r="D9" s="27" t="s">
        <v>1</v>
      </c>
    </row>
    <row r="10" spans="1:22" s="11" customFormat="1" ht="18" customHeight="1">
      <c r="B10" s="55" t="s">
        <v>190</v>
      </c>
      <c r="C10" s="104">
        <f>C11+C12+C23+C33+C35+C37</f>
        <v>3628212.7710584844</v>
      </c>
      <c r="D10" s="105">
        <f>C10/$C$42</f>
        <v>1</v>
      </c>
    </row>
    <row r="11" spans="1:22">
      <c r="A11" s="43" t="s">
        <v>137</v>
      </c>
      <c r="B11" s="28" t="s">
        <v>192</v>
      </c>
      <c r="C11" s="104">
        <f>מזומנים!J10</f>
        <v>70874.374359601003</v>
      </c>
      <c r="D11" s="105">
        <f>C11/$C$42</f>
        <v>1.9534238709744776E-2</v>
      </c>
    </row>
    <row r="12" spans="1:22">
      <c r="B12" s="28" t="s">
        <v>193</v>
      </c>
      <c r="C12" s="104">
        <f>C13+C15+C16+C17+C18+C19+C20+C21</f>
        <v>1127697.5105405916</v>
      </c>
      <c r="D12" s="105">
        <f>C12/$C$42</f>
        <v>0.31081350011664294</v>
      </c>
    </row>
    <row r="13" spans="1:22">
      <c r="A13" s="45" t="s">
        <v>137</v>
      </c>
      <c r="B13" s="29" t="s">
        <v>67</v>
      </c>
      <c r="C13" s="104">
        <f>'תעודות התחייבות ממשלתיות'!O11</f>
        <v>978306.94522534986</v>
      </c>
      <c r="D13" s="105">
        <f>C13/$C$42</f>
        <v>0.2696388020650568</v>
      </c>
    </row>
    <row r="14" spans="1:22">
      <c r="A14" s="45" t="s">
        <v>137</v>
      </c>
      <c r="B14" s="29" t="s">
        <v>68</v>
      </c>
      <c r="C14" s="104" t="s" vm="2">
        <v>2205</v>
      </c>
      <c r="D14" s="105" t="s" vm="3">
        <v>2205</v>
      </c>
    </row>
    <row r="15" spans="1:22">
      <c r="A15" s="45" t="s">
        <v>137</v>
      </c>
      <c r="B15" s="29" t="s">
        <v>69</v>
      </c>
      <c r="C15" s="104">
        <f>'אג"ח קונצרני'!R11</f>
        <v>91976.674949716748</v>
      </c>
      <c r="D15" s="105">
        <f t="shared" ref="D15:D21" si="0">C15/$C$42</f>
        <v>2.5350408246009159E-2</v>
      </c>
    </row>
    <row r="16" spans="1:22">
      <c r="A16" s="45" t="s">
        <v>137</v>
      </c>
      <c r="B16" s="29" t="s">
        <v>70</v>
      </c>
      <c r="C16" s="104">
        <f>מניות!L11</f>
        <v>34595.622178977006</v>
      </c>
      <c r="D16" s="105">
        <f t="shared" si="0"/>
        <v>9.5351690658660518E-3</v>
      </c>
    </row>
    <row r="17" spans="1:4">
      <c r="A17" s="45" t="s">
        <v>137</v>
      </c>
      <c r="B17" s="29" t="s">
        <v>252</v>
      </c>
      <c r="C17" s="104">
        <f>'קרנות סל'!K11</f>
        <v>20952.147041095002</v>
      </c>
      <c r="D17" s="105">
        <f t="shared" si="0"/>
        <v>5.7747845463270563E-3</v>
      </c>
    </row>
    <row r="18" spans="1:4">
      <c r="A18" s="45" t="s">
        <v>137</v>
      </c>
      <c r="B18" s="29" t="s">
        <v>71</v>
      </c>
      <c r="C18" s="104">
        <f>'קרנות נאמנות'!L11</f>
        <v>2085.9131131069994</v>
      </c>
      <c r="D18" s="105">
        <f t="shared" si="0"/>
        <v>5.7491477064021824E-4</v>
      </c>
    </row>
    <row r="19" spans="1:4">
      <c r="A19" s="45" t="s">
        <v>137</v>
      </c>
      <c r="B19" s="29" t="s">
        <v>72</v>
      </c>
      <c r="C19" s="104">
        <f>'כתבי אופציה'!I11</f>
        <v>6.5406961370000003</v>
      </c>
      <c r="D19" s="105">
        <f t="shared" si="0"/>
        <v>1.8027322402847494E-6</v>
      </c>
    </row>
    <row r="20" spans="1:4">
      <c r="A20" s="45" t="s">
        <v>137</v>
      </c>
      <c r="B20" s="29" t="s">
        <v>73</v>
      </c>
      <c r="C20" s="104">
        <f>אופציות!I11</f>
        <v>-161.09727864200002</v>
      </c>
      <c r="D20" s="105">
        <f t="shared" si="0"/>
        <v>-4.440127655330477E-5</v>
      </c>
    </row>
    <row r="21" spans="1:4">
      <c r="A21" s="45" t="s">
        <v>137</v>
      </c>
      <c r="B21" s="29" t="s">
        <v>74</v>
      </c>
      <c r="C21" s="104">
        <f>'חוזים עתידיים'!I11</f>
        <v>-65.235385148999995</v>
      </c>
      <c r="D21" s="105">
        <f t="shared" si="0"/>
        <v>-1.7980032943318376E-5</v>
      </c>
    </row>
    <row r="22" spans="1:4">
      <c r="A22" s="45" t="s">
        <v>137</v>
      </c>
      <c r="B22" s="29" t="s">
        <v>75</v>
      </c>
      <c r="C22" s="104" t="s" vm="4">
        <v>2205</v>
      </c>
      <c r="D22" s="105" t="s" vm="5">
        <v>2205</v>
      </c>
    </row>
    <row r="23" spans="1:4">
      <c r="B23" s="28" t="s">
        <v>194</v>
      </c>
      <c r="C23" s="104">
        <f>C24+C26+C27+C28+C29+C31</f>
        <v>2323528.4095345866</v>
      </c>
      <c r="D23" s="105">
        <f>C23/$C$42</f>
        <v>0.64040577445427138</v>
      </c>
    </row>
    <row r="24" spans="1:4">
      <c r="A24" s="45" t="s">
        <v>137</v>
      </c>
      <c r="B24" s="29" t="s">
        <v>76</v>
      </c>
      <c r="C24" s="104">
        <f>'לא סחיר- תעודות התחייבות ממשלתי'!M11</f>
        <v>2201401.4195600008</v>
      </c>
      <c r="D24" s="105">
        <f>C24/$C$42</f>
        <v>0.60674540289371459</v>
      </c>
    </row>
    <row r="25" spans="1:4">
      <c r="A25" s="45" t="s">
        <v>137</v>
      </c>
      <c r="B25" s="29" t="s">
        <v>77</v>
      </c>
      <c r="C25" s="104" t="s" vm="6">
        <v>2205</v>
      </c>
      <c r="D25" s="105" t="s" vm="7">
        <v>2205</v>
      </c>
    </row>
    <row r="26" spans="1:4">
      <c r="A26" s="45" t="s">
        <v>137</v>
      </c>
      <c r="B26" s="29" t="s">
        <v>69</v>
      </c>
      <c r="C26" s="104">
        <f>'לא סחיר - אג"ח קונצרני'!P11</f>
        <v>54516.722389999995</v>
      </c>
      <c r="D26" s="105">
        <f>C26/$C$42</f>
        <v>1.5025778759412569E-2</v>
      </c>
    </row>
    <row r="27" spans="1:4">
      <c r="A27" s="45" t="s">
        <v>137</v>
      </c>
      <c r="B27" s="29" t="s">
        <v>78</v>
      </c>
      <c r="C27" s="104">
        <f>'לא סחיר - מניות'!J11</f>
        <v>18612.293379999999</v>
      </c>
      <c r="D27" s="105">
        <f>C27/$C$42</f>
        <v>5.1298792420517558E-3</v>
      </c>
    </row>
    <row r="28" spans="1:4">
      <c r="A28" s="45" t="s">
        <v>137</v>
      </c>
      <c r="B28" s="29" t="s">
        <v>79</v>
      </c>
      <c r="C28" s="104">
        <f>'לא סחיר - קרנות השקעה'!H11</f>
        <v>49413.396399999991</v>
      </c>
      <c r="D28" s="105">
        <f>C28/$C$42</f>
        <v>1.3619211308157174E-2</v>
      </c>
    </row>
    <row r="29" spans="1:4">
      <c r="A29" s="45" t="s">
        <v>137</v>
      </c>
      <c r="B29" s="29" t="s">
        <v>80</v>
      </c>
      <c r="C29" s="104">
        <f>'לא סחיר - כתבי אופציה'!I11</f>
        <v>1.5696000489999999</v>
      </c>
      <c r="D29" s="105">
        <f>C29/$C$42</f>
        <v>4.3260970291499451E-7</v>
      </c>
    </row>
    <row r="30" spans="1:4">
      <c r="A30" s="45" t="s">
        <v>137</v>
      </c>
      <c r="B30" s="29" t="s">
        <v>217</v>
      </c>
      <c r="C30" s="104" t="s" vm="8">
        <v>2205</v>
      </c>
      <c r="D30" s="105" t="s" vm="9">
        <v>2205</v>
      </c>
    </row>
    <row r="31" spans="1:4">
      <c r="A31" s="45" t="s">
        <v>137</v>
      </c>
      <c r="B31" s="29" t="s">
        <v>102</v>
      </c>
      <c r="C31" s="104">
        <f>'לא סחיר - חוזים עתידיים'!I11</f>
        <v>-416.99179546299985</v>
      </c>
      <c r="D31" s="105">
        <f>C31/$C$42</f>
        <v>-1.1493035876761655E-4</v>
      </c>
    </row>
    <row r="32" spans="1:4">
      <c r="A32" s="45" t="s">
        <v>137</v>
      </c>
      <c r="B32" s="29" t="s">
        <v>81</v>
      </c>
      <c r="C32" s="104" t="s" vm="10">
        <v>2205</v>
      </c>
      <c r="D32" s="105" t="s" vm="11">
        <v>2205</v>
      </c>
    </row>
    <row r="33" spans="1:7">
      <c r="A33" s="45" t="s">
        <v>137</v>
      </c>
      <c r="B33" s="28" t="s">
        <v>195</v>
      </c>
      <c r="C33" s="104">
        <f>הלוואות!P10</f>
        <v>86377.276959999988</v>
      </c>
      <c r="D33" s="105">
        <f>C33/$C$42</f>
        <v>2.3807114524543312E-2</v>
      </c>
      <c r="G33" s="122"/>
    </row>
    <row r="34" spans="1:7">
      <c r="A34" s="45" t="s">
        <v>137</v>
      </c>
      <c r="B34" s="28" t="s">
        <v>196</v>
      </c>
      <c r="C34" s="104" t="s" vm="12">
        <v>2205</v>
      </c>
      <c r="D34" s="105" t="s" vm="13">
        <v>2205</v>
      </c>
      <c r="G34" s="122"/>
    </row>
    <row r="35" spans="1:7">
      <c r="A35" s="45" t="s">
        <v>137</v>
      </c>
      <c r="B35" s="28" t="s">
        <v>197</v>
      </c>
      <c r="C35" s="104">
        <f>'זכויות מקרקעין'!G10</f>
        <v>19795.063719999998</v>
      </c>
      <c r="D35" s="105">
        <f>C35/$C$42</f>
        <v>5.455871793931491E-3</v>
      </c>
      <c r="G35" s="122"/>
    </row>
    <row r="36" spans="1:7">
      <c r="A36" s="45" t="s">
        <v>137</v>
      </c>
      <c r="B36" s="46" t="s">
        <v>198</v>
      </c>
      <c r="C36" s="104" t="s" vm="14">
        <v>2205</v>
      </c>
      <c r="D36" s="105" t="s" vm="15">
        <v>2205</v>
      </c>
      <c r="G36" s="122"/>
    </row>
    <row r="37" spans="1:7">
      <c r="A37" s="45" t="s">
        <v>137</v>
      </c>
      <c r="B37" s="28" t="s">
        <v>199</v>
      </c>
      <c r="C37" s="104">
        <f>'השקעות אחרות '!I10</f>
        <v>-59.864056295000005</v>
      </c>
      <c r="D37" s="105">
        <f>C37/$C$42</f>
        <v>-1.6499599133910614E-5</v>
      </c>
      <c r="G37" s="122"/>
    </row>
    <row r="38" spans="1:7">
      <c r="A38" s="45"/>
      <c r="B38" s="56" t="s">
        <v>201</v>
      </c>
      <c r="C38" s="104">
        <v>0</v>
      </c>
      <c r="D38" s="105">
        <f>C38/$C$42</f>
        <v>0</v>
      </c>
      <c r="G38" s="122"/>
    </row>
    <row r="39" spans="1:7">
      <c r="A39" s="45" t="s">
        <v>137</v>
      </c>
      <c r="B39" s="57" t="s">
        <v>202</v>
      </c>
      <c r="C39" s="104" t="s" vm="16">
        <v>2205</v>
      </c>
      <c r="D39" s="105" t="s" vm="17">
        <v>2205</v>
      </c>
      <c r="G39" s="122"/>
    </row>
    <row r="40" spans="1:7">
      <c r="A40" s="45" t="s">
        <v>137</v>
      </c>
      <c r="B40" s="57" t="s">
        <v>237</v>
      </c>
      <c r="C40" s="104" t="s" vm="18">
        <v>2205</v>
      </c>
      <c r="D40" s="105" t="s" vm="19">
        <v>2205</v>
      </c>
      <c r="G40" s="122"/>
    </row>
    <row r="41" spans="1:7">
      <c r="A41" s="45" t="s">
        <v>137</v>
      </c>
      <c r="B41" s="57" t="s">
        <v>203</v>
      </c>
      <c r="C41" s="104" t="s" vm="20">
        <v>2205</v>
      </c>
      <c r="D41" s="105" t="s" vm="21">
        <v>2205</v>
      </c>
      <c r="G41" s="122"/>
    </row>
    <row r="42" spans="1:7">
      <c r="B42" s="57" t="s">
        <v>82</v>
      </c>
      <c r="C42" s="104">
        <f>C38+C10</f>
        <v>3628212.7710584844</v>
      </c>
      <c r="D42" s="105">
        <f>C42/$C$42</f>
        <v>1</v>
      </c>
      <c r="G42" s="122"/>
    </row>
    <row r="43" spans="1:7">
      <c r="A43" s="45" t="s">
        <v>137</v>
      </c>
      <c r="B43" s="57" t="s">
        <v>200</v>
      </c>
      <c r="C43" s="104">
        <f>'יתרת התחייבות להשקעה'!C10</f>
        <v>32785.662326766163</v>
      </c>
      <c r="D43" s="105"/>
    </row>
    <row r="44" spans="1:7">
      <c r="B44" s="6" t="s">
        <v>106</v>
      </c>
    </row>
    <row r="45" spans="1:7">
      <c r="C45" s="63" t="s">
        <v>182</v>
      </c>
      <c r="D45" s="35" t="s">
        <v>101</v>
      </c>
    </row>
    <row r="46" spans="1:7">
      <c r="C46" s="64" t="s">
        <v>0</v>
      </c>
      <c r="D46" s="24" t="s">
        <v>1</v>
      </c>
    </row>
    <row r="47" spans="1:7">
      <c r="C47" s="106" t="s">
        <v>163</v>
      </c>
      <c r="D47" s="107" vm="22">
        <v>2.3723000000000001</v>
      </c>
    </row>
    <row r="48" spans="1:7">
      <c r="C48" s="106" t="s">
        <v>172</v>
      </c>
      <c r="D48" s="107">
        <v>0.6384585628235121</v>
      </c>
    </row>
    <row r="49" spans="2:4">
      <c r="C49" s="106" t="s">
        <v>168</v>
      </c>
      <c r="D49" s="107" vm="23">
        <v>2.5308000000000002</v>
      </c>
    </row>
    <row r="50" spans="2:4">
      <c r="B50" s="12"/>
      <c r="C50" s="106" t="s">
        <v>1265</v>
      </c>
      <c r="D50" s="107" vm="24">
        <v>3.6429</v>
      </c>
    </row>
    <row r="51" spans="2:4">
      <c r="C51" s="106" t="s">
        <v>161</v>
      </c>
      <c r="D51" s="107" vm="25">
        <v>3.8828</v>
      </c>
    </row>
    <row r="52" spans="2:4">
      <c r="C52" s="106" t="s">
        <v>162</v>
      </c>
      <c r="D52" s="107" vm="26">
        <v>4.2541000000000002</v>
      </c>
    </row>
    <row r="53" spans="2:4">
      <c r="C53" s="106" t="s">
        <v>164</v>
      </c>
      <c r="D53" s="107">
        <v>0.44719118519856527</v>
      </c>
    </row>
    <row r="54" spans="2:4">
      <c r="C54" s="106" t="s">
        <v>169</v>
      </c>
      <c r="D54" s="107" vm="27">
        <v>3.2172999999999998</v>
      </c>
    </row>
    <row r="55" spans="2:4">
      <c r="C55" s="106" t="s">
        <v>170</v>
      </c>
      <c r="D55" s="107">
        <v>0.1506151058347058</v>
      </c>
    </row>
    <row r="56" spans="2:4">
      <c r="C56" s="106" t="s">
        <v>167</v>
      </c>
      <c r="D56" s="107" vm="28">
        <v>0.52090000000000003</v>
      </c>
    </row>
    <row r="57" spans="2:4">
      <c r="C57" s="106" t="s">
        <v>2206</v>
      </c>
      <c r="D57" s="107">
        <v>2.2366098000000001</v>
      </c>
    </row>
    <row r="58" spans="2:4">
      <c r="C58" s="106" t="s">
        <v>166</v>
      </c>
      <c r="D58" s="107" vm="29">
        <v>0.36959999999999998</v>
      </c>
    </row>
    <row r="59" spans="2:4">
      <c r="C59" s="106" t="s">
        <v>159</v>
      </c>
      <c r="D59" s="107" vm="30">
        <v>3.4660000000000002</v>
      </c>
    </row>
    <row r="60" spans="2:4">
      <c r="C60" s="106" t="s">
        <v>173</v>
      </c>
      <c r="D60" s="107" vm="31">
        <v>0.19980000000000001</v>
      </c>
    </row>
    <row r="61" spans="2:4">
      <c r="C61" s="106" t="s">
        <v>2207</v>
      </c>
      <c r="D61" s="107" vm="32">
        <v>0.35580000000000001</v>
      </c>
    </row>
    <row r="62" spans="2:4">
      <c r="C62" s="106" t="s">
        <v>2208</v>
      </c>
      <c r="D62" s="107">
        <v>4.8688665065250679E-2</v>
      </c>
    </row>
    <row r="63" spans="2:4">
      <c r="C63" s="106" t="s">
        <v>2209</v>
      </c>
      <c r="D63" s="107">
        <v>0.49055962861267588</v>
      </c>
    </row>
    <row r="64" spans="2:4">
      <c r="C64" s="106" t="s">
        <v>160</v>
      </c>
      <c r="D64" s="107">
        <v>1</v>
      </c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>
      <selection activeCell="I18" sqref="I18"/>
    </sheetView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69.28515625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47" t="s">
        <v>175</v>
      </c>
      <c r="C1" s="68" t="s" vm="1">
        <v>259</v>
      </c>
    </row>
    <row r="2" spans="2:61">
      <c r="B2" s="47" t="s">
        <v>174</v>
      </c>
      <c r="C2" s="68" t="s">
        <v>260</v>
      </c>
    </row>
    <row r="3" spans="2:61">
      <c r="B3" s="47" t="s">
        <v>176</v>
      </c>
      <c r="C3" s="68" t="s">
        <v>261</v>
      </c>
    </row>
    <row r="4" spans="2:61">
      <c r="B4" s="47" t="s">
        <v>177</v>
      </c>
      <c r="C4" s="68">
        <v>2207</v>
      </c>
    </row>
    <row r="6" spans="2:61" ht="26.25" customHeight="1">
      <c r="B6" s="126" t="s">
        <v>205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61" ht="26.25" customHeight="1">
      <c r="B7" s="126" t="s">
        <v>91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  <c r="BI7" s="3"/>
    </row>
    <row r="8" spans="2:61" s="3" customFormat="1" ht="78.75">
      <c r="B8" s="22" t="s">
        <v>112</v>
      </c>
      <c r="C8" s="30" t="s">
        <v>43</v>
      </c>
      <c r="D8" s="30" t="s">
        <v>115</v>
      </c>
      <c r="E8" s="30" t="s">
        <v>63</v>
      </c>
      <c r="F8" s="30" t="s">
        <v>99</v>
      </c>
      <c r="G8" s="30" t="s">
        <v>236</v>
      </c>
      <c r="H8" s="30" t="s">
        <v>235</v>
      </c>
      <c r="I8" s="30" t="s">
        <v>60</v>
      </c>
      <c r="J8" s="30" t="s">
        <v>57</v>
      </c>
      <c r="K8" s="30" t="s">
        <v>178</v>
      </c>
      <c r="L8" s="31" t="s">
        <v>180</v>
      </c>
      <c r="M8" s="1"/>
      <c r="BE8" s="1"/>
      <c r="BF8" s="1"/>
    </row>
    <row r="9" spans="2:61" s="3" customFormat="1" ht="20.25">
      <c r="B9" s="15"/>
      <c r="C9" s="30"/>
      <c r="D9" s="30"/>
      <c r="E9" s="30"/>
      <c r="F9" s="30"/>
      <c r="G9" s="16" t="s">
        <v>243</v>
      </c>
      <c r="H9" s="16"/>
      <c r="I9" s="16" t="s">
        <v>239</v>
      </c>
      <c r="J9" s="16" t="s">
        <v>19</v>
      </c>
      <c r="K9" s="32" t="s">
        <v>19</v>
      </c>
      <c r="L9" s="17" t="s">
        <v>19</v>
      </c>
      <c r="BD9" s="1"/>
      <c r="BE9" s="1"/>
      <c r="BF9" s="1"/>
      <c r="BH9" s="4"/>
    </row>
    <row r="10" spans="2:6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D10" s="1"/>
      <c r="BE10" s="3"/>
      <c r="BF10" s="1"/>
    </row>
    <row r="11" spans="2:61" s="4" customFormat="1" ht="18" customHeight="1">
      <c r="B11" s="96" t="s">
        <v>48</v>
      </c>
      <c r="C11" s="72"/>
      <c r="D11" s="72"/>
      <c r="E11" s="72"/>
      <c r="F11" s="72"/>
      <c r="G11" s="80"/>
      <c r="H11" s="82"/>
      <c r="I11" s="80">
        <v>-161.09727864200002</v>
      </c>
      <c r="J11" s="72"/>
      <c r="K11" s="81">
        <f>I11/$I$11</f>
        <v>1</v>
      </c>
      <c r="L11" s="81">
        <f>I11/'סכום נכסי הקרן'!$C$42</f>
        <v>-4.440127655330477E-5</v>
      </c>
      <c r="BD11" s="1"/>
      <c r="BE11" s="3"/>
      <c r="BF11" s="1"/>
      <c r="BH11" s="1"/>
    </row>
    <row r="12" spans="2:61">
      <c r="B12" s="95" t="s">
        <v>229</v>
      </c>
      <c r="C12" s="70"/>
      <c r="D12" s="70"/>
      <c r="E12" s="70"/>
      <c r="F12" s="70"/>
      <c r="G12" s="77"/>
      <c r="H12" s="79"/>
      <c r="I12" s="77">
        <v>-12.203478781000001</v>
      </c>
      <c r="J12" s="70"/>
      <c r="K12" s="78">
        <f t="shared" ref="K12:K15" si="0">I12/$I$11</f>
        <v>7.5752234202039498E-2</v>
      </c>
      <c r="L12" s="78">
        <f>I12/'סכום נכסי הקרן'!$C$42</f>
        <v>-3.3634959003354683E-6</v>
      </c>
      <c r="BE12" s="3"/>
    </row>
    <row r="13" spans="2:61" ht="20.25">
      <c r="B13" s="89" t="s">
        <v>223</v>
      </c>
      <c r="C13" s="72"/>
      <c r="D13" s="72"/>
      <c r="E13" s="72"/>
      <c r="F13" s="72"/>
      <c r="G13" s="80"/>
      <c r="H13" s="82"/>
      <c r="I13" s="80">
        <v>-12.203478781000001</v>
      </c>
      <c r="J13" s="72"/>
      <c r="K13" s="81">
        <f t="shared" si="0"/>
        <v>7.5752234202039498E-2</v>
      </c>
      <c r="L13" s="81">
        <f>I13/'סכום נכסי הקרן'!$C$42</f>
        <v>-3.3634959003354683E-6</v>
      </c>
      <c r="BE13" s="4"/>
    </row>
    <row r="14" spans="2:61">
      <c r="B14" s="76" t="s">
        <v>1603</v>
      </c>
      <c r="C14" s="70" t="s">
        <v>1604</v>
      </c>
      <c r="D14" s="83" t="s">
        <v>116</v>
      </c>
      <c r="E14" s="83" t="s">
        <v>646</v>
      </c>
      <c r="F14" s="83" t="s">
        <v>160</v>
      </c>
      <c r="G14" s="77">
        <v>2.0624440000000002</v>
      </c>
      <c r="H14" s="79">
        <v>168000</v>
      </c>
      <c r="I14" s="77">
        <v>3.464905248</v>
      </c>
      <c r="J14" s="70"/>
      <c r="K14" s="78">
        <f t="shared" si="0"/>
        <v>-2.1508155055182027E-2</v>
      </c>
      <c r="L14" s="78">
        <f>I14/'סכום נכסי הקרן'!$C$42</f>
        <v>9.5498954075649712E-7</v>
      </c>
    </row>
    <row r="15" spans="2:61">
      <c r="B15" s="76" t="s">
        <v>1605</v>
      </c>
      <c r="C15" s="70" t="s">
        <v>1606</v>
      </c>
      <c r="D15" s="83" t="s">
        <v>116</v>
      </c>
      <c r="E15" s="83" t="s">
        <v>646</v>
      </c>
      <c r="F15" s="83" t="s">
        <v>160</v>
      </c>
      <c r="G15" s="77">
        <v>-2.0624440000000002</v>
      </c>
      <c r="H15" s="79">
        <v>759700</v>
      </c>
      <c r="I15" s="77">
        <v>-15.668384029</v>
      </c>
      <c r="J15" s="70"/>
      <c r="K15" s="78">
        <f t="shared" si="0"/>
        <v>9.7260389257221525E-2</v>
      </c>
      <c r="L15" s="78">
        <f>I15/'סכום נכסי הקרן'!$C$42</f>
        <v>-4.3184854410919652E-6</v>
      </c>
    </row>
    <row r="16" spans="2:61">
      <c r="B16" s="73"/>
      <c r="C16" s="70"/>
      <c r="D16" s="70"/>
      <c r="E16" s="70"/>
      <c r="F16" s="70"/>
      <c r="G16" s="77"/>
      <c r="H16" s="79"/>
      <c r="I16" s="70"/>
      <c r="J16" s="70"/>
      <c r="K16" s="78"/>
      <c r="L16" s="70"/>
    </row>
    <row r="17" spans="2:56">
      <c r="B17" s="95" t="s">
        <v>228</v>
      </c>
      <c r="C17" s="70"/>
      <c r="D17" s="70"/>
      <c r="E17" s="70"/>
      <c r="F17" s="70"/>
      <c r="G17" s="77"/>
      <c r="H17" s="79"/>
      <c r="I17" s="77">
        <v>-148.89379986100002</v>
      </c>
      <c r="J17" s="70"/>
      <c r="K17" s="78">
        <f t="shared" ref="K17:K21" si="1">I17/$I$11</f>
        <v>0.92424776579796053</v>
      </c>
      <c r="L17" s="78">
        <f>I17/'סכום נכסי הקרן'!$C$42</f>
        <v>-4.1037780652969304E-5</v>
      </c>
    </row>
    <row r="18" spans="2:56" ht="20.25">
      <c r="B18" s="89" t="s">
        <v>223</v>
      </c>
      <c r="C18" s="72"/>
      <c r="D18" s="72"/>
      <c r="E18" s="72"/>
      <c r="F18" s="72"/>
      <c r="G18" s="80"/>
      <c r="H18" s="82"/>
      <c r="I18" s="80">
        <v>-148.89379986100002</v>
      </c>
      <c r="J18" s="72"/>
      <c r="K18" s="81">
        <f t="shared" si="1"/>
        <v>0.92424776579796053</v>
      </c>
      <c r="L18" s="81">
        <f>I18/'סכום נכסי הקרן'!$C$42</f>
        <v>-4.1037780652969304E-5</v>
      </c>
      <c r="BD18" s="4"/>
    </row>
    <row r="19" spans="2:56">
      <c r="B19" s="76" t="s">
        <v>1607</v>
      </c>
      <c r="C19" s="70" t="s">
        <v>1608</v>
      </c>
      <c r="D19" s="83" t="s">
        <v>26</v>
      </c>
      <c r="E19" s="83" t="s">
        <v>646</v>
      </c>
      <c r="F19" s="83" t="s">
        <v>159</v>
      </c>
      <c r="G19" s="77">
        <v>-3.3583859999999999</v>
      </c>
      <c r="H19" s="79">
        <v>16900</v>
      </c>
      <c r="I19" s="77">
        <v>-196.71877518800002</v>
      </c>
      <c r="J19" s="70"/>
      <c r="K19" s="78">
        <f t="shared" si="1"/>
        <v>1.2211179285353431</v>
      </c>
      <c r="L19" s="78">
        <f>I19/'סכום נכסי הקרן'!$C$42</f>
        <v>-5.4219194849096416E-5</v>
      </c>
    </row>
    <row r="20" spans="2:56">
      <c r="B20" s="76" t="s">
        <v>1609</v>
      </c>
      <c r="C20" s="70" t="s">
        <v>1610</v>
      </c>
      <c r="D20" s="83" t="s">
        <v>26</v>
      </c>
      <c r="E20" s="83" t="s">
        <v>646</v>
      </c>
      <c r="F20" s="83" t="s">
        <v>161</v>
      </c>
      <c r="G20" s="77">
        <v>8.6529830000000008</v>
      </c>
      <c r="H20" s="79">
        <v>4490</v>
      </c>
      <c r="I20" s="77">
        <v>15.085413448999999</v>
      </c>
      <c r="J20" s="70"/>
      <c r="K20" s="78">
        <f t="shared" si="1"/>
        <v>-9.3641640480617336E-2</v>
      </c>
      <c r="L20" s="78">
        <f>I20/'סכום נכסי הקרן'!$C$42</f>
        <v>4.157808375885029E-6</v>
      </c>
    </row>
    <row r="21" spans="2:56">
      <c r="B21" s="76" t="s">
        <v>1611</v>
      </c>
      <c r="C21" s="70" t="s">
        <v>1612</v>
      </c>
      <c r="D21" s="83" t="s">
        <v>26</v>
      </c>
      <c r="E21" s="83" t="s">
        <v>646</v>
      </c>
      <c r="F21" s="83" t="s">
        <v>161</v>
      </c>
      <c r="G21" s="77">
        <v>11.994234000000001</v>
      </c>
      <c r="H21" s="79">
        <v>7030</v>
      </c>
      <c r="I21" s="77">
        <v>32.739561878000004</v>
      </c>
      <c r="J21" s="70"/>
      <c r="K21" s="78">
        <f t="shared" si="1"/>
        <v>-0.20322852225676519</v>
      </c>
      <c r="L21" s="78">
        <f>I21/'סכום נכסי הקרן'!$C$42</f>
        <v>9.0236058202420844E-6</v>
      </c>
      <c r="BD21" s="3"/>
    </row>
    <row r="22" spans="2:56">
      <c r="B22" s="73"/>
      <c r="C22" s="70"/>
      <c r="D22" s="70"/>
      <c r="E22" s="70"/>
      <c r="F22" s="70"/>
      <c r="G22" s="77"/>
      <c r="H22" s="79"/>
      <c r="I22" s="70"/>
      <c r="J22" s="70"/>
      <c r="K22" s="78"/>
      <c r="L22" s="70"/>
    </row>
    <row r="23" spans="2:56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2:56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2:56">
      <c r="B25" s="85" t="s">
        <v>251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2:56">
      <c r="B26" s="85" t="s">
        <v>108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2:56">
      <c r="B27" s="85" t="s">
        <v>234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2:56">
      <c r="B28" s="85" t="s">
        <v>242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2:56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2:56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2:56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2:56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2:12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2:12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2:12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2:1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2:12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2:12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2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2:12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2:12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2:12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2:12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2:12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2:12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2:12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2:12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2:12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2:12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2:12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2:12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2:12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2:12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2:12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2:12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2:12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2:12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2:12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2:12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2:12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2:12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2:12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2:12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2:12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2:12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2:12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2:12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2:12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2:12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2:12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spans="2:12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2:12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2:12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2:12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</row>
    <row r="75" spans="2:12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</row>
    <row r="76" spans="2:12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2:12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</row>
    <row r="78" spans="2:12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</row>
    <row r="79" spans="2:12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</row>
    <row r="80" spans="2:12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  <row r="81" spans="2:12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2:12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2:12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</row>
    <row r="84" spans="2:12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</row>
    <row r="85" spans="2:12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2:12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2:12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</row>
    <row r="88" spans="2:12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2:12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</row>
    <row r="90" spans="2:12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</row>
    <row r="91" spans="2:12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2:12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</row>
    <row r="93" spans="2:12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</row>
    <row r="94" spans="2:12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2:12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</row>
    <row r="96" spans="2:12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2:12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</row>
    <row r="98" spans="2:12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</row>
    <row r="99" spans="2:12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</row>
    <row r="100" spans="2:12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2:12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</row>
    <row r="102" spans="2:12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2:12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</row>
    <row r="104" spans="2:12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2:12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</row>
    <row r="106" spans="2:12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</row>
    <row r="107" spans="2:12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</row>
    <row r="108" spans="2:12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</row>
    <row r="109" spans="2:12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2:12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2:12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</row>
    <row r="112" spans="2:12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</row>
    <row r="113" spans="2:12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</row>
    <row r="114" spans="2:12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</row>
    <row r="115" spans="2:12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</row>
    <row r="116" spans="2:12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</row>
    <row r="117" spans="2:12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</row>
    <row r="118" spans="2:12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</row>
    <row r="119" spans="2:12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</row>
    <row r="120" spans="2:12"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</row>
    <row r="121" spans="2:12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>
      <selection activeCell="I18" sqref="I18"/>
    </sheetView>
  </sheetViews>
  <sheetFormatPr defaultColWidth="9.140625" defaultRowHeight="18"/>
  <cols>
    <col min="1" max="1" width="6.28515625" style="2" customWidth="1"/>
    <col min="2" max="2" width="32.85546875" style="2" bestFit="1" customWidth="1"/>
    <col min="3" max="3" width="69.28515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47" t="s">
        <v>175</v>
      </c>
      <c r="C1" s="68" t="s" vm="1">
        <v>259</v>
      </c>
    </row>
    <row r="2" spans="1:60">
      <c r="B2" s="47" t="s">
        <v>174</v>
      </c>
      <c r="C2" s="68" t="s">
        <v>260</v>
      </c>
    </row>
    <row r="3" spans="1:60">
      <c r="B3" s="47" t="s">
        <v>176</v>
      </c>
      <c r="C3" s="68" t="s">
        <v>261</v>
      </c>
    </row>
    <row r="4" spans="1:60">
      <c r="B4" s="47" t="s">
        <v>177</v>
      </c>
      <c r="C4" s="68">
        <v>2207</v>
      </c>
    </row>
    <row r="6" spans="1:60" ht="26.25" customHeight="1">
      <c r="B6" s="126" t="s">
        <v>205</v>
      </c>
      <c r="C6" s="127"/>
      <c r="D6" s="127"/>
      <c r="E6" s="127"/>
      <c r="F6" s="127"/>
      <c r="G6" s="127"/>
      <c r="H6" s="127"/>
      <c r="I6" s="127"/>
      <c r="J6" s="127"/>
      <c r="K6" s="128"/>
      <c r="BD6" s="1" t="s">
        <v>116</v>
      </c>
      <c r="BF6" s="1" t="s">
        <v>183</v>
      </c>
      <c r="BH6" s="3" t="s">
        <v>160</v>
      </c>
    </row>
    <row r="7" spans="1:60" ht="26.25" customHeight="1">
      <c r="B7" s="126" t="s">
        <v>92</v>
      </c>
      <c r="C7" s="127"/>
      <c r="D7" s="127"/>
      <c r="E7" s="127"/>
      <c r="F7" s="127"/>
      <c r="G7" s="127"/>
      <c r="H7" s="127"/>
      <c r="I7" s="127"/>
      <c r="J7" s="127"/>
      <c r="K7" s="128"/>
      <c r="BD7" s="3" t="s">
        <v>118</v>
      </c>
      <c r="BF7" s="1" t="s">
        <v>138</v>
      </c>
      <c r="BH7" s="3" t="s">
        <v>159</v>
      </c>
    </row>
    <row r="8" spans="1:60" s="3" customFormat="1" ht="78.75">
      <c r="A8" s="2"/>
      <c r="B8" s="22" t="s">
        <v>112</v>
      </c>
      <c r="C8" s="30" t="s">
        <v>43</v>
      </c>
      <c r="D8" s="30" t="s">
        <v>115</v>
      </c>
      <c r="E8" s="30" t="s">
        <v>63</v>
      </c>
      <c r="F8" s="30" t="s">
        <v>99</v>
      </c>
      <c r="G8" s="30" t="s">
        <v>236</v>
      </c>
      <c r="H8" s="30" t="s">
        <v>235</v>
      </c>
      <c r="I8" s="30" t="s">
        <v>60</v>
      </c>
      <c r="J8" s="30" t="s">
        <v>178</v>
      </c>
      <c r="K8" s="31" t="s">
        <v>180</v>
      </c>
      <c r="BC8" s="1" t="s">
        <v>131</v>
      </c>
      <c r="BD8" s="1" t="s">
        <v>132</v>
      </c>
      <c r="BE8" s="1" t="s">
        <v>139</v>
      </c>
      <c r="BG8" s="4" t="s">
        <v>161</v>
      </c>
    </row>
    <row r="9" spans="1:60" s="3" customFormat="1" ht="18.75" customHeight="1">
      <c r="A9" s="2"/>
      <c r="B9" s="15"/>
      <c r="C9" s="16"/>
      <c r="D9" s="16"/>
      <c r="E9" s="16"/>
      <c r="F9" s="16"/>
      <c r="G9" s="16" t="s">
        <v>243</v>
      </c>
      <c r="H9" s="16"/>
      <c r="I9" s="16" t="s">
        <v>239</v>
      </c>
      <c r="J9" s="32" t="s">
        <v>19</v>
      </c>
      <c r="K9" s="33" t="s">
        <v>19</v>
      </c>
      <c r="BC9" s="1" t="s">
        <v>128</v>
      </c>
      <c r="BE9" s="1" t="s">
        <v>140</v>
      </c>
      <c r="BG9" s="4" t="s">
        <v>162</v>
      </c>
    </row>
    <row r="10" spans="1:60" s="4" customFormat="1" ht="18" customHeight="1">
      <c r="A10" s="2"/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20" t="s">
        <v>7</v>
      </c>
      <c r="L10" s="3"/>
      <c r="M10" s="3"/>
      <c r="N10" s="3"/>
      <c r="O10" s="3"/>
      <c r="BC10" s="1" t="s">
        <v>124</v>
      </c>
      <c r="BD10" s="3"/>
      <c r="BE10" s="1" t="s">
        <v>184</v>
      </c>
      <c r="BG10" s="1" t="s">
        <v>168</v>
      </c>
    </row>
    <row r="11" spans="1:60" s="4" customFormat="1" ht="18" customHeight="1">
      <c r="A11" s="2"/>
      <c r="B11" s="69" t="s">
        <v>47</v>
      </c>
      <c r="C11" s="70"/>
      <c r="D11" s="70"/>
      <c r="E11" s="70"/>
      <c r="F11" s="70"/>
      <c r="G11" s="77"/>
      <c r="H11" s="79"/>
      <c r="I11" s="77">
        <v>-65.235385148999995</v>
      </c>
      <c r="J11" s="78">
        <f>I11/$I$11</f>
        <v>1</v>
      </c>
      <c r="K11" s="78">
        <f>I11/'סכום נכסי הקרן'!$C$42</f>
        <v>-1.7980032943318376E-5</v>
      </c>
      <c r="L11" s="3"/>
      <c r="M11" s="3"/>
      <c r="N11" s="3"/>
      <c r="O11" s="3"/>
      <c r="BC11" s="1" t="s">
        <v>123</v>
      </c>
      <c r="BD11" s="3"/>
      <c r="BE11" s="1" t="s">
        <v>141</v>
      </c>
      <c r="BG11" s="1" t="s">
        <v>163</v>
      </c>
    </row>
    <row r="12" spans="1:60" ht="20.25">
      <c r="B12" s="95" t="s">
        <v>231</v>
      </c>
      <c r="C12" s="70"/>
      <c r="D12" s="70"/>
      <c r="E12" s="70"/>
      <c r="F12" s="70"/>
      <c r="G12" s="77"/>
      <c r="H12" s="79"/>
      <c r="I12" s="77">
        <v>-65.235385148999995</v>
      </c>
      <c r="J12" s="78">
        <f t="shared" ref="J12:J16" si="0">I12/$I$11</f>
        <v>1</v>
      </c>
      <c r="K12" s="78">
        <f>I12/'סכום נכסי הקרן'!$C$42</f>
        <v>-1.7980032943318376E-5</v>
      </c>
      <c r="P12" s="1"/>
      <c r="BC12" s="1" t="s">
        <v>121</v>
      </c>
      <c r="BD12" s="4"/>
      <c r="BE12" s="1" t="s">
        <v>142</v>
      </c>
      <c r="BG12" s="1" t="s">
        <v>164</v>
      </c>
    </row>
    <row r="13" spans="1:60">
      <c r="B13" s="73" t="s">
        <v>1613</v>
      </c>
      <c r="C13" s="70" t="s">
        <v>1614</v>
      </c>
      <c r="D13" s="83" t="s">
        <v>26</v>
      </c>
      <c r="E13" s="83" t="s">
        <v>646</v>
      </c>
      <c r="F13" s="83" t="s">
        <v>161</v>
      </c>
      <c r="G13" s="77">
        <v>6.3398089999999998</v>
      </c>
      <c r="H13" s="79">
        <v>322300</v>
      </c>
      <c r="I13" s="77">
        <v>-15.386411775000001</v>
      </c>
      <c r="J13" s="78">
        <f t="shared" si="0"/>
        <v>0.23585990547701796</v>
      </c>
      <c r="K13" s="78">
        <f>I13/'סכום נכסי הקרן'!$C$42</f>
        <v>-4.2407688704847409E-6</v>
      </c>
      <c r="P13" s="1"/>
      <c r="BC13" s="1" t="s">
        <v>125</v>
      </c>
      <c r="BE13" s="1" t="s">
        <v>143</v>
      </c>
      <c r="BG13" s="1" t="s">
        <v>165</v>
      </c>
    </row>
    <row r="14" spans="1:60">
      <c r="B14" s="73" t="s">
        <v>1615</v>
      </c>
      <c r="C14" s="70" t="s">
        <v>1616</v>
      </c>
      <c r="D14" s="83" t="s">
        <v>26</v>
      </c>
      <c r="E14" s="83" t="s">
        <v>646</v>
      </c>
      <c r="F14" s="83" t="s">
        <v>159</v>
      </c>
      <c r="G14" s="77">
        <v>4.8662320000000001</v>
      </c>
      <c r="H14" s="79">
        <v>5050</v>
      </c>
      <c r="I14" s="77">
        <v>-0.48624410499999998</v>
      </c>
      <c r="J14" s="78">
        <f t="shared" si="0"/>
        <v>7.4536864293726591E-3</v>
      </c>
      <c r="K14" s="78">
        <f>I14/'סכום נכסי הקרן'!$C$42</f>
        <v>-1.3401752754928552E-7</v>
      </c>
      <c r="P14" s="1"/>
      <c r="BC14" s="1" t="s">
        <v>122</v>
      </c>
      <c r="BE14" s="1" t="s">
        <v>144</v>
      </c>
      <c r="BG14" s="1" t="s">
        <v>167</v>
      </c>
    </row>
    <row r="15" spans="1:60">
      <c r="B15" s="73" t="s">
        <v>1617</v>
      </c>
      <c r="C15" s="70" t="s">
        <v>1618</v>
      </c>
      <c r="D15" s="83" t="s">
        <v>26</v>
      </c>
      <c r="E15" s="83" t="s">
        <v>646</v>
      </c>
      <c r="F15" s="83" t="s">
        <v>159</v>
      </c>
      <c r="G15" s="77">
        <v>16.425246999999999</v>
      </c>
      <c r="H15" s="79">
        <v>309025</v>
      </c>
      <c r="I15" s="77">
        <v>-64.750244351000006</v>
      </c>
      <c r="J15" s="78">
        <f t="shared" si="0"/>
        <v>0.99256322627831639</v>
      </c>
      <c r="K15" s="78">
        <f>I15/'סכום נכסי הקרן'!$C$42</f>
        <v>-1.78463195068105E-5</v>
      </c>
      <c r="P15" s="1"/>
      <c r="BC15" s="1" t="s">
        <v>133</v>
      </c>
      <c r="BE15" s="1" t="s">
        <v>185</v>
      </c>
      <c r="BG15" s="1" t="s">
        <v>169</v>
      </c>
    </row>
    <row r="16" spans="1:60" ht="20.25">
      <c r="B16" s="73" t="s">
        <v>1619</v>
      </c>
      <c r="C16" s="70" t="s">
        <v>1620</v>
      </c>
      <c r="D16" s="83" t="s">
        <v>26</v>
      </c>
      <c r="E16" s="83" t="s">
        <v>646</v>
      </c>
      <c r="F16" s="83" t="s">
        <v>161</v>
      </c>
      <c r="G16" s="77">
        <v>8.1389449999999997</v>
      </c>
      <c r="H16" s="79">
        <v>35890</v>
      </c>
      <c r="I16" s="77">
        <v>15.387515082</v>
      </c>
      <c r="J16" s="78">
        <f t="shared" si="0"/>
        <v>-0.2358768181847069</v>
      </c>
      <c r="K16" s="78">
        <f>I16/'סכום נכסי הקרן'!$C$42</f>
        <v>4.2410729615261485E-6</v>
      </c>
      <c r="P16" s="1"/>
      <c r="BC16" s="4" t="s">
        <v>119</v>
      </c>
      <c r="BD16" s="1" t="s">
        <v>134</v>
      </c>
      <c r="BE16" s="1" t="s">
        <v>145</v>
      </c>
      <c r="BG16" s="1" t="s">
        <v>170</v>
      </c>
    </row>
    <row r="17" spans="2:60">
      <c r="B17" s="95"/>
      <c r="C17" s="70"/>
      <c r="D17" s="70"/>
      <c r="E17" s="70"/>
      <c r="F17" s="70"/>
      <c r="G17" s="77"/>
      <c r="H17" s="79"/>
      <c r="I17" s="70"/>
      <c r="J17" s="78"/>
      <c r="K17" s="70"/>
      <c r="P17" s="1"/>
      <c r="BC17" s="1" t="s">
        <v>129</v>
      </c>
      <c r="BE17" s="1" t="s">
        <v>146</v>
      </c>
      <c r="BG17" s="1" t="s">
        <v>171</v>
      </c>
    </row>
    <row r="18" spans="2:60">
      <c r="B18" s="69"/>
      <c r="C18" s="69"/>
      <c r="D18" s="69"/>
      <c r="E18" s="69"/>
      <c r="F18" s="69"/>
      <c r="G18" s="69"/>
      <c r="H18" s="69"/>
      <c r="I18" s="69"/>
      <c r="J18" s="69"/>
      <c r="K18" s="69"/>
      <c r="BD18" s="1" t="s">
        <v>117</v>
      </c>
      <c r="BF18" s="1" t="s">
        <v>147</v>
      </c>
      <c r="BH18" s="1" t="s">
        <v>26</v>
      </c>
    </row>
    <row r="19" spans="2:60">
      <c r="B19" s="69"/>
      <c r="C19" s="69"/>
      <c r="D19" s="69"/>
      <c r="E19" s="69"/>
      <c r="F19" s="69"/>
      <c r="G19" s="69"/>
      <c r="H19" s="69"/>
      <c r="I19" s="69"/>
      <c r="J19" s="69"/>
      <c r="K19" s="69"/>
      <c r="BD19" s="1" t="s">
        <v>130</v>
      </c>
      <c r="BF19" s="1" t="s">
        <v>148</v>
      </c>
    </row>
    <row r="20" spans="2:60">
      <c r="B20" s="85" t="s">
        <v>251</v>
      </c>
      <c r="C20" s="69"/>
      <c r="D20" s="69"/>
      <c r="E20" s="69"/>
      <c r="F20" s="69"/>
      <c r="G20" s="69"/>
      <c r="H20" s="69"/>
      <c r="I20" s="69"/>
      <c r="J20" s="69"/>
      <c r="K20" s="69"/>
      <c r="BD20" s="1" t="s">
        <v>135</v>
      </c>
      <c r="BF20" s="1" t="s">
        <v>149</v>
      </c>
    </row>
    <row r="21" spans="2:60">
      <c r="B21" s="85" t="s">
        <v>108</v>
      </c>
      <c r="C21" s="69"/>
      <c r="D21" s="69"/>
      <c r="E21" s="69"/>
      <c r="F21" s="69"/>
      <c r="G21" s="69"/>
      <c r="H21" s="69"/>
      <c r="I21" s="69"/>
      <c r="J21" s="69"/>
      <c r="K21" s="69"/>
      <c r="BD21" s="1" t="s">
        <v>120</v>
      </c>
      <c r="BE21" s="1" t="s">
        <v>136</v>
      </c>
      <c r="BF21" s="1" t="s">
        <v>150</v>
      </c>
    </row>
    <row r="22" spans="2:60">
      <c r="B22" s="85" t="s">
        <v>234</v>
      </c>
      <c r="C22" s="69"/>
      <c r="D22" s="69"/>
      <c r="E22" s="69"/>
      <c r="F22" s="69"/>
      <c r="G22" s="69"/>
      <c r="H22" s="69"/>
      <c r="I22" s="69"/>
      <c r="J22" s="69"/>
      <c r="K22" s="69"/>
      <c r="BD22" s="1" t="s">
        <v>126</v>
      </c>
      <c r="BF22" s="1" t="s">
        <v>151</v>
      </c>
    </row>
    <row r="23" spans="2:60">
      <c r="B23" s="85" t="s">
        <v>242</v>
      </c>
      <c r="C23" s="69"/>
      <c r="D23" s="69"/>
      <c r="E23" s="69"/>
      <c r="F23" s="69"/>
      <c r="G23" s="69"/>
      <c r="H23" s="69"/>
      <c r="I23" s="69"/>
      <c r="J23" s="69"/>
      <c r="K23" s="69"/>
      <c r="BD23" s="1" t="s">
        <v>26</v>
      </c>
      <c r="BE23" s="1" t="s">
        <v>127</v>
      </c>
      <c r="BF23" s="1" t="s">
        <v>186</v>
      </c>
    </row>
    <row r="24" spans="2:60">
      <c r="B24" s="69"/>
      <c r="C24" s="69"/>
      <c r="D24" s="69"/>
      <c r="E24" s="69"/>
      <c r="F24" s="69"/>
      <c r="G24" s="69"/>
      <c r="H24" s="69"/>
      <c r="I24" s="69"/>
      <c r="J24" s="69"/>
      <c r="K24" s="69"/>
      <c r="BF24" s="1" t="s">
        <v>189</v>
      </c>
    </row>
    <row r="25" spans="2:60">
      <c r="B25" s="69"/>
      <c r="C25" s="69"/>
      <c r="D25" s="69"/>
      <c r="E25" s="69"/>
      <c r="F25" s="69"/>
      <c r="G25" s="69"/>
      <c r="H25" s="69"/>
      <c r="I25" s="69"/>
      <c r="J25" s="69"/>
      <c r="K25" s="69"/>
      <c r="BF25" s="1" t="s">
        <v>152</v>
      </c>
    </row>
    <row r="26" spans="2:60">
      <c r="B26" s="69"/>
      <c r="C26" s="69"/>
      <c r="D26" s="69"/>
      <c r="E26" s="69"/>
      <c r="F26" s="69"/>
      <c r="G26" s="69"/>
      <c r="H26" s="69"/>
      <c r="I26" s="69"/>
      <c r="J26" s="69"/>
      <c r="K26" s="69"/>
      <c r="BF26" s="1" t="s">
        <v>153</v>
      </c>
    </row>
    <row r="27" spans="2:60">
      <c r="B27" s="69"/>
      <c r="C27" s="69"/>
      <c r="D27" s="69"/>
      <c r="E27" s="69"/>
      <c r="F27" s="69"/>
      <c r="G27" s="69"/>
      <c r="H27" s="69"/>
      <c r="I27" s="69"/>
      <c r="J27" s="69"/>
      <c r="K27" s="69"/>
      <c r="BF27" s="1" t="s">
        <v>188</v>
      </c>
    </row>
    <row r="28" spans="2:60">
      <c r="B28" s="69"/>
      <c r="C28" s="69"/>
      <c r="D28" s="69"/>
      <c r="E28" s="69"/>
      <c r="F28" s="69"/>
      <c r="G28" s="69"/>
      <c r="H28" s="69"/>
      <c r="I28" s="69"/>
      <c r="J28" s="69"/>
      <c r="K28" s="69"/>
      <c r="BF28" s="1" t="s">
        <v>154</v>
      </c>
    </row>
    <row r="29" spans="2:60">
      <c r="B29" s="69"/>
      <c r="C29" s="69"/>
      <c r="D29" s="69"/>
      <c r="E29" s="69"/>
      <c r="F29" s="69"/>
      <c r="G29" s="69"/>
      <c r="H29" s="69"/>
      <c r="I29" s="69"/>
      <c r="J29" s="69"/>
      <c r="K29" s="69"/>
      <c r="BF29" s="1" t="s">
        <v>155</v>
      </c>
    </row>
    <row r="30" spans="2:60">
      <c r="B30" s="69"/>
      <c r="C30" s="69"/>
      <c r="D30" s="69"/>
      <c r="E30" s="69"/>
      <c r="F30" s="69"/>
      <c r="G30" s="69"/>
      <c r="H30" s="69"/>
      <c r="I30" s="69"/>
      <c r="J30" s="69"/>
      <c r="K30" s="69"/>
      <c r="BF30" s="1" t="s">
        <v>187</v>
      </c>
    </row>
    <row r="31" spans="2:60">
      <c r="B31" s="69"/>
      <c r="C31" s="69"/>
      <c r="D31" s="69"/>
      <c r="E31" s="69"/>
      <c r="F31" s="69"/>
      <c r="G31" s="69"/>
      <c r="H31" s="69"/>
      <c r="I31" s="69"/>
      <c r="J31" s="69"/>
      <c r="K31" s="69"/>
      <c r="BF31" s="1" t="s">
        <v>26</v>
      </c>
    </row>
    <row r="32" spans="2:60"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2:11"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2:11"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2:11"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2:11"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2:11"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2:11"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2:11"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2:11"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2:11"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2:11"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2:11"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2:11"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2:11"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2:11"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2:11"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2:11"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2:11"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2:11"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2:11"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2:11"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2:11"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2:11"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2:11"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2:11"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2:11"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2:11"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2:11"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2:11"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2:11"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2:11"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2:11"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2:11"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2:11"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2:11"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2:11"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2:11"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2:11"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2:11"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2:11"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2:11"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2:11"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2:11"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2:11"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2:11"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2:11"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2:11"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2:11"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2:11"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2:11"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2:11"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2:11"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2:11"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2:11"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2:11"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2:11"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2:11"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2:11"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2:11"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2:11"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2:11"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2:11"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2:11"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2:11"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2:11"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2:11"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2:11"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2:11"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  <row r="101" spans="2:11">
      <c r="B101" s="69"/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2:11">
      <c r="B102" s="69"/>
      <c r="C102" s="69"/>
      <c r="D102" s="69"/>
      <c r="E102" s="69"/>
      <c r="F102" s="69"/>
      <c r="G102" s="69"/>
      <c r="H102" s="69"/>
      <c r="I102" s="69"/>
      <c r="J102" s="69"/>
      <c r="K102" s="69"/>
    </row>
    <row r="103" spans="2:11">
      <c r="B103" s="69"/>
      <c r="C103" s="69"/>
      <c r="D103" s="69"/>
      <c r="E103" s="69"/>
      <c r="F103" s="69"/>
      <c r="G103" s="69"/>
      <c r="H103" s="69"/>
      <c r="I103" s="69"/>
      <c r="J103" s="69"/>
      <c r="K103" s="69"/>
    </row>
    <row r="104" spans="2:11">
      <c r="B104" s="69"/>
      <c r="C104" s="69"/>
      <c r="D104" s="69"/>
      <c r="E104" s="69"/>
      <c r="F104" s="69"/>
      <c r="G104" s="69"/>
      <c r="H104" s="69"/>
      <c r="I104" s="69"/>
      <c r="J104" s="69"/>
      <c r="K104" s="69"/>
    </row>
    <row r="105" spans="2:11">
      <c r="B105" s="69"/>
      <c r="C105" s="69"/>
      <c r="D105" s="69"/>
      <c r="E105" s="69"/>
      <c r="F105" s="69"/>
      <c r="G105" s="69"/>
      <c r="H105" s="69"/>
      <c r="I105" s="69"/>
      <c r="J105" s="69"/>
      <c r="K105" s="69"/>
    </row>
    <row r="106" spans="2:11">
      <c r="B106" s="69"/>
      <c r="C106" s="69"/>
      <c r="D106" s="69"/>
      <c r="E106" s="69"/>
      <c r="F106" s="69"/>
      <c r="G106" s="69"/>
      <c r="H106" s="69"/>
      <c r="I106" s="69"/>
      <c r="J106" s="69"/>
      <c r="K106" s="69"/>
    </row>
    <row r="107" spans="2:11">
      <c r="B107" s="69"/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2:11">
      <c r="B108" s="69"/>
      <c r="C108" s="69"/>
      <c r="D108" s="69"/>
      <c r="E108" s="69"/>
      <c r="F108" s="69"/>
      <c r="G108" s="69"/>
      <c r="H108" s="69"/>
      <c r="I108" s="69"/>
      <c r="J108" s="69"/>
      <c r="K108" s="69"/>
    </row>
    <row r="109" spans="2:11">
      <c r="B109" s="69"/>
      <c r="C109" s="69"/>
      <c r="D109" s="69"/>
      <c r="E109" s="69"/>
      <c r="F109" s="69"/>
      <c r="G109" s="69"/>
      <c r="H109" s="69"/>
      <c r="I109" s="69"/>
      <c r="J109" s="69"/>
      <c r="K109" s="69"/>
    </row>
    <row r="110" spans="2:11">
      <c r="B110" s="69"/>
      <c r="C110" s="69"/>
      <c r="D110" s="69"/>
      <c r="E110" s="69"/>
      <c r="F110" s="69"/>
      <c r="G110" s="69"/>
      <c r="H110" s="69"/>
      <c r="I110" s="69"/>
      <c r="J110" s="69"/>
      <c r="K110" s="69"/>
    </row>
    <row r="111" spans="2:11">
      <c r="B111" s="69"/>
      <c r="C111" s="69"/>
      <c r="D111" s="69"/>
      <c r="E111" s="69"/>
      <c r="F111" s="69"/>
      <c r="G111" s="69"/>
      <c r="H111" s="69"/>
      <c r="I111" s="69"/>
      <c r="J111" s="69"/>
      <c r="K111" s="69"/>
    </row>
    <row r="112" spans="2:11">
      <c r="B112" s="69"/>
      <c r="C112" s="69"/>
      <c r="D112" s="69"/>
      <c r="E112" s="69"/>
      <c r="F112" s="69"/>
      <c r="G112" s="69"/>
      <c r="H112" s="69"/>
      <c r="I112" s="69"/>
      <c r="J112" s="69"/>
      <c r="K112" s="69"/>
    </row>
    <row r="113" spans="2:11">
      <c r="B113" s="69"/>
      <c r="C113" s="69"/>
      <c r="D113" s="69"/>
      <c r="E113" s="69"/>
      <c r="F113" s="69"/>
      <c r="G113" s="69"/>
      <c r="H113" s="69"/>
      <c r="I113" s="69"/>
      <c r="J113" s="69"/>
      <c r="K113" s="69"/>
    </row>
    <row r="114" spans="2:11">
      <c r="B114" s="69"/>
      <c r="C114" s="69"/>
      <c r="D114" s="69"/>
      <c r="E114" s="69"/>
      <c r="F114" s="69"/>
      <c r="G114" s="69"/>
      <c r="H114" s="69"/>
      <c r="I114" s="69"/>
      <c r="J114" s="69"/>
      <c r="K114" s="69"/>
    </row>
    <row r="115" spans="2:11">
      <c r="B115" s="69"/>
      <c r="C115" s="69"/>
      <c r="D115" s="69"/>
      <c r="E115" s="69"/>
      <c r="F115" s="69"/>
      <c r="G115" s="69"/>
      <c r="H115" s="69"/>
      <c r="I115" s="69"/>
      <c r="J115" s="69"/>
      <c r="K115" s="69"/>
    </row>
    <row r="116" spans="2:11">
      <c r="B116" s="69"/>
      <c r="C116" s="69"/>
      <c r="D116" s="69"/>
      <c r="E116" s="69"/>
      <c r="F116" s="69"/>
      <c r="G116" s="69"/>
      <c r="H116" s="69"/>
      <c r="I116" s="69"/>
      <c r="J116" s="69"/>
      <c r="K116" s="69"/>
    </row>
    <row r="117" spans="2:11">
      <c r="C117" s="3"/>
      <c r="D117" s="3"/>
      <c r="E117" s="3"/>
      <c r="F117" s="3"/>
      <c r="G117" s="3"/>
      <c r="H117" s="3"/>
    </row>
    <row r="118" spans="2:11">
      <c r="C118" s="3"/>
      <c r="D118" s="3"/>
      <c r="E118" s="3"/>
      <c r="F118" s="3"/>
      <c r="G118" s="3"/>
      <c r="H118" s="3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>
      <selection activeCell="N11" sqref="N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47" t="s">
        <v>175</v>
      </c>
      <c r="C1" s="68" t="s" vm="1">
        <v>259</v>
      </c>
    </row>
    <row r="2" spans="2:81">
      <c r="B2" s="47" t="s">
        <v>174</v>
      </c>
      <c r="C2" s="68" t="s">
        <v>260</v>
      </c>
    </row>
    <row r="3" spans="2:81">
      <c r="B3" s="47" t="s">
        <v>176</v>
      </c>
      <c r="C3" s="68" t="s">
        <v>261</v>
      </c>
      <c r="E3" s="2"/>
    </row>
    <row r="4" spans="2:81">
      <c r="B4" s="47" t="s">
        <v>177</v>
      </c>
      <c r="C4" s="68">
        <v>2207</v>
      </c>
    </row>
    <row r="6" spans="2:81" ht="26.25" customHeight="1">
      <c r="B6" s="126" t="s">
        <v>205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8"/>
    </row>
    <row r="7" spans="2:81" ht="26.25" customHeight="1">
      <c r="B7" s="126" t="s">
        <v>93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8"/>
    </row>
    <row r="8" spans="2:81" s="3" customFormat="1" ht="47.25">
      <c r="B8" s="22" t="s">
        <v>112</v>
      </c>
      <c r="C8" s="30" t="s">
        <v>43</v>
      </c>
      <c r="D8" s="13" t="s">
        <v>49</v>
      </c>
      <c r="E8" s="30" t="s">
        <v>14</v>
      </c>
      <c r="F8" s="30" t="s">
        <v>64</v>
      </c>
      <c r="G8" s="30" t="s">
        <v>100</v>
      </c>
      <c r="H8" s="30" t="s">
        <v>17</v>
      </c>
      <c r="I8" s="30" t="s">
        <v>99</v>
      </c>
      <c r="J8" s="30" t="s">
        <v>16</v>
      </c>
      <c r="K8" s="30" t="s">
        <v>18</v>
      </c>
      <c r="L8" s="30" t="s">
        <v>236</v>
      </c>
      <c r="M8" s="30" t="s">
        <v>235</v>
      </c>
      <c r="N8" s="30" t="s">
        <v>60</v>
      </c>
      <c r="O8" s="30" t="s">
        <v>57</v>
      </c>
      <c r="P8" s="30" t="s">
        <v>178</v>
      </c>
      <c r="Q8" s="31" t="s">
        <v>180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5"/>
      <c r="C9" s="16"/>
      <c r="D9" s="16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243</v>
      </c>
      <c r="M9" s="32"/>
      <c r="N9" s="32" t="s">
        <v>239</v>
      </c>
      <c r="O9" s="32" t="s">
        <v>19</v>
      </c>
      <c r="P9" s="32" t="s">
        <v>19</v>
      </c>
      <c r="Q9" s="33" t="s">
        <v>19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109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109">
        <v>0</v>
      </c>
      <c r="O11" s="69"/>
      <c r="P11" s="69"/>
      <c r="Q11" s="69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85" t="s">
        <v>251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2:81">
      <c r="B13" s="85" t="s">
        <v>108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2:81">
      <c r="B14" s="85" t="s">
        <v>234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2:81">
      <c r="B15" s="85" t="s">
        <v>242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2:81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2:17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2:17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2:17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2:17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2:17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2:17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2:17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2:17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2:17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2:17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2:17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2:17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2:17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2:17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2:17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2:17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2:17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2:17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2:17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2:17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2:17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2:17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2:17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2:17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2:17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2:17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2:17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2:17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2:17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2:17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2:17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2:17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2:17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2:17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2:17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2:17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2:17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2:17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2:17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2:17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2:17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2:17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2:17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2:17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2:17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2:17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2:17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2:17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2:17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2:17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2:17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2:17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2:17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2:17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2:17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2:17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2:17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2:17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2:17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2:17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2:17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2:17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2:17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2:17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2:17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2:17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2:17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2:17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2:17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2:17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2:17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2:17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2:17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2:17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2:17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2:17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2:17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2:17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2:17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2:17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2:17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2:17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2:17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2:17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2:17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2:17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2:17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2:17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2:17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2:17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2:17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2:17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2:17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2:17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AH36:XFD39 D40:XFD1048576 D36:AF39 D1:M35 O1:XFD35 N1:N10 N12:N35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10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29.7109375" style="2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5.42578125" style="1" bestFit="1" customWidth="1"/>
    <col min="12" max="12" width="7.28515625" style="1" bestFit="1" customWidth="1"/>
    <col min="13" max="13" width="13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47" t="s">
        <v>175</v>
      </c>
      <c r="C1" s="68" t="s" vm="1">
        <v>259</v>
      </c>
    </row>
    <row r="2" spans="2:72">
      <c r="B2" s="47" t="s">
        <v>174</v>
      </c>
      <c r="C2" s="68" t="s">
        <v>260</v>
      </c>
    </row>
    <row r="3" spans="2:72">
      <c r="B3" s="47" t="s">
        <v>176</v>
      </c>
      <c r="C3" s="68" t="s">
        <v>261</v>
      </c>
    </row>
    <row r="4" spans="2:72">
      <c r="B4" s="47" t="s">
        <v>177</v>
      </c>
      <c r="C4" s="68">
        <v>2207</v>
      </c>
    </row>
    <row r="6" spans="2:72" ht="26.25" customHeight="1">
      <c r="B6" s="126" t="s">
        <v>206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8"/>
    </row>
    <row r="7" spans="2:72" ht="26.25" customHeight="1">
      <c r="B7" s="126" t="s">
        <v>85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2:72" s="3" customFormat="1" ht="78.75">
      <c r="B8" s="22" t="s">
        <v>112</v>
      </c>
      <c r="C8" s="30" t="s">
        <v>43</v>
      </c>
      <c r="D8" s="30" t="s">
        <v>14</v>
      </c>
      <c r="E8" s="30" t="s">
        <v>64</v>
      </c>
      <c r="F8" s="30" t="s">
        <v>100</v>
      </c>
      <c r="G8" s="30" t="s">
        <v>17</v>
      </c>
      <c r="H8" s="30" t="s">
        <v>99</v>
      </c>
      <c r="I8" s="30" t="s">
        <v>16</v>
      </c>
      <c r="J8" s="30" t="s">
        <v>18</v>
      </c>
      <c r="K8" s="30" t="s">
        <v>236</v>
      </c>
      <c r="L8" s="30" t="s">
        <v>235</v>
      </c>
      <c r="M8" s="30" t="s">
        <v>107</v>
      </c>
      <c r="N8" s="30" t="s">
        <v>57</v>
      </c>
      <c r="O8" s="30" t="s">
        <v>178</v>
      </c>
      <c r="P8" s="31" t="s">
        <v>180</v>
      </c>
    </row>
    <row r="9" spans="2:72" s="3" customFormat="1" ht="25.5" customHeight="1">
      <c r="B9" s="15"/>
      <c r="C9" s="32"/>
      <c r="D9" s="32"/>
      <c r="E9" s="32"/>
      <c r="F9" s="32" t="s">
        <v>21</v>
      </c>
      <c r="G9" s="32" t="s">
        <v>20</v>
      </c>
      <c r="H9" s="32"/>
      <c r="I9" s="32" t="s">
        <v>19</v>
      </c>
      <c r="J9" s="32" t="s">
        <v>19</v>
      </c>
      <c r="K9" s="32" t="s">
        <v>243</v>
      </c>
      <c r="L9" s="32"/>
      <c r="M9" s="32" t="s">
        <v>239</v>
      </c>
      <c r="N9" s="32" t="s">
        <v>19</v>
      </c>
      <c r="O9" s="32" t="s">
        <v>19</v>
      </c>
      <c r="P9" s="33" t="s">
        <v>19</v>
      </c>
    </row>
    <row r="10" spans="2:7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20" t="s">
        <v>13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87" t="s">
        <v>25</v>
      </c>
      <c r="C11" s="88"/>
      <c r="D11" s="88"/>
      <c r="E11" s="88"/>
      <c r="F11" s="88"/>
      <c r="G11" s="90">
        <v>6.8936134266003997</v>
      </c>
      <c r="H11" s="88"/>
      <c r="I11" s="88"/>
      <c r="J11" s="91">
        <v>4.851189174369714E-2</v>
      </c>
      <c r="K11" s="90"/>
      <c r="L11" s="92"/>
      <c r="M11" s="90">
        <v>2201401.4195600008</v>
      </c>
      <c r="N11" s="88"/>
      <c r="O11" s="93">
        <f>M11/$M$11</f>
        <v>1</v>
      </c>
      <c r="P11" s="93">
        <f>M11/'סכום נכסי הקרן'!$C$42</f>
        <v>0.60674540289371459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71" t="s">
        <v>229</v>
      </c>
      <c r="C12" s="72"/>
      <c r="D12" s="72"/>
      <c r="E12" s="72"/>
      <c r="F12" s="72"/>
      <c r="G12" s="80">
        <v>6.8936134266003997</v>
      </c>
      <c r="H12" s="72"/>
      <c r="I12" s="72"/>
      <c r="J12" s="94">
        <v>4.8511891743697147E-2</v>
      </c>
      <c r="K12" s="80"/>
      <c r="L12" s="82"/>
      <c r="M12" s="80">
        <v>2201401.4195600008</v>
      </c>
      <c r="N12" s="72"/>
      <c r="O12" s="81">
        <f t="shared" ref="O12:O75" si="0">M12/$M$11</f>
        <v>1</v>
      </c>
      <c r="P12" s="81">
        <f>M12/'סכום נכסי הקרן'!$C$42</f>
        <v>0.60674540289371459</v>
      </c>
    </row>
    <row r="13" spans="2:72">
      <c r="B13" s="89" t="s">
        <v>65</v>
      </c>
      <c r="C13" s="72"/>
      <c r="D13" s="72"/>
      <c r="E13" s="72"/>
      <c r="F13" s="72"/>
      <c r="G13" s="80">
        <v>6.8936134266003997</v>
      </c>
      <c r="H13" s="72"/>
      <c r="I13" s="72"/>
      <c r="J13" s="94">
        <v>4.8511891743697147E-2</v>
      </c>
      <c r="K13" s="80"/>
      <c r="L13" s="82"/>
      <c r="M13" s="80">
        <v>2201401.4195600008</v>
      </c>
      <c r="N13" s="72"/>
      <c r="O13" s="81">
        <f t="shared" si="0"/>
        <v>1</v>
      </c>
      <c r="P13" s="81">
        <f>M13/'סכום נכסי הקרן'!$C$42</f>
        <v>0.60674540289371459</v>
      </c>
    </row>
    <row r="14" spans="2:72">
      <c r="B14" s="76" t="s">
        <v>1621</v>
      </c>
      <c r="C14" s="70" t="s">
        <v>1622</v>
      </c>
      <c r="D14" s="70" t="s">
        <v>264</v>
      </c>
      <c r="E14" s="70"/>
      <c r="F14" s="97">
        <v>38718</v>
      </c>
      <c r="G14" s="77">
        <v>0.5</v>
      </c>
      <c r="H14" s="83" t="s">
        <v>160</v>
      </c>
      <c r="I14" s="84">
        <v>4.8000000000000001E-2</v>
      </c>
      <c r="J14" s="84">
        <v>4.7800000000000009E-2</v>
      </c>
      <c r="K14" s="77">
        <v>84116</v>
      </c>
      <c r="L14" s="79">
        <v>123.2247</v>
      </c>
      <c r="M14" s="77">
        <v>103.65067000000001</v>
      </c>
      <c r="N14" s="70"/>
      <c r="O14" s="78">
        <f t="shared" si="0"/>
        <v>4.7083948015585863E-5</v>
      </c>
      <c r="P14" s="78">
        <f>M14/'סכום נכסי הקרן'!$C$42</f>
        <v>2.8567969008543357E-5</v>
      </c>
    </row>
    <row r="15" spans="2:72">
      <c r="B15" s="76" t="s">
        <v>1623</v>
      </c>
      <c r="C15" s="70" t="s">
        <v>1624</v>
      </c>
      <c r="D15" s="70" t="s">
        <v>264</v>
      </c>
      <c r="E15" s="70"/>
      <c r="F15" s="97">
        <v>39203</v>
      </c>
      <c r="G15" s="77">
        <v>1.7699999999999998</v>
      </c>
      <c r="H15" s="83" t="s">
        <v>160</v>
      </c>
      <c r="I15" s="84">
        <v>4.8000000000000001E-2</v>
      </c>
      <c r="J15" s="84">
        <v>4.8499999999999995E-2</v>
      </c>
      <c r="K15" s="77">
        <v>7430124</v>
      </c>
      <c r="L15" s="79">
        <v>121.9289</v>
      </c>
      <c r="M15" s="77">
        <v>9059.6435700000002</v>
      </c>
      <c r="N15" s="70"/>
      <c r="O15" s="78">
        <f t="shared" si="0"/>
        <v>4.1153982592646698E-3</v>
      </c>
      <c r="P15" s="78">
        <f>M15/'סכום נכסי הקרן'!$C$42</f>
        <v>2.4969989748856339E-3</v>
      </c>
    </row>
    <row r="16" spans="2:72">
      <c r="B16" s="76" t="s">
        <v>1625</v>
      </c>
      <c r="C16" s="70" t="s">
        <v>1626</v>
      </c>
      <c r="D16" s="70" t="s">
        <v>264</v>
      </c>
      <c r="E16" s="70"/>
      <c r="F16" s="97">
        <v>39295</v>
      </c>
      <c r="G16" s="77">
        <v>1.97</v>
      </c>
      <c r="H16" s="83" t="s">
        <v>160</v>
      </c>
      <c r="I16" s="84">
        <v>4.8000000000000001E-2</v>
      </c>
      <c r="J16" s="84">
        <v>4.8499999999999995E-2</v>
      </c>
      <c r="K16" s="77">
        <v>6727677</v>
      </c>
      <c r="L16" s="79">
        <v>121.90600000000001</v>
      </c>
      <c r="M16" s="77">
        <v>8201.62291</v>
      </c>
      <c r="N16" s="70"/>
      <c r="O16" s="78">
        <f t="shared" si="0"/>
        <v>3.7256371496477356E-3</v>
      </c>
      <c r="P16" s="78">
        <f>M16/'סכום נכסי הקרן'!$C$42</f>
        <v>2.2605132133988056E-3</v>
      </c>
    </row>
    <row r="17" spans="2:16">
      <c r="B17" s="76" t="s">
        <v>1627</v>
      </c>
      <c r="C17" s="70" t="s">
        <v>1628</v>
      </c>
      <c r="D17" s="70" t="s">
        <v>264</v>
      </c>
      <c r="E17" s="70"/>
      <c r="F17" s="97">
        <v>39873</v>
      </c>
      <c r="G17" s="77">
        <v>3.3600000000000003</v>
      </c>
      <c r="H17" s="83" t="s">
        <v>160</v>
      </c>
      <c r="I17" s="84">
        <v>4.8000000000000001E-2</v>
      </c>
      <c r="J17" s="84">
        <v>4.8500000000000008E-2</v>
      </c>
      <c r="K17" s="77">
        <v>2931318</v>
      </c>
      <c r="L17" s="79">
        <v>114.8432</v>
      </c>
      <c r="M17" s="77">
        <v>3366.6681100000001</v>
      </c>
      <c r="N17" s="70"/>
      <c r="O17" s="78">
        <f t="shared" si="0"/>
        <v>1.5293294898814519E-3</v>
      </c>
      <c r="P17" s="78">
        <f>M17/'סכום נכסי הקרן'!$C$42</f>
        <v>9.2791363749536058E-4</v>
      </c>
    </row>
    <row r="18" spans="2:16">
      <c r="B18" s="76" t="s">
        <v>1629</v>
      </c>
      <c r="C18" s="70" t="s">
        <v>1630</v>
      </c>
      <c r="D18" s="70" t="s">
        <v>264</v>
      </c>
      <c r="E18" s="70"/>
      <c r="F18" s="97">
        <v>39448</v>
      </c>
      <c r="G18" s="77">
        <v>2.34</v>
      </c>
      <c r="H18" s="83" t="s">
        <v>160</v>
      </c>
      <c r="I18" s="84">
        <v>4.8000000000000001E-2</v>
      </c>
      <c r="J18" s="84">
        <v>4.8399999999999999E-2</v>
      </c>
      <c r="K18" s="77">
        <v>2727906</v>
      </c>
      <c r="L18" s="79">
        <v>120.22629999999999</v>
      </c>
      <c r="M18" s="77">
        <v>3279.85268</v>
      </c>
      <c r="N18" s="70"/>
      <c r="O18" s="78">
        <f t="shared" si="0"/>
        <v>1.4898930521520023E-3</v>
      </c>
      <c r="P18" s="78">
        <f>M18/'סכום נכסי הקרן'!$C$42</f>
        <v>9.0398576019651267E-4</v>
      </c>
    </row>
    <row r="19" spans="2:16">
      <c r="B19" s="76" t="s">
        <v>1631</v>
      </c>
      <c r="C19" s="70" t="s">
        <v>1632</v>
      </c>
      <c r="D19" s="70" t="s">
        <v>264</v>
      </c>
      <c r="E19" s="70"/>
      <c r="F19" s="97">
        <v>40148</v>
      </c>
      <c r="G19" s="77">
        <v>4.03</v>
      </c>
      <c r="H19" s="83" t="s">
        <v>160</v>
      </c>
      <c r="I19" s="84">
        <v>4.8000000000000001E-2</v>
      </c>
      <c r="J19" s="84">
        <v>4.8499999999999995E-2</v>
      </c>
      <c r="K19" s="77">
        <v>4008000</v>
      </c>
      <c r="L19" s="79">
        <v>108.9432</v>
      </c>
      <c r="M19" s="77">
        <v>4366.1491299999998</v>
      </c>
      <c r="N19" s="70"/>
      <c r="O19" s="78">
        <f t="shared" si="0"/>
        <v>1.9833498294339579E-3</v>
      </c>
      <c r="P19" s="78">
        <f>M19/'סכום נכסי הקרן'!$C$42</f>
        <v>1.2033883913390867E-3</v>
      </c>
    </row>
    <row r="20" spans="2:16">
      <c r="B20" s="76" t="s">
        <v>1633</v>
      </c>
      <c r="C20" s="70" t="s">
        <v>1634</v>
      </c>
      <c r="D20" s="70" t="s">
        <v>264</v>
      </c>
      <c r="E20" s="70"/>
      <c r="F20" s="97">
        <v>40269</v>
      </c>
      <c r="G20" s="77">
        <v>4.26</v>
      </c>
      <c r="H20" s="83" t="s">
        <v>160</v>
      </c>
      <c r="I20" s="84">
        <v>4.8000000000000001E-2</v>
      </c>
      <c r="J20" s="84">
        <v>4.8499999999999995E-2</v>
      </c>
      <c r="K20" s="77">
        <v>27130000</v>
      </c>
      <c r="L20" s="79">
        <v>110.54340000000001</v>
      </c>
      <c r="M20" s="77">
        <v>29991.036510000002</v>
      </c>
      <c r="N20" s="70"/>
      <c r="O20" s="78">
        <f t="shared" si="0"/>
        <v>1.3623610961418559E-2</v>
      </c>
      <c r="P20" s="78">
        <f>M20/'סכום נכסי הקרן'!$C$42</f>
        <v>8.2660633216531301E-3</v>
      </c>
    </row>
    <row r="21" spans="2:16">
      <c r="B21" s="76" t="s">
        <v>1635</v>
      </c>
      <c r="C21" s="70" t="s">
        <v>1636</v>
      </c>
      <c r="D21" s="70" t="s">
        <v>264</v>
      </c>
      <c r="E21" s="70"/>
      <c r="F21" s="97">
        <v>40391</v>
      </c>
      <c r="G21" s="77">
        <v>4.49</v>
      </c>
      <c r="H21" s="83" t="s">
        <v>160</v>
      </c>
      <c r="I21" s="84">
        <v>4.8000000000000001E-2</v>
      </c>
      <c r="J21" s="84">
        <v>4.8499999999999995E-2</v>
      </c>
      <c r="K21" s="77">
        <v>6327000</v>
      </c>
      <c r="L21" s="79">
        <v>109.6347</v>
      </c>
      <c r="M21" s="77">
        <v>6936.4513299999999</v>
      </c>
      <c r="N21" s="70"/>
      <c r="O21" s="78">
        <f t="shared" si="0"/>
        <v>3.1509252553250395E-3</v>
      </c>
      <c r="P21" s="78">
        <f>M21/'סכום נכסי הקרן'!$C$42</f>
        <v>1.9118094135301717E-3</v>
      </c>
    </row>
    <row r="22" spans="2:16">
      <c r="B22" s="76" t="s">
        <v>1637</v>
      </c>
      <c r="C22" s="70" t="s">
        <v>1638</v>
      </c>
      <c r="D22" s="70" t="s">
        <v>264</v>
      </c>
      <c r="E22" s="70"/>
      <c r="F22" s="97">
        <v>40452</v>
      </c>
      <c r="G22" s="77">
        <v>4.66</v>
      </c>
      <c r="H22" s="83" t="s">
        <v>160</v>
      </c>
      <c r="I22" s="84">
        <v>4.8000000000000001E-2</v>
      </c>
      <c r="J22" s="84">
        <v>4.8599999999999997E-2</v>
      </c>
      <c r="K22" s="77">
        <v>6348000</v>
      </c>
      <c r="L22" s="79">
        <v>107.7252</v>
      </c>
      <c r="M22" s="77">
        <v>6838.6088</v>
      </c>
      <c r="N22" s="70"/>
      <c r="O22" s="78">
        <f t="shared" si="0"/>
        <v>3.1064796902724122E-3</v>
      </c>
      <c r="P22" s="78">
        <f>M22/'סכום נכסי הקרן'!$C$42</f>
        <v>1.8848422712554765E-3</v>
      </c>
    </row>
    <row r="23" spans="2:16">
      <c r="B23" s="76" t="s">
        <v>1639</v>
      </c>
      <c r="C23" s="70" t="s">
        <v>1640</v>
      </c>
      <c r="D23" s="70" t="s">
        <v>264</v>
      </c>
      <c r="E23" s="70"/>
      <c r="F23" s="97">
        <v>40909</v>
      </c>
      <c r="G23" s="77">
        <v>5.54</v>
      </c>
      <c r="H23" s="83" t="s">
        <v>160</v>
      </c>
      <c r="I23" s="84">
        <v>4.8000000000000001E-2</v>
      </c>
      <c r="J23" s="84">
        <v>4.8500000000000008E-2</v>
      </c>
      <c r="K23" s="77">
        <v>44209000</v>
      </c>
      <c r="L23" s="79">
        <v>105.64</v>
      </c>
      <c r="M23" s="77">
        <v>46700.778330000001</v>
      </c>
      <c r="N23" s="70"/>
      <c r="O23" s="78">
        <f t="shared" si="0"/>
        <v>2.1214112935083958E-2</v>
      </c>
      <c r="P23" s="78">
        <f>M23/'סכום נכסי הקרן'!$C$42</f>
        <v>1.2871565499830278E-2</v>
      </c>
    </row>
    <row r="24" spans="2:16">
      <c r="B24" s="76" t="s">
        <v>1641</v>
      </c>
      <c r="C24" s="70">
        <v>8793</v>
      </c>
      <c r="D24" s="70" t="s">
        <v>264</v>
      </c>
      <c r="E24" s="70"/>
      <c r="F24" s="97">
        <v>41122</v>
      </c>
      <c r="G24" s="77">
        <v>5.98</v>
      </c>
      <c r="H24" s="83" t="s">
        <v>160</v>
      </c>
      <c r="I24" s="84">
        <v>4.8000000000000001E-2</v>
      </c>
      <c r="J24" s="84">
        <v>4.8500000000000008E-2</v>
      </c>
      <c r="K24" s="77">
        <v>19359000</v>
      </c>
      <c r="L24" s="79">
        <v>104.2137</v>
      </c>
      <c r="M24" s="77">
        <v>20174.722550000002</v>
      </c>
      <c r="N24" s="70"/>
      <c r="O24" s="78">
        <f t="shared" si="0"/>
        <v>9.164490569844537E-3</v>
      </c>
      <c r="P24" s="78">
        <f>M24/'סכום נכסי הקרן'!$C$42</f>
        <v>5.5605125231159708E-3</v>
      </c>
    </row>
    <row r="25" spans="2:16">
      <c r="B25" s="76" t="s">
        <v>1642</v>
      </c>
      <c r="C25" s="70" t="s">
        <v>1643</v>
      </c>
      <c r="D25" s="70" t="s">
        <v>264</v>
      </c>
      <c r="E25" s="70"/>
      <c r="F25" s="97">
        <v>41154</v>
      </c>
      <c r="G25" s="77">
        <v>6.0600000000000005</v>
      </c>
      <c r="H25" s="83" t="s">
        <v>160</v>
      </c>
      <c r="I25" s="84">
        <v>4.8000000000000001E-2</v>
      </c>
      <c r="J25" s="84">
        <v>4.8499999999999995E-2</v>
      </c>
      <c r="K25" s="77">
        <v>5375000</v>
      </c>
      <c r="L25" s="79">
        <v>103.6961</v>
      </c>
      <c r="M25" s="77">
        <v>5573.6662500000002</v>
      </c>
      <c r="N25" s="70"/>
      <c r="O25" s="78">
        <f t="shared" si="0"/>
        <v>2.5318718342218667E-3</v>
      </c>
      <c r="P25" s="78">
        <f>M25/'סכום נכסי הקרן'!$C$42</f>
        <v>1.5362015961301945E-3</v>
      </c>
    </row>
    <row r="26" spans="2:16">
      <c r="B26" s="76" t="s">
        <v>1644</v>
      </c>
      <c r="C26" s="70" t="s">
        <v>1645</v>
      </c>
      <c r="D26" s="70" t="s">
        <v>264</v>
      </c>
      <c r="E26" s="70"/>
      <c r="F26" s="97">
        <v>41184</v>
      </c>
      <c r="G26" s="77">
        <v>6.14</v>
      </c>
      <c r="H26" s="83" t="s">
        <v>160</v>
      </c>
      <c r="I26" s="84">
        <v>4.8000000000000001E-2</v>
      </c>
      <c r="J26" s="84">
        <v>4.8599999999999997E-2</v>
      </c>
      <c r="K26" s="77">
        <v>7085000</v>
      </c>
      <c r="L26" s="79">
        <v>102.20959999999999</v>
      </c>
      <c r="M26" s="77">
        <v>7241.5374800000009</v>
      </c>
      <c r="N26" s="70"/>
      <c r="O26" s="78">
        <f t="shared" si="0"/>
        <v>3.2895124967473599E-3</v>
      </c>
      <c r="P26" s="78">
        <f>M26/'סכום נכסי הקרן'!$C$42</f>
        <v>1.9958965851628861E-3</v>
      </c>
    </row>
    <row r="27" spans="2:16">
      <c r="B27" s="76" t="s">
        <v>1646</v>
      </c>
      <c r="C27" s="70" t="s">
        <v>1647</v>
      </c>
      <c r="D27" s="70" t="s">
        <v>264</v>
      </c>
      <c r="E27" s="70"/>
      <c r="F27" s="97">
        <v>41245</v>
      </c>
      <c r="G27" s="77">
        <v>6.31</v>
      </c>
      <c r="H27" s="83" t="s">
        <v>160</v>
      </c>
      <c r="I27" s="84">
        <v>4.8000000000000001E-2</v>
      </c>
      <c r="J27" s="84">
        <v>4.8500000000000008E-2</v>
      </c>
      <c r="K27" s="77">
        <v>2909000</v>
      </c>
      <c r="L27" s="79">
        <v>101.59869999999999</v>
      </c>
      <c r="M27" s="77">
        <v>2955.50567</v>
      </c>
      <c r="N27" s="70"/>
      <c r="O27" s="78">
        <f t="shared" si="0"/>
        <v>1.3425564477880295E-3</v>
      </c>
      <c r="P27" s="78">
        <f>M27/'סכום נכסי הקרן'!$C$42</f>
        <v>8.1458995282070222E-4</v>
      </c>
    </row>
    <row r="28" spans="2:16">
      <c r="B28" s="76" t="s">
        <v>1648</v>
      </c>
      <c r="C28" s="70" t="s">
        <v>1649</v>
      </c>
      <c r="D28" s="70" t="s">
        <v>264</v>
      </c>
      <c r="E28" s="70"/>
      <c r="F28" s="97">
        <v>41275</v>
      </c>
      <c r="G28" s="77">
        <v>6.25</v>
      </c>
      <c r="H28" s="83" t="s">
        <v>160</v>
      </c>
      <c r="I28" s="84">
        <v>4.8000000000000001E-2</v>
      </c>
      <c r="J28" s="84">
        <v>4.8500000000000008E-2</v>
      </c>
      <c r="K28" s="77">
        <v>10748000</v>
      </c>
      <c r="L28" s="79">
        <v>104.12520000000001</v>
      </c>
      <c r="M28" s="77">
        <v>11191.432470000002</v>
      </c>
      <c r="N28" s="70"/>
      <c r="O28" s="78">
        <f t="shared" si="0"/>
        <v>5.0837763483576109E-3</v>
      </c>
      <c r="P28" s="78">
        <f>M28/'סכום נכסי הקרן'!$C$42</f>
        <v>3.0845579287057758E-3</v>
      </c>
    </row>
    <row r="29" spans="2:16">
      <c r="B29" s="76" t="s">
        <v>1650</v>
      </c>
      <c r="C29" s="70" t="s">
        <v>1651</v>
      </c>
      <c r="D29" s="70" t="s">
        <v>264</v>
      </c>
      <c r="E29" s="70"/>
      <c r="F29" s="97">
        <v>41306</v>
      </c>
      <c r="G29" s="77">
        <v>6.33</v>
      </c>
      <c r="H29" s="83" t="s">
        <v>160</v>
      </c>
      <c r="I29" s="84">
        <v>4.8000000000000001E-2</v>
      </c>
      <c r="J29" s="84">
        <v>4.8500000000000008E-2</v>
      </c>
      <c r="K29" s="77">
        <v>6369000</v>
      </c>
      <c r="L29" s="79">
        <v>103.51900000000001</v>
      </c>
      <c r="M29" s="77">
        <v>6593.3165199999994</v>
      </c>
      <c r="N29" s="70"/>
      <c r="O29" s="78">
        <f t="shared" si="0"/>
        <v>2.9950541784050547E-3</v>
      </c>
      <c r="P29" s="78">
        <f>M29/'סכום נכסי הקרן'!$C$42</f>
        <v>1.8172353541648784E-3</v>
      </c>
    </row>
    <row r="30" spans="2:16">
      <c r="B30" s="76" t="s">
        <v>1652</v>
      </c>
      <c r="C30" s="70" t="s">
        <v>1653</v>
      </c>
      <c r="D30" s="70" t="s">
        <v>264</v>
      </c>
      <c r="E30" s="70"/>
      <c r="F30" s="97">
        <v>41334</v>
      </c>
      <c r="G30" s="77">
        <v>6.410000000000001</v>
      </c>
      <c r="H30" s="83" t="s">
        <v>160</v>
      </c>
      <c r="I30" s="84">
        <v>4.8000000000000001E-2</v>
      </c>
      <c r="J30" s="84">
        <v>4.8499999999999995E-2</v>
      </c>
      <c r="K30" s="77">
        <v>8061000</v>
      </c>
      <c r="L30" s="79">
        <v>103.2906</v>
      </c>
      <c r="M30" s="77">
        <v>8326.2566600000009</v>
      </c>
      <c r="N30" s="70"/>
      <c r="O30" s="78">
        <f t="shared" si="0"/>
        <v>3.7822527895272225E-3</v>
      </c>
      <c r="P30" s="78">
        <f>M30/'סכום נכסי הקרן'!$C$42</f>
        <v>2.2948644926275704E-3</v>
      </c>
    </row>
    <row r="31" spans="2:16">
      <c r="B31" s="76" t="s">
        <v>1654</v>
      </c>
      <c r="C31" s="70" t="s">
        <v>1655</v>
      </c>
      <c r="D31" s="70" t="s">
        <v>264</v>
      </c>
      <c r="E31" s="70"/>
      <c r="F31" s="97">
        <v>41366</v>
      </c>
      <c r="G31" s="77">
        <v>6.4899999999999993</v>
      </c>
      <c r="H31" s="83" t="s">
        <v>160</v>
      </c>
      <c r="I31" s="84">
        <v>4.8000000000000001E-2</v>
      </c>
      <c r="J31" s="84">
        <v>4.8499999999999995E-2</v>
      </c>
      <c r="K31" s="77">
        <v>2348000</v>
      </c>
      <c r="L31" s="79">
        <v>102.8736</v>
      </c>
      <c r="M31" s="77">
        <v>2415.5284900000001</v>
      </c>
      <c r="N31" s="70"/>
      <c r="O31" s="78">
        <f t="shared" si="0"/>
        <v>1.0972685256479926E-3</v>
      </c>
      <c r="P31" s="78">
        <f>M31/'סכום נכסי הקרן'!$C$42</f>
        <v>6.6576263367688351E-4</v>
      </c>
    </row>
    <row r="32" spans="2:16">
      <c r="B32" s="76" t="s">
        <v>1656</v>
      </c>
      <c r="C32" s="70">
        <v>2704</v>
      </c>
      <c r="D32" s="70" t="s">
        <v>264</v>
      </c>
      <c r="E32" s="70"/>
      <c r="F32" s="97">
        <v>41395</v>
      </c>
      <c r="G32" s="77">
        <v>6.58</v>
      </c>
      <c r="H32" s="83" t="s">
        <v>160</v>
      </c>
      <c r="I32" s="84">
        <v>4.8000000000000001E-2</v>
      </c>
      <c r="J32" s="84">
        <v>4.8499999999999995E-2</v>
      </c>
      <c r="K32" s="77">
        <v>2895000</v>
      </c>
      <c r="L32" s="79">
        <v>102.2728</v>
      </c>
      <c r="M32" s="77">
        <v>2960.7976800000001</v>
      </c>
      <c r="N32" s="70"/>
      <c r="O32" s="78">
        <f t="shared" si="0"/>
        <v>1.3449603755555776E-3</v>
      </c>
      <c r="P32" s="78">
        <f>M32/'סכום נכסי הקרן'!$C$42</f>
        <v>8.1604852494255057E-4</v>
      </c>
    </row>
    <row r="33" spans="2:16">
      <c r="B33" s="76" t="s">
        <v>1657</v>
      </c>
      <c r="C33" s="70" t="s">
        <v>1658</v>
      </c>
      <c r="D33" s="70" t="s">
        <v>264</v>
      </c>
      <c r="E33" s="70"/>
      <c r="F33" s="97">
        <v>41427</v>
      </c>
      <c r="G33" s="77">
        <v>6.660000000000001</v>
      </c>
      <c r="H33" s="83" t="s">
        <v>160</v>
      </c>
      <c r="I33" s="84">
        <v>4.8000000000000001E-2</v>
      </c>
      <c r="J33" s="84">
        <v>4.8500000000000008E-2</v>
      </c>
      <c r="K33" s="77">
        <v>3293000</v>
      </c>
      <c r="L33" s="79">
        <v>101.4572</v>
      </c>
      <c r="M33" s="77">
        <v>3340.99136</v>
      </c>
      <c r="N33" s="70"/>
      <c r="O33" s="78">
        <f t="shared" si="0"/>
        <v>1.5176656698385211E-3</v>
      </c>
      <c r="P33" s="78">
        <f>M33/'סכום נכסי הקרן'!$C$42</f>
        <v>9.208366683041327E-4</v>
      </c>
    </row>
    <row r="34" spans="2:16">
      <c r="B34" s="76" t="s">
        <v>1659</v>
      </c>
      <c r="C34" s="70">
        <v>8805</v>
      </c>
      <c r="D34" s="70" t="s">
        <v>264</v>
      </c>
      <c r="E34" s="70"/>
      <c r="F34" s="97">
        <v>41487</v>
      </c>
      <c r="G34" s="77">
        <v>6.6700000000000008</v>
      </c>
      <c r="H34" s="83" t="s">
        <v>160</v>
      </c>
      <c r="I34" s="84">
        <v>4.8000000000000001E-2</v>
      </c>
      <c r="J34" s="84">
        <v>4.8500000000000008E-2</v>
      </c>
      <c r="K34" s="77">
        <v>4833000</v>
      </c>
      <c r="L34" s="79">
        <v>102.1712</v>
      </c>
      <c r="M34" s="77">
        <v>4938.0887699999994</v>
      </c>
      <c r="N34" s="70"/>
      <c r="O34" s="78">
        <f t="shared" si="0"/>
        <v>2.2431568936604877E-3</v>
      </c>
      <c r="P34" s="78">
        <f>M34/'סכום נכסי הקרן'!$C$42</f>
        <v>1.3610251331978458E-3</v>
      </c>
    </row>
    <row r="35" spans="2:16">
      <c r="B35" s="76" t="s">
        <v>1660</v>
      </c>
      <c r="C35" s="70">
        <v>8806</v>
      </c>
      <c r="D35" s="70" t="s">
        <v>264</v>
      </c>
      <c r="E35" s="70"/>
      <c r="F35" s="97">
        <v>41518</v>
      </c>
      <c r="G35" s="77">
        <v>6.75</v>
      </c>
      <c r="H35" s="83" t="s">
        <v>160</v>
      </c>
      <c r="I35" s="84">
        <v>4.8000000000000001E-2</v>
      </c>
      <c r="J35" s="84">
        <v>4.8499999999999995E-2</v>
      </c>
      <c r="K35" s="77">
        <v>3757000</v>
      </c>
      <c r="L35" s="79">
        <v>101.584</v>
      </c>
      <c r="M35" s="77">
        <v>3816.3726799999999</v>
      </c>
      <c r="N35" s="70"/>
      <c r="O35" s="78">
        <f t="shared" si="0"/>
        <v>1.733610529224964E-3</v>
      </c>
      <c r="P35" s="78">
        <f>M35/'סכום נכסי הקרן'!$C$42</f>
        <v>1.0518602190153865E-3</v>
      </c>
    </row>
    <row r="36" spans="2:16">
      <c r="B36" s="76" t="s">
        <v>1661</v>
      </c>
      <c r="C36" s="70" t="s">
        <v>1662</v>
      </c>
      <c r="D36" s="70" t="s">
        <v>264</v>
      </c>
      <c r="E36" s="70"/>
      <c r="F36" s="97">
        <v>41548</v>
      </c>
      <c r="G36" s="77">
        <v>6.84</v>
      </c>
      <c r="H36" s="83" t="s">
        <v>160</v>
      </c>
      <c r="I36" s="84">
        <v>4.8000000000000001E-2</v>
      </c>
      <c r="J36" s="84">
        <v>4.8599999999999997E-2</v>
      </c>
      <c r="K36" s="77">
        <v>30876000</v>
      </c>
      <c r="L36" s="79">
        <v>101.17740000000001</v>
      </c>
      <c r="M36" s="77">
        <v>31236.393530000001</v>
      </c>
      <c r="N36" s="70"/>
      <c r="O36" s="78">
        <f t="shared" si="0"/>
        <v>1.4189321971202913E-2</v>
      </c>
      <c r="P36" s="78">
        <f>M36/'סכום נכסי הקרן'!$C$42</f>
        <v>8.6093058762061487E-3</v>
      </c>
    </row>
    <row r="37" spans="2:16">
      <c r="B37" s="76" t="s">
        <v>1663</v>
      </c>
      <c r="C37" s="70" t="s">
        <v>1664</v>
      </c>
      <c r="D37" s="70" t="s">
        <v>264</v>
      </c>
      <c r="E37" s="70"/>
      <c r="F37" s="97">
        <v>41609</v>
      </c>
      <c r="G37" s="77">
        <v>6.9999999999999991</v>
      </c>
      <c r="H37" s="83" t="s">
        <v>160</v>
      </c>
      <c r="I37" s="84">
        <v>4.8000000000000001E-2</v>
      </c>
      <c r="J37" s="84">
        <v>4.8499999999999995E-2</v>
      </c>
      <c r="K37" s="77">
        <v>24633000</v>
      </c>
      <c r="L37" s="79">
        <v>100.3827</v>
      </c>
      <c r="M37" s="77">
        <v>24726.751640000002</v>
      </c>
      <c r="N37" s="70"/>
      <c r="O37" s="78">
        <f t="shared" si="0"/>
        <v>1.123227750300179E-2</v>
      </c>
      <c r="P37" s="78">
        <f>M37/'סכום נכסי הקרן'!$C$42</f>
        <v>6.815132738972828E-3</v>
      </c>
    </row>
    <row r="38" spans="2:16">
      <c r="B38" s="76" t="s">
        <v>1665</v>
      </c>
      <c r="C38" s="70" t="s">
        <v>1666</v>
      </c>
      <c r="D38" s="70" t="s">
        <v>264</v>
      </c>
      <c r="E38" s="70"/>
      <c r="F38" s="97">
        <v>41672</v>
      </c>
      <c r="G38" s="77">
        <v>7.01</v>
      </c>
      <c r="H38" s="83" t="s">
        <v>160</v>
      </c>
      <c r="I38" s="84">
        <v>4.8000000000000001E-2</v>
      </c>
      <c r="J38" s="84">
        <v>4.8499999999999995E-2</v>
      </c>
      <c r="K38" s="77">
        <v>2888000</v>
      </c>
      <c r="L38" s="79">
        <v>101.979</v>
      </c>
      <c r="M38" s="77">
        <v>2945.1166899999998</v>
      </c>
      <c r="N38" s="70"/>
      <c r="O38" s="78">
        <f t="shared" si="0"/>
        <v>1.3378371903606055E-3</v>
      </c>
      <c r="P38" s="78">
        <f>M38/'סכום נכסי הקרן'!$C$42</f>
        <v>8.1172656507154069E-4</v>
      </c>
    </row>
    <row r="39" spans="2:16">
      <c r="B39" s="76" t="s">
        <v>1667</v>
      </c>
      <c r="C39" s="70" t="s">
        <v>1668</v>
      </c>
      <c r="D39" s="70" t="s">
        <v>264</v>
      </c>
      <c r="E39" s="70"/>
      <c r="F39" s="97">
        <v>41700</v>
      </c>
      <c r="G39" s="77">
        <v>7.0799999999999992</v>
      </c>
      <c r="H39" s="83" t="s">
        <v>160</v>
      </c>
      <c r="I39" s="84">
        <v>4.8000000000000001E-2</v>
      </c>
      <c r="J39" s="84">
        <v>4.8499999999999995E-2</v>
      </c>
      <c r="K39" s="77">
        <v>4206000</v>
      </c>
      <c r="L39" s="79">
        <v>101.86369999999999</v>
      </c>
      <c r="M39" s="77">
        <v>4284.5084400000005</v>
      </c>
      <c r="N39" s="70"/>
      <c r="O39" s="78">
        <f t="shared" si="0"/>
        <v>1.946264048860455E-3</v>
      </c>
      <c r="P39" s="78">
        <f>M39/'סכום נכסי הקרן'!$C$42</f>
        <v>1.180886764463389E-3</v>
      </c>
    </row>
    <row r="40" spans="2:16">
      <c r="B40" s="76" t="s">
        <v>1669</v>
      </c>
      <c r="C40" s="70" t="s">
        <v>1670</v>
      </c>
      <c r="D40" s="70" t="s">
        <v>264</v>
      </c>
      <c r="E40" s="70"/>
      <c r="F40" s="97">
        <v>41730</v>
      </c>
      <c r="G40" s="77">
        <v>7.17</v>
      </c>
      <c r="H40" s="83" t="s">
        <v>160</v>
      </c>
      <c r="I40" s="84">
        <v>4.8000000000000001E-2</v>
      </c>
      <c r="J40" s="84">
        <v>4.8499999999999995E-2</v>
      </c>
      <c r="K40" s="77">
        <v>497000</v>
      </c>
      <c r="L40" s="79">
        <v>101.6704</v>
      </c>
      <c r="M40" s="77">
        <v>505.37832000000003</v>
      </c>
      <c r="N40" s="70"/>
      <c r="O40" s="78">
        <f t="shared" si="0"/>
        <v>2.2957117929950783E-4</v>
      </c>
      <c r="P40" s="78">
        <f>M40/'סכום נכסי הקרן'!$C$42</f>
        <v>1.3929125767686508E-4</v>
      </c>
    </row>
    <row r="41" spans="2:16">
      <c r="B41" s="76" t="s">
        <v>1671</v>
      </c>
      <c r="C41" s="70" t="s">
        <v>1672</v>
      </c>
      <c r="D41" s="70" t="s">
        <v>264</v>
      </c>
      <c r="E41" s="70"/>
      <c r="F41" s="97">
        <v>41821</v>
      </c>
      <c r="G41" s="77">
        <v>7.25</v>
      </c>
      <c r="H41" s="83" t="s">
        <v>160</v>
      </c>
      <c r="I41" s="84">
        <v>4.8000000000000001E-2</v>
      </c>
      <c r="J41" s="84">
        <v>4.8499999999999995E-2</v>
      </c>
      <c r="K41" s="77">
        <v>7513000</v>
      </c>
      <c r="L41" s="79">
        <v>102.39019999999999</v>
      </c>
      <c r="M41" s="77">
        <v>7692.5921100000005</v>
      </c>
      <c r="N41" s="70"/>
      <c r="O41" s="78">
        <f t="shared" si="0"/>
        <v>3.4944068090668975E-3</v>
      </c>
      <c r="P41" s="78">
        <f>M41/'סכום נכסי הקרן'!$C$42</f>
        <v>2.1202152672418341E-3</v>
      </c>
    </row>
    <row r="42" spans="2:16">
      <c r="B42" s="76" t="s">
        <v>1673</v>
      </c>
      <c r="C42" s="70" t="s">
        <v>1674</v>
      </c>
      <c r="D42" s="70" t="s">
        <v>264</v>
      </c>
      <c r="E42" s="70"/>
      <c r="F42" s="97">
        <v>41852</v>
      </c>
      <c r="G42" s="77">
        <v>7.330000000000001</v>
      </c>
      <c r="H42" s="83" t="s">
        <v>160</v>
      </c>
      <c r="I42" s="84">
        <v>4.8000000000000001E-2</v>
      </c>
      <c r="J42" s="84">
        <v>4.8500000000000008E-2</v>
      </c>
      <c r="K42" s="77">
        <v>5430000</v>
      </c>
      <c r="L42" s="79">
        <v>101.9851</v>
      </c>
      <c r="M42" s="77">
        <v>5537.8905199999999</v>
      </c>
      <c r="N42" s="70"/>
      <c r="O42" s="78">
        <f t="shared" si="0"/>
        <v>2.5156204910174317E-3</v>
      </c>
      <c r="P42" s="78">
        <f>M42/'סכום נכסי הקרן'!$C$42</f>
        <v>1.5263411683500555E-3</v>
      </c>
    </row>
    <row r="43" spans="2:16">
      <c r="B43" s="76" t="s">
        <v>1675</v>
      </c>
      <c r="C43" s="70" t="s">
        <v>1676</v>
      </c>
      <c r="D43" s="70" t="s">
        <v>264</v>
      </c>
      <c r="E43" s="70"/>
      <c r="F43" s="97">
        <v>41913</v>
      </c>
      <c r="G43" s="77">
        <v>7.5</v>
      </c>
      <c r="H43" s="83" t="s">
        <v>160</v>
      </c>
      <c r="I43" s="84">
        <v>4.8000000000000001E-2</v>
      </c>
      <c r="J43" s="84">
        <v>4.8499999999999995E-2</v>
      </c>
      <c r="K43" s="77">
        <v>6882000</v>
      </c>
      <c r="L43" s="79">
        <v>101.1833</v>
      </c>
      <c r="M43" s="77">
        <v>6963.7599800000007</v>
      </c>
      <c r="N43" s="70"/>
      <c r="O43" s="78">
        <f t="shared" si="0"/>
        <v>3.163330375880226E-3</v>
      </c>
      <c r="P43" s="78">
        <f>M43/'סכום נכסי הקרן'!$C$42</f>
        <v>1.9193361633993735E-3</v>
      </c>
    </row>
    <row r="44" spans="2:16">
      <c r="B44" s="76" t="s">
        <v>1677</v>
      </c>
      <c r="C44" s="70" t="s">
        <v>1678</v>
      </c>
      <c r="D44" s="70" t="s">
        <v>264</v>
      </c>
      <c r="E44" s="70"/>
      <c r="F44" s="97">
        <v>41945</v>
      </c>
      <c r="G44" s="77">
        <v>7.59</v>
      </c>
      <c r="H44" s="83" t="s">
        <v>160</v>
      </c>
      <c r="I44" s="84">
        <v>4.8000000000000001E-2</v>
      </c>
      <c r="J44" s="84">
        <v>4.8499999999999995E-2</v>
      </c>
      <c r="K44" s="77">
        <v>7386000</v>
      </c>
      <c r="L44" s="79">
        <v>100.7705</v>
      </c>
      <c r="M44" s="77">
        <v>7442.93505</v>
      </c>
      <c r="N44" s="70"/>
      <c r="O44" s="78">
        <f t="shared" si="0"/>
        <v>3.3809985693057454E-3</v>
      </c>
      <c r="P44" s="78">
        <f>M44/'סכום נכסי הקרן'!$C$42</f>
        <v>2.0514053391164871E-3</v>
      </c>
    </row>
    <row r="45" spans="2:16">
      <c r="B45" s="76" t="s">
        <v>1679</v>
      </c>
      <c r="C45" s="70" t="s">
        <v>1680</v>
      </c>
      <c r="D45" s="70" t="s">
        <v>264</v>
      </c>
      <c r="E45" s="70"/>
      <c r="F45" s="97">
        <v>41974</v>
      </c>
      <c r="G45" s="77">
        <v>7.67</v>
      </c>
      <c r="H45" s="83" t="s">
        <v>160</v>
      </c>
      <c r="I45" s="84">
        <v>4.8000000000000001E-2</v>
      </c>
      <c r="J45" s="84">
        <v>4.8499999999999995E-2</v>
      </c>
      <c r="K45" s="77">
        <v>74000</v>
      </c>
      <c r="L45" s="79">
        <v>100.3832</v>
      </c>
      <c r="M45" s="77">
        <v>74.286469999999994</v>
      </c>
      <c r="N45" s="70"/>
      <c r="O45" s="78">
        <f t="shared" si="0"/>
        <v>3.3745081355879115E-5</v>
      </c>
      <c r="P45" s="78">
        <f>M45/'סכום נכסי הקרן'!$C$42</f>
        <v>2.047467298295405E-5</v>
      </c>
    </row>
    <row r="46" spans="2:16">
      <c r="B46" s="76" t="s">
        <v>1681</v>
      </c>
      <c r="C46" s="70" t="s">
        <v>1682</v>
      </c>
      <c r="D46" s="70" t="s">
        <v>264</v>
      </c>
      <c r="E46" s="70"/>
      <c r="F46" s="97">
        <v>42005</v>
      </c>
      <c r="G46" s="77">
        <v>7.57</v>
      </c>
      <c r="H46" s="83" t="s">
        <v>160</v>
      </c>
      <c r="I46" s="84">
        <v>4.8000000000000001E-2</v>
      </c>
      <c r="J46" s="84">
        <v>4.8500000000000008E-2</v>
      </c>
      <c r="K46" s="77">
        <v>4523000</v>
      </c>
      <c r="L46" s="79">
        <v>102.3888</v>
      </c>
      <c r="M46" s="77">
        <v>4631.1103899999998</v>
      </c>
      <c r="N46" s="70"/>
      <c r="O46" s="78">
        <f t="shared" si="0"/>
        <v>2.1037100952381645E-3</v>
      </c>
      <c r="P46" s="78">
        <f>M46/'סכום נכסי הקרן'!$C$42</f>
        <v>1.2764164293068549E-3</v>
      </c>
    </row>
    <row r="47" spans="2:16">
      <c r="B47" s="76" t="s">
        <v>1683</v>
      </c>
      <c r="C47" s="70" t="s">
        <v>1684</v>
      </c>
      <c r="D47" s="70" t="s">
        <v>264</v>
      </c>
      <c r="E47" s="70"/>
      <c r="F47" s="97">
        <v>42036</v>
      </c>
      <c r="G47" s="77">
        <v>7.6499999999999995</v>
      </c>
      <c r="H47" s="83" t="s">
        <v>160</v>
      </c>
      <c r="I47" s="84">
        <v>4.8000000000000001E-2</v>
      </c>
      <c r="J47" s="84">
        <v>4.8500000000000008E-2</v>
      </c>
      <c r="K47" s="77">
        <v>23460000</v>
      </c>
      <c r="L47" s="79">
        <v>101.98099999999999</v>
      </c>
      <c r="M47" s="77">
        <v>23925.98187</v>
      </c>
      <c r="N47" s="70"/>
      <c r="O47" s="78">
        <f t="shared" si="0"/>
        <v>1.0868522958789652E-2</v>
      </c>
      <c r="P47" s="78">
        <f>M47/'סכום נכסי הקרן'!$C$42</f>
        <v>6.5944263414904145E-3</v>
      </c>
    </row>
    <row r="48" spans="2:16">
      <c r="B48" s="76" t="s">
        <v>1685</v>
      </c>
      <c r="C48" s="70" t="s">
        <v>1686</v>
      </c>
      <c r="D48" s="70" t="s">
        <v>264</v>
      </c>
      <c r="E48" s="70"/>
      <c r="F48" s="97">
        <v>42064</v>
      </c>
      <c r="G48" s="77">
        <v>7.7299999999999986</v>
      </c>
      <c r="H48" s="83" t="s">
        <v>160</v>
      </c>
      <c r="I48" s="84">
        <v>4.8000000000000001E-2</v>
      </c>
      <c r="J48" s="84">
        <v>4.8600000000000004E-2</v>
      </c>
      <c r="K48" s="77">
        <v>54991000</v>
      </c>
      <c r="L48" s="79">
        <v>102.3651</v>
      </c>
      <c r="M48" s="77">
        <v>56295.287779999999</v>
      </c>
      <c r="N48" s="70"/>
      <c r="O48" s="78">
        <f t="shared" si="0"/>
        <v>2.5572477277339026E-2</v>
      </c>
      <c r="P48" s="78">
        <f>M48/'סכום נכסי הקרן'!$C$42</f>
        <v>1.5515983028629429E-2</v>
      </c>
    </row>
    <row r="49" spans="2:16">
      <c r="B49" s="76" t="s">
        <v>1687</v>
      </c>
      <c r="C49" s="70" t="s">
        <v>1688</v>
      </c>
      <c r="D49" s="70" t="s">
        <v>264</v>
      </c>
      <c r="E49" s="70"/>
      <c r="F49" s="97">
        <v>42095</v>
      </c>
      <c r="G49" s="77">
        <v>7.81</v>
      </c>
      <c r="H49" s="83" t="s">
        <v>160</v>
      </c>
      <c r="I49" s="84">
        <v>4.8000000000000001E-2</v>
      </c>
      <c r="J49" s="84">
        <v>4.8500000000000008E-2</v>
      </c>
      <c r="K49" s="77">
        <v>30858000</v>
      </c>
      <c r="L49" s="79">
        <v>102.71250000000001</v>
      </c>
      <c r="M49" s="77">
        <v>31695.06338</v>
      </c>
      <c r="N49" s="70"/>
      <c r="O49" s="78">
        <f t="shared" si="0"/>
        <v>1.4397675543579401E-2</v>
      </c>
      <c r="P49" s="78">
        <f>M49/'סכום נכסי הקרן'!$C$42</f>
        <v>8.7357234484220642E-3</v>
      </c>
    </row>
    <row r="50" spans="2:16">
      <c r="B50" s="76" t="s">
        <v>1689</v>
      </c>
      <c r="C50" s="70" t="s">
        <v>1690</v>
      </c>
      <c r="D50" s="70" t="s">
        <v>264</v>
      </c>
      <c r="E50" s="70"/>
      <c r="F50" s="97">
        <v>42125</v>
      </c>
      <c r="G50" s="77">
        <v>7.9</v>
      </c>
      <c r="H50" s="83" t="s">
        <v>160</v>
      </c>
      <c r="I50" s="84">
        <v>4.8000000000000001E-2</v>
      </c>
      <c r="J50" s="84">
        <v>4.8500000000000008E-2</v>
      </c>
      <c r="K50" s="77">
        <v>3766000</v>
      </c>
      <c r="L50" s="79">
        <v>101.99679999999999</v>
      </c>
      <c r="M50" s="77">
        <v>3841.1978199999999</v>
      </c>
      <c r="N50" s="70"/>
      <c r="O50" s="78">
        <f t="shared" si="0"/>
        <v>1.7448875002396196E-3</v>
      </c>
      <c r="P50" s="78">
        <f>M50/'סכום נכסי הקרן'!$C$42</f>
        <v>1.0587024693370945E-3</v>
      </c>
    </row>
    <row r="51" spans="2:16">
      <c r="B51" s="76" t="s">
        <v>1691</v>
      </c>
      <c r="C51" s="70" t="s">
        <v>1692</v>
      </c>
      <c r="D51" s="70" t="s">
        <v>264</v>
      </c>
      <c r="E51" s="70"/>
      <c r="F51" s="97">
        <v>42156</v>
      </c>
      <c r="G51" s="77">
        <v>7.98</v>
      </c>
      <c r="H51" s="83" t="s">
        <v>160</v>
      </c>
      <c r="I51" s="84">
        <v>4.8000000000000001E-2</v>
      </c>
      <c r="J51" s="84">
        <v>4.8500000000000008E-2</v>
      </c>
      <c r="K51" s="77">
        <v>33682000</v>
      </c>
      <c r="L51" s="79">
        <v>100.9816</v>
      </c>
      <c r="M51" s="77">
        <v>34012.935899999997</v>
      </c>
      <c r="N51" s="70"/>
      <c r="O51" s="78">
        <f t="shared" si="0"/>
        <v>1.5450583250190799E-2</v>
      </c>
      <c r="P51" s="78">
        <f>M51/'סכום נכסי הקרן'!$C$42</f>
        <v>9.3745703590798948E-3</v>
      </c>
    </row>
    <row r="52" spans="2:16">
      <c r="B52" s="76" t="s">
        <v>1693</v>
      </c>
      <c r="C52" s="70" t="s">
        <v>1694</v>
      </c>
      <c r="D52" s="70" t="s">
        <v>264</v>
      </c>
      <c r="E52" s="70"/>
      <c r="F52" s="97">
        <v>42218</v>
      </c>
      <c r="G52" s="77">
        <v>7.96</v>
      </c>
      <c r="H52" s="83" t="s">
        <v>160</v>
      </c>
      <c r="I52" s="84">
        <v>4.8000000000000001E-2</v>
      </c>
      <c r="J52" s="84">
        <v>4.8499999999999995E-2</v>
      </c>
      <c r="K52" s="77">
        <v>14923000</v>
      </c>
      <c r="L52" s="79">
        <v>102.0635</v>
      </c>
      <c r="M52" s="77">
        <v>15230.939390000001</v>
      </c>
      <c r="N52" s="70"/>
      <c r="O52" s="78">
        <f t="shared" si="0"/>
        <v>6.9187469648512561E-3</v>
      </c>
      <c r="P52" s="78">
        <f>M52/'סכום נכסי הקרן'!$C$42</f>
        <v>4.1979179147083401E-3</v>
      </c>
    </row>
    <row r="53" spans="2:16">
      <c r="B53" s="76" t="s">
        <v>1695</v>
      </c>
      <c r="C53" s="70" t="s">
        <v>1696</v>
      </c>
      <c r="D53" s="70" t="s">
        <v>264</v>
      </c>
      <c r="E53" s="70"/>
      <c r="F53" s="97">
        <v>42309</v>
      </c>
      <c r="G53" s="77">
        <v>8.2099999999999991</v>
      </c>
      <c r="H53" s="83" t="s">
        <v>160</v>
      </c>
      <c r="I53" s="84">
        <v>4.8000000000000001E-2</v>
      </c>
      <c r="J53" s="84">
        <v>4.8500000000000008E-2</v>
      </c>
      <c r="K53" s="77">
        <v>14985000</v>
      </c>
      <c r="L53" s="79">
        <v>101.27889999999999</v>
      </c>
      <c r="M53" s="77">
        <v>15176.640460000001</v>
      </c>
      <c r="N53" s="70"/>
      <c r="O53" s="78">
        <f t="shared" si="0"/>
        <v>6.8940813452520585E-3</v>
      </c>
      <c r="P53" s="78">
        <f>M53/'סכום נכסי הקרן'!$C$42</f>
        <v>4.1829521634070017E-3</v>
      </c>
    </row>
    <row r="54" spans="2:16">
      <c r="B54" s="76" t="s">
        <v>1697</v>
      </c>
      <c r="C54" s="70" t="s">
        <v>1698</v>
      </c>
      <c r="D54" s="70" t="s">
        <v>264</v>
      </c>
      <c r="E54" s="70"/>
      <c r="F54" s="97">
        <v>42339</v>
      </c>
      <c r="G54" s="77">
        <v>8.2900000000000009</v>
      </c>
      <c r="H54" s="83" t="s">
        <v>160</v>
      </c>
      <c r="I54" s="84">
        <v>4.8000000000000001E-2</v>
      </c>
      <c r="J54" s="84">
        <v>4.8499999999999995E-2</v>
      </c>
      <c r="K54" s="77">
        <v>25372000</v>
      </c>
      <c r="L54" s="79">
        <v>100.77800000000001</v>
      </c>
      <c r="M54" s="77">
        <v>25569.38277</v>
      </c>
      <c r="N54" s="70"/>
      <c r="O54" s="78">
        <f t="shared" si="0"/>
        <v>1.1615047824903562E-2</v>
      </c>
      <c r="P54" s="78">
        <f>M54/'סכום נכסי הקרן'!$C$42</f>
        <v>7.0473768721508751E-3</v>
      </c>
    </row>
    <row r="55" spans="2:16">
      <c r="B55" s="76" t="s">
        <v>1699</v>
      </c>
      <c r="C55" s="70" t="s">
        <v>1700</v>
      </c>
      <c r="D55" s="70" t="s">
        <v>264</v>
      </c>
      <c r="E55" s="70"/>
      <c r="F55" s="97">
        <v>42370</v>
      </c>
      <c r="G55" s="77">
        <v>8.18</v>
      </c>
      <c r="H55" s="83" t="s">
        <v>160</v>
      </c>
      <c r="I55" s="84">
        <v>4.8000000000000001E-2</v>
      </c>
      <c r="J55" s="84">
        <v>4.8499999999999995E-2</v>
      </c>
      <c r="K55" s="77">
        <v>15147000</v>
      </c>
      <c r="L55" s="79">
        <v>103.2041</v>
      </c>
      <c r="M55" s="77">
        <v>15632.33041</v>
      </c>
      <c r="N55" s="70"/>
      <c r="O55" s="78">
        <f t="shared" si="0"/>
        <v>7.10108127990781E-3</v>
      </c>
      <c r="P55" s="78">
        <f>M55/'סכום נכסי הקרן'!$C$42</f>
        <v>4.3085484221586784E-3</v>
      </c>
    </row>
    <row r="56" spans="2:16">
      <c r="B56" s="76" t="s">
        <v>1701</v>
      </c>
      <c r="C56" s="70" t="s">
        <v>1702</v>
      </c>
      <c r="D56" s="70" t="s">
        <v>264</v>
      </c>
      <c r="E56" s="70"/>
      <c r="F56" s="97">
        <v>42461</v>
      </c>
      <c r="G56" s="77">
        <v>8.43</v>
      </c>
      <c r="H56" s="83" t="s">
        <v>160</v>
      </c>
      <c r="I56" s="84">
        <v>4.8000000000000001E-2</v>
      </c>
      <c r="J56" s="84">
        <v>4.8499999999999995E-2</v>
      </c>
      <c r="K56" s="77">
        <v>36491000</v>
      </c>
      <c r="L56" s="79">
        <v>102.92100000000001</v>
      </c>
      <c r="M56" s="77">
        <v>37556.89875</v>
      </c>
      <c r="N56" s="70"/>
      <c r="O56" s="78">
        <f t="shared" si="0"/>
        <v>1.7060449955331902E-2</v>
      </c>
      <c r="P56" s="78">
        <f>M56/'סכום נכסי הקרן'!$C$42</f>
        <v>1.0351349581695909E-2</v>
      </c>
    </row>
    <row r="57" spans="2:16">
      <c r="B57" s="76" t="s">
        <v>1703</v>
      </c>
      <c r="C57" s="70" t="s">
        <v>1704</v>
      </c>
      <c r="D57" s="70" t="s">
        <v>264</v>
      </c>
      <c r="E57" s="70"/>
      <c r="F57" s="97">
        <v>42491</v>
      </c>
      <c r="G57" s="77">
        <v>8.51</v>
      </c>
      <c r="H57" s="83" t="s">
        <v>160</v>
      </c>
      <c r="I57" s="84">
        <v>4.8000000000000001E-2</v>
      </c>
      <c r="J57" s="84">
        <v>4.8500000000000008E-2</v>
      </c>
      <c r="K57" s="77">
        <v>15511000</v>
      </c>
      <c r="L57" s="79">
        <v>102.7239</v>
      </c>
      <c r="M57" s="77">
        <v>15933.499400000001</v>
      </c>
      <c r="N57" s="70"/>
      <c r="O57" s="78">
        <f t="shared" si="0"/>
        <v>7.2378891275470631E-3</v>
      </c>
      <c r="P57" s="78">
        <f>M57/'סכום נכסי הקרן'!$C$42</f>
        <v>4.3915559547935794E-3</v>
      </c>
    </row>
    <row r="58" spans="2:16">
      <c r="B58" s="76" t="s">
        <v>1705</v>
      </c>
      <c r="C58" s="70" t="s">
        <v>1706</v>
      </c>
      <c r="D58" s="70" t="s">
        <v>264</v>
      </c>
      <c r="E58" s="70"/>
      <c r="F58" s="97">
        <v>42522</v>
      </c>
      <c r="G58" s="77">
        <v>8.6</v>
      </c>
      <c r="H58" s="83" t="s">
        <v>160</v>
      </c>
      <c r="I58" s="84">
        <v>4.8000000000000001E-2</v>
      </c>
      <c r="J58" s="84">
        <v>4.8500000000000008E-2</v>
      </c>
      <c r="K58" s="77">
        <v>13911000</v>
      </c>
      <c r="L58" s="79">
        <v>101.90300000000001</v>
      </c>
      <c r="M58" s="77">
        <v>14175.7289</v>
      </c>
      <c r="N58" s="70"/>
      <c r="O58" s="78">
        <f t="shared" si="0"/>
        <v>6.4394111741934539E-3</v>
      </c>
      <c r="P58" s="78">
        <f>M58/'סכום נכסי הקרן'!$C$42</f>
        <v>3.9070831272842946E-3</v>
      </c>
    </row>
    <row r="59" spans="2:16">
      <c r="B59" s="76" t="s">
        <v>1707</v>
      </c>
      <c r="C59" s="70" t="s">
        <v>1708</v>
      </c>
      <c r="D59" s="70" t="s">
        <v>264</v>
      </c>
      <c r="E59" s="70"/>
      <c r="F59" s="97">
        <v>42552</v>
      </c>
      <c r="G59" s="77">
        <v>8.48</v>
      </c>
      <c r="H59" s="83" t="s">
        <v>160</v>
      </c>
      <c r="I59" s="84">
        <v>4.8000000000000001E-2</v>
      </c>
      <c r="J59" s="84">
        <v>4.8500000000000008E-2</v>
      </c>
      <c r="K59" s="77">
        <v>15879000</v>
      </c>
      <c r="L59" s="79">
        <v>103.6211</v>
      </c>
      <c r="M59" s="77">
        <v>16454.07274</v>
      </c>
      <c r="N59" s="70"/>
      <c r="O59" s="78">
        <f t="shared" si="0"/>
        <v>7.474362737209788E-3</v>
      </c>
      <c r="P59" s="78">
        <f>M59/'סכום נכסי הקרן'!$C$42</f>
        <v>4.5350352303621198E-3</v>
      </c>
    </row>
    <row r="60" spans="2:16">
      <c r="B60" s="76" t="s">
        <v>1709</v>
      </c>
      <c r="C60" s="70" t="s">
        <v>1710</v>
      </c>
      <c r="D60" s="70" t="s">
        <v>264</v>
      </c>
      <c r="E60" s="70"/>
      <c r="F60" s="97">
        <v>42583</v>
      </c>
      <c r="G60" s="77">
        <v>8.56</v>
      </c>
      <c r="H60" s="83" t="s">
        <v>160</v>
      </c>
      <c r="I60" s="84">
        <v>4.8000000000000001E-2</v>
      </c>
      <c r="J60" s="84">
        <v>4.8499999999999995E-2</v>
      </c>
      <c r="K60" s="77">
        <v>26211000</v>
      </c>
      <c r="L60" s="79">
        <v>102.9111</v>
      </c>
      <c r="M60" s="77">
        <v>26974.190839999999</v>
      </c>
      <c r="N60" s="70"/>
      <c r="O60" s="78">
        <f t="shared" si="0"/>
        <v>1.2253190445108095E-2</v>
      </c>
      <c r="P60" s="78">
        <f>M60/'סכום נכסי הקרן'!$C$42</f>
        <v>7.4345669733505253E-3</v>
      </c>
    </row>
    <row r="61" spans="2:16">
      <c r="B61" s="76" t="s">
        <v>1711</v>
      </c>
      <c r="C61" s="70" t="s">
        <v>1712</v>
      </c>
      <c r="D61" s="70" t="s">
        <v>264</v>
      </c>
      <c r="E61" s="70"/>
      <c r="F61" s="97">
        <v>42614</v>
      </c>
      <c r="G61" s="77">
        <v>8.64</v>
      </c>
      <c r="H61" s="83" t="s">
        <v>160</v>
      </c>
      <c r="I61" s="84">
        <v>4.8000000000000001E-2</v>
      </c>
      <c r="J61" s="84">
        <v>4.8499999999999995E-2</v>
      </c>
      <c r="K61" s="77">
        <v>10891000</v>
      </c>
      <c r="L61" s="79">
        <v>102.0829</v>
      </c>
      <c r="M61" s="77">
        <v>11118.84749</v>
      </c>
      <c r="N61" s="70"/>
      <c r="O61" s="78">
        <f t="shared" si="0"/>
        <v>5.0508041791952462E-3</v>
      </c>
      <c r="P61" s="78">
        <f>M61/'סכום נכסי הקרן'!$C$42</f>
        <v>3.0645522166430771E-3</v>
      </c>
    </row>
    <row r="62" spans="2:16">
      <c r="B62" s="76" t="s">
        <v>1713</v>
      </c>
      <c r="C62" s="70" t="s">
        <v>1714</v>
      </c>
      <c r="D62" s="70" t="s">
        <v>264</v>
      </c>
      <c r="E62" s="70"/>
      <c r="F62" s="97">
        <v>42644</v>
      </c>
      <c r="G62" s="77">
        <v>8.7300000000000022</v>
      </c>
      <c r="H62" s="83" t="s">
        <v>160</v>
      </c>
      <c r="I62" s="84">
        <v>4.8000000000000001E-2</v>
      </c>
      <c r="J62" s="84">
        <v>4.8499999999999995E-2</v>
      </c>
      <c r="K62" s="77">
        <v>11173000</v>
      </c>
      <c r="L62" s="79">
        <v>101.98739999999999</v>
      </c>
      <c r="M62" s="77">
        <v>11395.52586</v>
      </c>
      <c r="N62" s="70"/>
      <c r="O62" s="78">
        <f t="shared" si="0"/>
        <v>5.1764870135668625E-3</v>
      </c>
      <c r="P62" s="78">
        <f>M62/'סכום נכסי הקרן'!$C$42</f>
        <v>3.1408096986207073E-3</v>
      </c>
    </row>
    <row r="63" spans="2:16">
      <c r="B63" s="76" t="s">
        <v>1715</v>
      </c>
      <c r="C63" s="70" t="s">
        <v>1716</v>
      </c>
      <c r="D63" s="70" t="s">
        <v>264</v>
      </c>
      <c r="E63" s="70"/>
      <c r="F63" s="97">
        <v>42705</v>
      </c>
      <c r="G63" s="77">
        <v>8.9</v>
      </c>
      <c r="H63" s="83" t="s">
        <v>160</v>
      </c>
      <c r="I63" s="84">
        <v>4.8000000000000001E-2</v>
      </c>
      <c r="J63" s="84">
        <v>4.8500000000000008E-2</v>
      </c>
      <c r="K63" s="77">
        <v>74559000</v>
      </c>
      <c r="L63" s="79">
        <v>101.08159999999999</v>
      </c>
      <c r="M63" s="77">
        <v>75365.489349999989</v>
      </c>
      <c r="N63" s="70"/>
      <c r="O63" s="78">
        <f t="shared" si="0"/>
        <v>3.4235232466173056E-2</v>
      </c>
      <c r="P63" s="78">
        <f>M63/'סכום נכסי הקרן'!$C$42</f>
        <v>2.0772069915848148E-2</v>
      </c>
    </row>
    <row r="64" spans="2:16">
      <c r="B64" s="76" t="s">
        <v>1717</v>
      </c>
      <c r="C64" s="70" t="s">
        <v>1718</v>
      </c>
      <c r="D64" s="70" t="s">
        <v>264</v>
      </c>
      <c r="E64" s="70"/>
      <c r="F64" s="97">
        <v>42736</v>
      </c>
      <c r="G64" s="77">
        <v>8.77</v>
      </c>
      <c r="H64" s="83" t="s">
        <v>160</v>
      </c>
      <c r="I64" s="84">
        <v>4.8000000000000001E-2</v>
      </c>
      <c r="J64" s="84">
        <v>4.8499999999999995E-2</v>
      </c>
      <c r="K64" s="77">
        <v>24952000</v>
      </c>
      <c r="L64" s="79">
        <v>103.51649999999999</v>
      </c>
      <c r="M64" s="77">
        <v>25829.425800000001</v>
      </c>
      <c r="N64" s="70"/>
      <c r="O64" s="78">
        <f t="shared" si="0"/>
        <v>1.1733173954781309E-2</v>
      </c>
      <c r="P64" s="78">
        <f>M64/'סכום נכסי הקרן'!$C$42</f>
        <v>7.1190493584158236E-3</v>
      </c>
    </row>
    <row r="65" spans="2:16">
      <c r="B65" s="76" t="s">
        <v>1719</v>
      </c>
      <c r="C65" s="70" t="s">
        <v>1720</v>
      </c>
      <c r="D65" s="70" t="s">
        <v>264</v>
      </c>
      <c r="E65" s="70"/>
      <c r="F65" s="97">
        <v>42767</v>
      </c>
      <c r="G65" s="77">
        <v>8.86</v>
      </c>
      <c r="H65" s="83" t="s">
        <v>160</v>
      </c>
      <c r="I65" s="84">
        <v>4.8000000000000001E-2</v>
      </c>
      <c r="J65" s="84">
        <v>4.8499999999999995E-2</v>
      </c>
      <c r="K65" s="77">
        <v>34384000</v>
      </c>
      <c r="L65" s="79">
        <v>103.108</v>
      </c>
      <c r="M65" s="77">
        <v>35452.648880000001</v>
      </c>
      <c r="N65" s="70"/>
      <c r="O65" s="78">
        <f t="shared" si="0"/>
        <v>1.6104581638312018E-2</v>
      </c>
      <c r="P65" s="78">
        <f>M65/'סכום נכסי הקרן'!$C$42</f>
        <v>9.771380874572343E-3</v>
      </c>
    </row>
    <row r="66" spans="2:16">
      <c r="B66" s="76" t="s">
        <v>1721</v>
      </c>
      <c r="C66" s="70" t="s">
        <v>1722</v>
      </c>
      <c r="D66" s="70" t="s">
        <v>264</v>
      </c>
      <c r="E66" s="70"/>
      <c r="F66" s="97">
        <v>42795</v>
      </c>
      <c r="G66" s="77">
        <v>8.93</v>
      </c>
      <c r="H66" s="83" t="s">
        <v>160</v>
      </c>
      <c r="I66" s="84">
        <v>4.8000000000000001E-2</v>
      </c>
      <c r="J66" s="84">
        <v>4.8500000000000015E-2</v>
      </c>
      <c r="K66" s="77">
        <v>19027000</v>
      </c>
      <c r="L66" s="79">
        <v>102.907</v>
      </c>
      <c r="M66" s="77">
        <v>19580.111290000001</v>
      </c>
      <c r="N66" s="70"/>
      <c r="O66" s="78">
        <f t="shared" si="0"/>
        <v>8.8943847841769456E-3</v>
      </c>
      <c r="P66" s="78">
        <f>M66/'סכום נכסי הקרן'!$C$42</f>
        <v>5.3966270793671658E-3</v>
      </c>
    </row>
    <row r="67" spans="2:16">
      <c r="B67" s="76" t="s">
        <v>1723</v>
      </c>
      <c r="C67" s="70" t="s">
        <v>1724</v>
      </c>
      <c r="D67" s="70" t="s">
        <v>264</v>
      </c>
      <c r="E67" s="70"/>
      <c r="F67" s="97">
        <v>42826</v>
      </c>
      <c r="G67" s="77">
        <v>9.02</v>
      </c>
      <c r="H67" s="83" t="s">
        <v>160</v>
      </c>
      <c r="I67" s="84">
        <v>4.8000000000000001E-2</v>
      </c>
      <c r="J67" s="84">
        <v>4.8500000000000008E-2</v>
      </c>
      <c r="K67" s="77">
        <v>10097000</v>
      </c>
      <c r="L67" s="79">
        <v>102.5009</v>
      </c>
      <c r="M67" s="77">
        <v>10349.517449999999</v>
      </c>
      <c r="N67" s="70"/>
      <c r="O67" s="78">
        <f t="shared" si="0"/>
        <v>4.7013313237840018E-3</v>
      </c>
      <c r="P67" s="78">
        <f>M67/'סכום נכסי הקרן'!$C$42</f>
        <v>2.8525111681861649E-3</v>
      </c>
    </row>
    <row r="68" spans="2:16">
      <c r="B68" s="76" t="s">
        <v>1725</v>
      </c>
      <c r="C68" s="70" t="s">
        <v>1726</v>
      </c>
      <c r="D68" s="70" t="s">
        <v>264</v>
      </c>
      <c r="E68" s="70"/>
      <c r="F68" s="97">
        <v>42856</v>
      </c>
      <c r="G68" s="77">
        <v>9.1</v>
      </c>
      <c r="H68" s="83" t="s">
        <v>160</v>
      </c>
      <c r="I68" s="84">
        <v>4.8000000000000001E-2</v>
      </c>
      <c r="J68" s="84">
        <v>4.8500000000000015E-2</v>
      </c>
      <c r="K68" s="77">
        <v>1355000</v>
      </c>
      <c r="L68" s="79">
        <v>101.7869</v>
      </c>
      <c r="M68" s="77">
        <v>1379.2599299999999</v>
      </c>
      <c r="N68" s="70"/>
      <c r="O68" s="78">
        <f t="shared" si="0"/>
        <v>6.2653722203725841E-4</v>
      </c>
      <c r="P68" s="78">
        <f>M68/'סכום נכסי הקרן'!$C$42</f>
        <v>3.8014857921290504E-4</v>
      </c>
    </row>
    <row r="69" spans="2:16">
      <c r="B69" s="76" t="s">
        <v>1727</v>
      </c>
      <c r="C69" s="70" t="s">
        <v>1728</v>
      </c>
      <c r="D69" s="70" t="s">
        <v>264</v>
      </c>
      <c r="E69" s="70"/>
      <c r="F69" s="97">
        <v>42887</v>
      </c>
      <c r="G69" s="77">
        <v>9.19</v>
      </c>
      <c r="H69" s="83" t="s">
        <v>160</v>
      </c>
      <c r="I69" s="84">
        <v>4.8000000000000001E-2</v>
      </c>
      <c r="J69" s="84">
        <v>4.8500000000000008E-2</v>
      </c>
      <c r="K69" s="77">
        <v>13174000</v>
      </c>
      <c r="L69" s="79">
        <v>101.197</v>
      </c>
      <c r="M69" s="77">
        <v>13330.325949999999</v>
      </c>
      <c r="N69" s="70"/>
      <c r="O69" s="78">
        <f t="shared" si="0"/>
        <v>6.0553817361780216E-3</v>
      </c>
      <c r="P69" s="78">
        <f>M69/'סכום נכסי הקרן'!$C$42</f>
        <v>3.6740750311925747E-3</v>
      </c>
    </row>
    <row r="70" spans="2:16">
      <c r="B70" s="76" t="s">
        <v>1729</v>
      </c>
      <c r="C70" s="70" t="s">
        <v>1730</v>
      </c>
      <c r="D70" s="70" t="s">
        <v>264</v>
      </c>
      <c r="E70" s="70"/>
      <c r="F70" s="97">
        <v>42918</v>
      </c>
      <c r="G70" s="77">
        <v>9.0500000000000007</v>
      </c>
      <c r="H70" s="83" t="s">
        <v>160</v>
      </c>
      <c r="I70" s="84">
        <v>4.8000000000000001E-2</v>
      </c>
      <c r="J70" s="84">
        <v>4.8499999999999995E-2</v>
      </c>
      <c r="K70" s="77">
        <v>115948000</v>
      </c>
      <c r="L70" s="79">
        <v>102.7812</v>
      </c>
      <c r="M70" s="77">
        <v>119172.55429</v>
      </c>
      <c r="N70" s="70"/>
      <c r="O70" s="78">
        <f t="shared" si="0"/>
        <v>5.4134858472935525E-2</v>
      </c>
      <c r="P70" s="78">
        <f>M70/'סכום נכסי הקרן'!$C$42</f>
        <v>3.2846076514755483E-2</v>
      </c>
    </row>
    <row r="71" spans="2:16">
      <c r="B71" s="76" t="s">
        <v>1731</v>
      </c>
      <c r="C71" s="70" t="s">
        <v>1732</v>
      </c>
      <c r="D71" s="70" t="s">
        <v>264</v>
      </c>
      <c r="E71" s="70"/>
      <c r="F71" s="97">
        <v>42949</v>
      </c>
      <c r="G71" s="77">
        <v>9.14</v>
      </c>
      <c r="H71" s="83" t="s">
        <v>160</v>
      </c>
      <c r="I71" s="84">
        <v>4.8000000000000001E-2</v>
      </c>
      <c r="J71" s="84">
        <v>4.8499999999999995E-2</v>
      </c>
      <c r="K71" s="77">
        <v>23562000</v>
      </c>
      <c r="L71" s="79">
        <v>103.1056</v>
      </c>
      <c r="M71" s="77">
        <v>24293.74063</v>
      </c>
      <c r="N71" s="70"/>
      <c r="O71" s="78">
        <f t="shared" si="0"/>
        <v>1.1035579614941671E-2</v>
      </c>
      <c r="P71" s="78">
        <f>M71/'סכום נכסי הקרן'!$C$42</f>
        <v>6.6957871996334477E-3</v>
      </c>
    </row>
    <row r="72" spans="2:16">
      <c r="B72" s="76" t="s">
        <v>1733</v>
      </c>
      <c r="C72" s="70" t="s">
        <v>1734</v>
      </c>
      <c r="D72" s="70" t="s">
        <v>264</v>
      </c>
      <c r="E72" s="70"/>
      <c r="F72" s="97">
        <v>42979</v>
      </c>
      <c r="G72" s="77">
        <v>9.2200000000000006</v>
      </c>
      <c r="H72" s="83" t="s">
        <v>160</v>
      </c>
      <c r="I72" s="84">
        <v>4.8000000000000001E-2</v>
      </c>
      <c r="J72" s="84">
        <v>4.8500000000000008E-2</v>
      </c>
      <c r="K72" s="77">
        <v>72355000</v>
      </c>
      <c r="L72" s="79">
        <v>102.8152</v>
      </c>
      <c r="M72" s="77">
        <v>74391.953079999992</v>
      </c>
      <c r="N72" s="70"/>
      <c r="O72" s="78">
        <f t="shared" si="0"/>
        <v>3.3792997687295434E-2</v>
      </c>
      <c r="P72" s="78">
        <f>M72/'סכום נכסי הקרן'!$C$42</f>
        <v>2.0503745996764432E-2</v>
      </c>
    </row>
    <row r="73" spans="2:16">
      <c r="B73" s="76" t="s">
        <v>1735</v>
      </c>
      <c r="C73" s="70" t="s">
        <v>1736</v>
      </c>
      <c r="D73" s="70" t="s">
        <v>264</v>
      </c>
      <c r="E73" s="70"/>
      <c r="F73" s="97">
        <v>43040</v>
      </c>
      <c r="G73" s="77">
        <v>9.39</v>
      </c>
      <c r="H73" s="83" t="s">
        <v>160</v>
      </c>
      <c r="I73" s="84">
        <v>4.8000000000000001E-2</v>
      </c>
      <c r="J73" s="84">
        <v>4.8500000000000008E-2</v>
      </c>
      <c r="K73" s="77">
        <v>2502000</v>
      </c>
      <c r="L73" s="79">
        <v>101.59869999999999</v>
      </c>
      <c r="M73" s="77">
        <v>2542.0028399999997</v>
      </c>
      <c r="N73" s="70"/>
      <c r="O73" s="78">
        <f t="shared" si="0"/>
        <v>1.1547202692855879E-3</v>
      </c>
      <c r="P73" s="78">
        <f>M73/'סכום נכסי הקרן'!$C$42</f>
        <v>7.0062121501722268E-4</v>
      </c>
    </row>
    <row r="74" spans="2:16">
      <c r="B74" s="76" t="s">
        <v>1737</v>
      </c>
      <c r="C74" s="70" t="s">
        <v>1738</v>
      </c>
      <c r="D74" s="70" t="s">
        <v>264</v>
      </c>
      <c r="E74" s="70"/>
      <c r="F74" s="97">
        <v>43070</v>
      </c>
      <c r="G74" s="77">
        <v>9.4699999999999989</v>
      </c>
      <c r="H74" s="83" t="s">
        <v>160</v>
      </c>
      <c r="I74" s="84">
        <v>4.8000000000000001E-2</v>
      </c>
      <c r="J74" s="84">
        <v>4.8499999999999995E-2</v>
      </c>
      <c r="K74" s="77">
        <v>2723000</v>
      </c>
      <c r="L74" s="79">
        <v>100.89619999999999</v>
      </c>
      <c r="M74" s="77">
        <v>2747.40299</v>
      </c>
      <c r="N74" s="70"/>
      <c r="O74" s="78">
        <f t="shared" si="0"/>
        <v>1.2480245381821958E-3</v>
      </c>
      <c r="P74" s="78">
        <f>M74/'סכום נכסי הקרן'!$C$42</f>
        <v>7.5723315124059845E-4</v>
      </c>
    </row>
    <row r="75" spans="2:16">
      <c r="B75" s="76" t="s">
        <v>1739</v>
      </c>
      <c r="C75" s="70" t="s">
        <v>1740</v>
      </c>
      <c r="D75" s="70" t="s">
        <v>264</v>
      </c>
      <c r="E75" s="70"/>
      <c r="F75" s="97">
        <v>43101</v>
      </c>
      <c r="G75" s="77">
        <v>9.3299999999999983</v>
      </c>
      <c r="H75" s="83" t="s">
        <v>160</v>
      </c>
      <c r="I75" s="84">
        <v>4.8000000000000001E-2</v>
      </c>
      <c r="J75" s="84">
        <v>4.8499999999999995E-2</v>
      </c>
      <c r="K75" s="77">
        <v>48365000</v>
      </c>
      <c r="L75" s="79">
        <v>103.20950000000001</v>
      </c>
      <c r="M75" s="77">
        <v>49921.374810000001</v>
      </c>
      <c r="N75" s="70"/>
      <c r="O75" s="78">
        <f t="shared" si="0"/>
        <v>2.2677088497552574E-2</v>
      </c>
      <c r="P75" s="78">
        <f>M75/'סכום נכסי הקרן'!$C$42</f>
        <v>1.3759219196903956E-2</v>
      </c>
    </row>
    <row r="76" spans="2:16">
      <c r="B76" s="76" t="s">
        <v>1741</v>
      </c>
      <c r="C76" s="70" t="s">
        <v>1742</v>
      </c>
      <c r="D76" s="70" t="s">
        <v>264</v>
      </c>
      <c r="E76" s="70"/>
      <c r="F76" s="97">
        <v>43132</v>
      </c>
      <c r="G76" s="77">
        <v>9.41</v>
      </c>
      <c r="H76" s="83" t="s">
        <v>160</v>
      </c>
      <c r="I76" s="84">
        <v>4.8000000000000001E-2</v>
      </c>
      <c r="J76" s="84">
        <v>4.8500000000000008E-2</v>
      </c>
      <c r="K76" s="77">
        <v>60706000</v>
      </c>
      <c r="L76" s="79">
        <v>102.703</v>
      </c>
      <c r="M76" s="77">
        <v>62350.140159999995</v>
      </c>
      <c r="N76" s="70"/>
      <c r="O76" s="78">
        <f t="shared" ref="O76:O104" si="1">M76/$M$11</f>
        <v>2.8322930841237517E-2</v>
      </c>
      <c r="P76" s="78">
        <f>M76/'סכום נכסי הקרן'!$C$42</f>
        <v>1.7184808084397471E-2</v>
      </c>
    </row>
    <row r="77" spans="2:16">
      <c r="B77" s="76" t="s">
        <v>1743</v>
      </c>
      <c r="C77" s="70" t="s">
        <v>1744</v>
      </c>
      <c r="D77" s="70" t="s">
        <v>264</v>
      </c>
      <c r="E77" s="70"/>
      <c r="F77" s="97">
        <v>43345</v>
      </c>
      <c r="G77" s="77">
        <v>9.77</v>
      </c>
      <c r="H77" s="83" t="s">
        <v>160</v>
      </c>
      <c r="I77" s="84">
        <v>4.8000000000000001E-2</v>
      </c>
      <c r="J77" s="84">
        <v>4.8499999999999995E-2</v>
      </c>
      <c r="K77" s="77">
        <v>1428000</v>
      </c>
      <c r="L77" s="79">
        <v>101.5573</v>
      </c>
      <c r="M77" s="77">
        <v>1450.5683700000002</v>
      </c>
      <c r="N77" s="70"/>
      <c r="O77" s="78">
        <f t="shared" si="1"/>
        <v>6.5892951513128793E-4</v>
      </c>
      <c r="P77" s="78">
        <f>M77/'סכום נכסי הקרן'!$C$42</f>
        <v>3.9980245413689328E-4</v>
      </c>
    </row>
    <row r="78" spans="2:16">
      <c r="B78" s="76" t="s">
        <v>1745</v>
      </c>
      <c r="C78" s="70" t="s">
        <v>1746</v>
      </c>
      <c r="D78" s="70" t="s">
        <v>264</v>
      </c>
      <c r="E78" s="70"/>
      <c r="F78" s="97">
        <v>43497</v>
      </c>
      <c r="G78" s="77">
        <v>9.9499999999999993</v>
      </c>
      <c r="H78" s="83" t="s">
        <v>160</v>
      </c>
      <c r="I78" s="84">
        <v>4.8000000000000001E-2</v>
      </c>
      <c r="J78" s="84">
        <v>4.8500000000000008E-2</v>
      </c>
      <c r="K78" s="77">
        <v>3809000</v>
      </c>
      <c r="L78" s="79">
        <v>101.9791</v>
      </c>
      <c r="M78" s="77">
        <v>3885.0346199999999</v>
      </c>
      <c r="N78" s="70"/>
      <c r="O78" s="78">
        <f t="shared" si="1"/>
        <v>1.7648006335784551E-3</v>
      </c>
      <c r="P78" s="78">
        <f>M78/'סכום נכסי הקרן'!$C$42</f>
        <v>1.0707846714476425E-3</v>
      </c>
    </row>
    <row r="79" spans="2:16">
      <c r="B79" s="76" t="s">
        <v>1747</v>
      </c>
      <c r="C79" s="70" t="s">
        <v>1748</v>
      </c>
      <c r="D79" s="70" t="s">
        <v>264</v>
      </c>
      <c r="E79" s="70"/>
      <c r="F79" s="97">
        <v>43525</v>
      </c>
      <c r="G79" s="77">
        <v>10.029999999999999</v>
      </c>
      <c r="H79" s="83" t="s">
        <v>160</v>
      </c>
      <c r="I79" s="84">
        <v>4.8000000000000001E-2</v>
      </c>
      <c r="J79" s="84">
        <v>4.8499999999999995E-2</v>
      </c>
      <c r="K79" s="77">
        <v>1767000</v>
      </c>
      <c r="L79" s="79">
        <v>101.5856</v>
      </c>
      <c r="M79" s="77">
        <v>1795.1626799999999</v>
      </c>
      <c r="N79" s="70"/>
      <c r="O79" s="78">
        <f t="shared" si="1"/>
        <v>8.1546357881371917E-4</v>
      </c>
      <c r="P79" s="78">
        <f>M79/'סכום נכסי הקרן'!$C$42</f>
        <v>4.9477877767248042E-4</v>
      </c>
    </row>
    <row r="80" spans="2:16">
      <c r="B80" s="76" t="s">
        <v>1749</v>
      </c>
      <c r="C80" s="70" t="s">
        <v>1750</v>
      </c>
      <c r="D80" s="70" t="s">
        <v>264</v>
      </c>
      <c r="E80" s="70"/>
      <c r="F80" s="97">
        <v>43556</v>
      </c>
      <c r="G80" s="77">
        <v>10.110000000000001</v>
      </c>
      <c r="H80" s="83" t="s">
        <v>160</v>
      </c>
      <c r="I80" s="84">
        <v>4.8000000000000001E-2</v>
      </c>
      <c r="J80" s="84">
        <v>4.8499999999999995E-2</v>
      </c>
      <c r="K80" s="77">
        <v>3008000</v>
      </c>
      <c r="L80" s="79">
        <v>101.193</v>
      </c>
      <c r="M80" s="77">
        <v>3043.8864800000001</v>
      </c>
      <c r="N80" s="70"/>
      <c r="O80" s="78">
        <f t="shared" si="1"/>
        <v>1.3827039689146693E-3</v>
      </c>
      <c r="P80" s="78">
        <f>M80/'סכום נכסי הקרן'!$C$42</f>
        <v>8.3894927670186917E-4</v>
      </c>
    </row>
    <row r="81" spans="2:16">
      <c r="B81" s="76" t="s">
        <v>1751</v>
      </c>
      <c r="C81" s="70" t="s">
        <v>1752</v>
      </c>
      <c r="D81" s="70" t="s">
        <v>264</v>
      </c>
      <c r="E81" s="70"/>
      <c r="F81" s="97">
        <v>43678</v>
      </c>
      <c r="G81" s="77">
        <v>10.199999999999999</v>
      </c>
      <c r="H81" s="83" t="s">
        <v>160</v>
      </c>
      <c r="I81" s="84">
        <v>4.8000000000000001E-2</v>
      </c>
      <c r="J81" s="84">
        <v>4.8499999999999995E-2</v>
      </c>
      <c r="K81" s="77">
        <v>15081000</v>
      </c>
      <c r="L81" s="79">
        <v>101.9962</v>
      </c>
      <c r="M81" s="77">
        <v>15382.044890000001</v>
      </c>
      <c r="N81" s="70"/>
      <c r="O81" s="78">
        <f t="shared" si="1"/>
        <v>6.9873875583647289E-3</v>
      </c>
      <c r="P81" s="78">
        <f>M81/'סכום נכסי הקרן'!$C$42</f>
        <v>4.2395652792745356E-3</v>
      </c>
    </row>
    <row r="82" spans="2:16">
      <c r="B82" s="76" t="s">
        <v>1753</v>
      </c>
      <c r="C82" s="70" t="s">
        <v>1754</v>
      </c>
      <c r="D82" s="70" t="s">
        <v>264</v>
      </c>
      <c r="E82" s="70"/>
      <c r="F82" s="97">
        <v>43831</v>
      </c>
      <c r="G82" s="77">
        <v>10.37</v>
      </c>
      <c r="H82" s="83" t="s">
        <v>160</v>
      </c>
      <c r="I82" s="84">
        <v>4.8000000000000001E-2</v>
      </c>
      <c r="J82" s="84">
        <v>4.8499999999999995E-2</v>
      </c>
      <c r="K82" s="77">
        <v>4040000</v>
      </c>
      <c r="L82" s="79">
        <v>102.4002</v>
      </c>
      <c r="M82" s="77">
        <v>4136.9661900000001</v>
      </c>
      <c r="N82" s="70"/>
      <c r="O82" s="78">
        <f t="shared" si="1"/>
        <v>1.8792420833574574E-3</v>
      </c>
      <c r="P82" s="78">
        <f>M82/'סכום נכסי הקרן'!$C$42</f>
        <v>1.1402214950015442E-3</v>
      </c>
    </row>
    <row r="83" spans="2:16">
      <c r="B83" s="76" t="s">
        <v>1755</v>
      </c>
      <c r="C83" s="70" t="s">
        <v>1756</v>
      </c>
      <c r="D83" s="70" t="s">
        <v>264</v>
      </c>
      <c r="E83" s="70"/>
      <c r="F83" s="97">
        <v>43863</v>
      </c>
      <c r="G83" s="77">
        <v>10.459999999999999</v>
      </c>
      <c r="H83" s="83" t="s">
        <v>160</v>
      </c>
      <c r="I83" s="84">
        <v>4.8000000000000001E-2</v>
      </c>
      <c r="J83" s="84">
        <v>4.8499999999999995E-2</v>
      </c>
      <c r="K83" s="77">
        <v>25347000</v>
      </c>
      <c r="L83" s="79">
        <v>101.9803</v>
      </c>
      <c r="M83" s="77">
        <v>25847.4666</v>
      </c>
      <c r="N83" s="70"/>
      <c r="O83" s="78">
        <f t="shared" si="1"/>
        <v>1.1741369098038554E-2</v>
      </c>
      <c r="P83" s="78">
        <f>M83/'סכום נכסי הקרן'!$C$42</f>
        <v>7.1240217239132127E-3</v>
      </c>
    </row>
    <row r="84" spans="2:16">
      <c r="B84" s="76" t="s">
        <v>1757</v>
      </c>
      <c r="C84" s="70" t="s">
        <v>1758</v>
      </c>
      <c r="D84" s="70" t="s">
        <v>264</v>
      </c>
      <c r="E84" s="70"/>
      <c r="F84" s="97">
        <v>40057</v>
      </c>
      <c r="G84" s="77">
        <v>3.7699999999999996</v>
      </c>
      <c r="H84" s="83" t="s">
        <v>160</v>
      </c>
      <c r="I84" s="84">
        <v>4.8000000000000001E-2</v>
      </c>
      <c r="J84" s="84">
        <v>4.8500000000000008E-2</v>
      </c>
      <c r="K84" s="77">
        <v>15840</v>
      </c>
      <c r="L84" s="79">
        <v>110.6665</v>
      </c>
      <c r="M84" s="77">
        <v>17.531200000000002</v>
      </c>
      <c r="N84" s="70"/>
      <c r="O84" s="78">
        <f t="shared" si="1"/>
        <v>7.963654354099583E-6</v>
      </c>
      <c r="P84" s="78">
        <f>M84/'סכום נכסי הקרן'!$C$42</f>
        <v>4.8319106695844357E-6</v>
      </c>
    </row>
    <row r="85" spans="2:16">
      <c r="B85" s="76" t="s">
        <v>1759</v>
      </c>
      <c r="C85" s="70" t="s">
        <v>1760</v>
      </c>
      <c r="D85" s="70" t="s">
        <v>264</v>
      </c>
      <c r="E85" s="70"/>
      <c r="F85" s="97">
        <v>39600</v>
      </c>
      <c r="G85" s="77">
        <v>2.75</v>
      </c>
      <c r="H85" s="83" t="s">
        <v>160</v>
      </c>
      <c r="I85" s="84">
        <v>4.8000000000000001E-2</v>
      </c>
      <c r="J85" s="84">
        <v>4.87E-2</v>
      </c>
      <c r="K85" s="77">
        <v>4784054</v>
      </c>
      <c r="L85" s="79">
        <v>115.3746</v>
      </c>
      <c r="M85" s="77">
        <v>5517.1638700000003</v>
      </c>
      <c r="N85" s="70"/>
      <c r="O85" s="78">
        <f t="shared" si="1"/>
        <v>2.50620528404253E-3</v>
      </c>
      <c r="P85" s="78">
        <f>M85/'סכום נכסי הקרן'!$C$42</f>
        <v>1.5206285348007412E-3</v>
      </c>
    </row>
    <row r="86" spans="2:16">
      <c r="B86" s="76" t="s">
        <v>1761</v>
      </c>
      <c r="C86" s="70" t="s">
        <v>1762</v>
      </c>
      <c r="D86" s="70" t="s">
        <v>264</v>
      </c>
      <c r="E86" s="70"/>
      <c r="F86" s="97">
        <v>39965</v>
      </c>
      <c r="G86" s="77">
        <v>3.61</v>
      </c>
      <c r="H86" s="83" t="s">
        <v>160</v>
      </c>
      <c r="I86" s="84">
        <v>4.8000000000000001E-2</v>
      </c>
      <c r="J86" s="84">
        <v>4.8500000000000008E-2</v>
      </c>
      <c r="K86" s="77">
        <v>7756077</v>
      </c>
      <c r="L86" s="79">
        <v>111.925</v>
      </c>
      <c r="M86" s="77">
        <v>8681.8602899999987</v>
      </c>
      <c r="N86" s="70"/>
      <c r="O86" s="78">
        <f t="shared" si="1"/>
        <v>3.9437879038595617E-3</v>
      </c>
      <c r="P86" s="78">
        <f>M86/'סכום נכסי הקרן'!$C$42</f>
        <v>2.392875180654628E-3</v>
      </c>
    </row>
    <row r="87" spans="2:16">
      <c r="B87" s="76" t="s">
        <v>1763</v>
      </c>
      <c r="C87" s="70" t="s">
        <v>1764</v>
      </c>
      <c r="D87" s="70" t="s">
        <v>264</v>
      </c>
      <c r="E87" s="70"/>
      <c r="F87" s="97">
        <v>39995</v>
      </c>
      <c r="G87" s="77">
        <v>3.609999999999999</v>
      </c>
      <c r="H87" s="83" t="s">
        <v>160</v>
      </c>
      <c r="I87" s="84">
        <v>4.8000000000000001E-2</v>
      </c>
      <c r="J87" s="84">
        <v>4.8499999999999995E-2</v>
      </c>
      <c r="K87" s="77">
        <v>3571000</v>
      </c>
      <c r="L87" s="79">
        <v>113.7131</v>
      </c>
      <c r="M87" s="77">
        <v>4060.9094500000001</v>
      </c>
      <c r="N87" s="70"/>
      <c r="O87" s="78">
        <f t="shared" si="1"/>
        <v>1.8446928460742356E-3</v>
      </c>
      <c r="P87" s="78">
        <f>M87/'סכום נכסי הקרן'!$C$42</f>
        <v>1.119258904106465E-3</v>
      </c>
    </row>
    <row r="88" spans="2:16">
      <c r="B88" s="76" t="s">
        <v>1765</v>
      </c>
      <c r="C88" s="70" t="s">
        <v>1766</v>
      </c>
      <c r="D88" s="70" t="s">
        <v>264</v>
      </c>
      <c r="E88" s="70"/>
      <c r="F88" s="97">
        <v>40027</v>
      </c>
      <c r="G88" s="77">
        <v>3.69</v>
      </c>
      <c r="H88" s="83" t="s">
        <v>160</v>
      </c>
      <c r="I88" s="84">
        <v>4.8000000000000001E-2</v>
      </c>
      <c r="J88" s="84">
        <v>4.8499999999999995E-2</v>
      </c>
      <c r="K88" s="77">
        <v>5717141</v>
      </c>
      <c r="L88" s="79">
        <v>112.27249999999999</v>
      </c>
      <c r="M88" s="77">
        <v>6419.1313700000001</v>
      </c>
      <c r="N88" s="70"/>
      <c r="O88" s="78">
        <f t="shared" si="1"/>
        <v>2.9159295133383747E-3</v>
      </c>
      <c r="P88" s="78">
        <f>M88/'סכום נכסי הקרן'!$C$42</f>
        <v>1.7692268273801653E-3</v>
      </c>
    </row>
    <row r="89" spans="2:16">
      <c r="B89" s="76" t="s">
        <v>1767</v>
      </c>
      <c r="C89" s="70" t="s">
        <v>1768</v>
      </c>
      <c r="D89" s="70" t="s">
        <v>264</v>
      </c>
      <c r="E89" s="70"/>
      <c r="F89" s="97">
        <v>40179</v>
      </c>
      <c r="G89" s="77">
        <v>4.01</v>
      </c>
      <c r="H89" s="83" t="s">
        <v>160</v>
      </c>
      <c r="I89" s="84">
        <v>4.8000000000000001E-2</v>
      </c>
      <c r="J89" s="84">
        <v>4.8499999999999995E-2</v>
      </c>
      <c r="K89" s="77">
        <v>2322000</v>
      </c>
      <c r="L89" s="79">
        <v>110.8023</v>
      </c>
      <c r="M89" s="77">
        <v>2572.8297200000002</v>
      </c>
      <c r="N89" s="70"/>
      <c r="O89" s="78">
        <f t="shared" si="1"/>
        <v>1.1687235672421059E-3</v>
      </c>
      <c r="P89" s="78">
        <f>M89/'סכום נכסי הקרן'!$C$42</f>
        <v>7.0911765167769097E-4</v>
      </c>
    </row>
    <row r="90" spans="2:16">
      <c r="B90" s="76" t="s">
        <v>1769</v>
      </c>
      <c r="C90" s="70" t="s">
        <v>1770</v>
      </c>
      <c r="D90" s="70" t="s">
        <v>264</v>
      </c>
      <c r="E90" s="70"/>
      <c r="F90" s="97">
        <v>40210</v>
      </c>
      <c r="G90" s="77">
        <v>4.0999999999999996</v>
      </c>
      <c r="H90" s="83" t="s">
        <v>160</v>
      </c>
      <c r="I90" s="84">
        <v>4.8000000000000001E-2</v>
      </c>
      <c r="J90" s="84">
        <v>4.8500000000000008E-2</v>
      </c>
      <c r="K90" s="77">
        <v>5987000</v>
      </c>
      <c r="L90" s="79">
        <v>110.36539999999999</v>
      </c>
      <c r="M90" s="77">
        <v>6607.5831100000005</v>
      </c>
      <c r="N90" s="70"/>
      <c r="O90" s="78">
        <f t="shared" si="1"/>
        <v>3.0015348637872112E-3</v>
      </c>
      <c r="P90" s="78">
        <f>M90/'סכום נכסי הקרן'!$C$42</f>
        <v>1.8211674802281021E-3</v>
      </c>
    </row>
    <row r="91" spans="2:16">
      <c r="B91" s="76" t="s">
        <v>1771</v>
      </c>
      <c r="C91" s="70" t="s">
        <v>1772</v>
      </c>
      <c r="D91" s="70" t="s">
        <v>264</v>
      </c>
      <c r="E91" s="70"/>
      <c r="F91" s="97">
        <v>40238</v>
      </c>
      <c r="G91" s="77">
        <v>4.1700000000000008</v>
      </c>
      <c r="H91" s="83" t="s">
        <v>160</v>
      </c>
      <c r="I91" s="84">
        <v>4.8000000000000001E-2</v>
      </c>
      <c r="J91" s="84">
        <v>4.8500000000000008E-2</v>
      </c>
      <c r="K91" s="77">
        <v>1288000</v>
      </c>
      <c r="L91" s="79">
        <v>110.6661</v>
      </c>
      <c r="M91" s="77">
        <v>1425.3673899999999</v>
      </c>
      <c r="N91" s="70"/>
      <c r="O91" s="78">
        <f t="shared" si="1"/>
        <v>6.4748181650800031E-4</v>
      </c>
      <c r="P91" s="78">
        <f>M91/'סכום נכסי הקרן'!$C$42</f>
        <v>3.9285661562350082E-4</v>
      </c>
    </row>
    <row r="92" spans="2:16">
      <c r="B92" s="76" t="s">
        <v>1773</v>
      </c>
      <c r="C92" s="70" t="s">
        <v>1774</v>
      </c>
      <c r="D92" s="70" t="s">
        <v>264</v>
      </c>
      <c r="E92" s="70"/>
      <c r="F92" s="97">
        <v>40360</v>
      </c>
      <c r="G92" s="77">
        <v>4.41</v>
      </c>
      <c r="H92" s="83" t="s">
        <v>160</v>
      </c>
      <c r="I92" s="84">
        <v>4.8000000000000001E-2</v>
      </c>
      <c r="J92" s="84">
        <v>4.8500000000000015E-2</v>
      </c>
      <c r="K92" s="77">
        <v>4867000</v>
      </c>
      <c r="L92" s="79">
        <v>110.3815</v>
      </c>
      <c r="M92" s="77">
        <v>5372.2672199999997</v>
      </c>
      <c r="N92" s="70"/>
      <c r="O92" s="78">
        <f t="shared" si="1"/>
        <v>2.4403850984495898E-3</v>
      </c>
      <c r="P92" s="78">
        <f>M92/'סכום נכסי הקרן'!$C$42</f>
        <v>1.4806924397746139E-3</v>
      </c>
    </row>
    <row r="93" spans="2:16">
      <c r="B93" s="76" t="s">
        <v>1775</v>
      </c>
      <c r="C93" s="70" t="s">
        <v>1776</v>
      </c>
      <c r="D93" s="70" t="s">
        <v>264</v>
      </c>
      <c r="E93" s="70"/>
      <c r="F93" s="97">
        <v>40422</v>
      </c>
      <c r="G93" s="77">
        <v>4.57</v>
      </c>
      <c r="H93" s="83" t="s">
        <v>160</v>
      </c>
      <c r="I93" s="84">
        <v>4.8000000000000001E-2</v>
      </c>
      <c r="J93" s="84">
        <v>4.8499999999999995E-2</v>
      </c>
      <c r="K93" s="77">
        <v>11362000</v>
      </c>
      <c r="L93" s="79">
        <v>108.6855</v>
      </c>
      <c r="M93" s="77">
        <v>12348.58973</v>
      </c>
      <c r="N93" s="70"/>
      <c r="O93" s="78">
        <f t="shared" si="1"/>
        <v>5.6094220800803072E-3</v>
      </c>
      <c r="P93" s="78">
        <f>M93/'סכום נכסי הקרן'!$C$42</f>
        <v>3.4034910599792241E-3</v>
      </c>
    </row>
    <row r="94" spans="2:16">
      <c r="B94" s="76" t="s">
        <v>1777</v>
      </c>
      <c r="C94" s="70" t="s">
        <v>1778</v>
      </c>
      <c r="D94" s="70" t="s">
        <v>264</v>
      </c>
      <c r="E94" s="70"/>
      <c r="F94" s="97">
        <v>40483</v>
      </c>
      <c r="G94" s="77">
        <v>4.74</v>
      </c>
      <c r="H94" s="83" t="s">
        <v>160</v>
      </c>
      <c r="I94" s="84">
        <v>4.8000000000000001E-2</v>
      </c>
      <c r="J94" s="84">
        <v>4.8499999999999995E-2</v>
      </c>
      <c r="K94" s="77">
        <v>4769000</v>
      </c>
      <c r="L94" s="79">
        <v>107.02509999999999</v>
      </c>
      <c r="M94" s="77">
        <v>5104.0274100000006</v>
      </c>
      <c r="N94" s="70"/>
      <c r="O94" s="78">
        <f t="shared" si="1"/>
        <v>2.3185355313435543E-3</v>
      </c>
      <c r="P94" s="78">
        <f>M94/'סכום נכסי הקרן'!$C$42</f>
        <v>1.4067607750884374E-3</v>
      </c>
    </row>
    <row r="95" spans="2:16">
      <c r="B95" s="76" t="s">
        <v>1779</v>
      </c>
      <c r="C95" s="70" t="s">
        <v>1780</v>
      </c>
      <c r="D95" s="70" t="s">
        <v>264</v>
      </c>
      <c r="E95" s="70"/>
      <c r="F95" s="97">
        <v>40513</v>
      </c>
      <c r="G95" s="77">
        <v>4.82</v>
      </c>
      <c r="H95" s="83" t="s">
        <v>160</v>
      </c>
      <c r="I95" s="84">
        <v>4.8000000000000001E-2</v>
      </c>
      <c r="J95" s="84">
        <v>4.8499999999999995E-2</v>
      </c>
      <c r="K95" s="77">
        <v>6258000</v>
      </c>
      <c r="L95" s="79">
        <v>106.3074</v>
      </c>
      <c r="M95" s="77">
        <v>6652.6734299999998</v>
      </c>
      <c r="N95" s="70"/>
      <c r="O95" s="78">
        <f t="shared" si="1"/>
        <v>3.0220174162192033E-3</v>
      </c>
      <c r="P95" s="78">
        <f>M95/'סכום נכסי הקרן'!$C$42</f>
        <v>1.8335951747557428E-3</v>
      </c>
    </row>
    <row r="96" spans="2:16">
      <c r="B96" s="76" t="s">
        <v>1781</v>
      </c>
      <c r="C96" s="70" t="s">
        <v>1782</v>
      </c>
      <c r="D96" s="70" t="s">
        <v>264</v>
      </c>
      <c r="E96" s="70"/>
      <c r="F96" s="97">
        <v>40544</v>
      </c>
      <c r="G96" s="77">
        <v>4.79</v>
      </c>
      <c r="H96" s="83" t="s">
        <v>160</v>
      </c>
      <c r="I96" s="84">
        <v>4.8000000000000001E-2</v>
      </c>
      <c r="J96" s="84">
        <v>4.8499999999999995E-2</v>
      </c>
      <c r="K96" s="77">
        <v>3197000</v>
      </c>
      <c r="L96" s="79">
        <v>108.3296</v>
      </c>
      <c r="M96" s="77">
        <v>3463.2972799999998</v>
      </c>
      <c r="N96" s="70"/>
      <c r="O96" s="78">
        <f t="shared" si="1"/>
        <v>1.5732238787654715E-3</v>
      </c>
      <c r="P96" s="78">
        <f>M96/'סכום נכסי הקרן'!$C$42</f>
        <v>9.5454635616356849E-4</v>
      </c>
    </row>
    <row r="97" spans="2:16">
      <c r="B97" s="76" t="s">
        <v>1783</v>
      </c>
      <c r="C97" s="70" t="s">
        <v>1784</v>
      </c>
      <c r="D97" s="70" t="s">
        <v>264</v>
      </c>
      <c r="E97" s="70"/>
      <c r="F97" s="97">
        <v>40603</v>
      </c>
      <c r="G97" s="77">
        <v>4.95</v>
      </c>
      <c r="H97" s="83" t="s">
        <v>160</v>
      </c>
      <c r="I97" s="84">
        <v>4.8000000000000001E-2</v>
      </c>
      <c r="J97" s="84">
        <v>4.8499999999999995E-2</v>
      </c>
      <c r="K97" s="77">
        <v>99173000</v>
      </c>
      <c r="L97" s="79">
        <v>106.8587</v>
      </c>
      <c r="M97" s="77">
        <v>105975.70856999999</v>
      </c>
      <c r="N97" s="70"/>
      <c r="O97" s="78">
        <f t="shared" si="1"/>
        <v>4.8140110944046542E-2</v>
      </c>
      <c r="P97" s="78">
        <f>M97/'סכום נכסי הקרן'!$C$42</f>
        <v>2.9208791010093639E-2</v>
      </c>
    </row>
    <row r="98" spans="2:16">
      <c r="B98" s="76" t="s">
        <v>1785</v>
      </c>
      <c r="C98" s="70" t="s">
        <v>1786</v>
      </c>
      <c r="D98" s="70" t="s">
        <v>264</v>
      </c>
      <c r="E98" s="70"/>
      <c r="F98" s="97">
        <v>40664</v>
      </c>
      <c r="G98" s="77">
        <v>5.12</v>
      </c>
      <c r="H98" s="83" t="s">
        <v>160</v>
      </c>
      <c r="I98" s="84">
        <v>4.8000000000000001E-2</v>
      </c>
      <c r="J98" s="84">
        <v>4.8499999999999995E-2</v>
      </c>
      <c r="K98" s="77">
        <v>138000</v>
      </c>
      <c r="L98" s="79">
        <v>105.504</v>
      </c>
      <c r="M98" s="77">
        <v>145.59648000000001</v>
      </c>
      <c r="N98" s="70"/>
      <c r="O98" s="78">
        <f t="shared" si="1"/>
        <v>6.613808763196887E-5</v>
      </c>
      <c r="P98" s="78">
        <f>M98/'סכום נכסי הקרן'!$C$42</f>
        <v>4.0128980626878757E-5</v>
      </c>
    </row>
    <row r="99" spans="2:16">
      <c r="B99" s="76" t="s">
        <v>1787</v>
      </c>
      <c r="C99" s="70" t="s">
        <v>1788</v>
      </c>
      <c r="D99" s="70" t="s">
        <v>264</v>
      </c>
      <c r="E99" s="70"/>
      <c r="F99" s="97">
        <v>40756</v>
      </c>
      <c r="G99" s="77">
        <v>5.25</v>
      </c>
      <c r="H99" s="83" t="s">
        <v>160</v>
      </c>
      <c r="I99" s="84">
        <v>4.8000000000000001E-2</v>
      </c>
      <c r="J99" s="84">
        <v>4.8499999999999988E-2</v>
      </c>
      <c r="K99" s="77">
        <v>71597000</v>
      </c>
      <c r="L99" s="79">
        <v>105.2178</v>
      </c>
      <c r="M99" s="77">
        <v>75332.657340000005</v>
      </c>
      <c r="N99" s="70"/>
      <c r="O99" s="78">
        <f t="shared" si="1"/>
        <v>3.4220318325704054E-2</v>
      </c>
      <c r="P99" s="78">
        <f>M99/'סכום נכסי הקרן'!$C$42</f>
        <v>2.0763020829680467E-2</v>
      </c>
    </row>
    <row r="100" spans="2:16">
      <c r="B100" s="76" t="s">
        <v>1789</v>
      </c>
      <c r="C100" s="70" t="s">
        <v>1790</v>
      </c>
      <c r="D100" s="70" t="s">
        <v>264</v>
      </c>
      <c r="E100" s="70"/>
      <c r="F100" s="97">
        <v>40848</v>
      </c>
      <c r="G100" s="77">
        <v>5.5</v>
      </c>
      <c r="H100" s="83" t="s">
        <v>160</v>
      </c>
      <c r="I100" s="84">
        <v>4.8000000000000001E-2</v>
      </c>
      <c r="J100" s="84">
        <v>4.8499999999999995E-2</v>
      </c>
      <c r="K100" s="77">
        <v>206678000</v>
      </c>
      <c r="L100" s="79">
        <v>103.979</v>
      </c>
      <c r="M100" s="77">
        <v>214901.85889999999</v>
      </c>
      <c r="N100" s="70"/>
      <c r="O100" s="78">
        <f t="shared" si="1"/>
        <v>9.7620478023927565E-2</v>
      </c>
      <c r="P100" s="78">
        <f>M100/'סכום נכסי הקרן'!$C$42</f>
        <v>5.9230776269304938E-2</v>
      </c>
    </row>
    <row r="101" spans="2:16">
      <c r="B101" s="76" t="s">
        <v>1791</v>
      </c>
      <c r="C101" s="70" t="s">
        <v>1792</v>
      </c>
      <c r="D101" s="70" t="s">
        <v>264</v>
      </c>
      <c r="E101" s="70"/>
      <c r="F101" s="97">
        <v>40940</v>
      </c>
      <c r="G101" s="77">
        <v>5.6199999999999992</v>
      </c>
      <c r="H101" s="83" t="s">
        <v>160</v>
      </c>
      <c r="I101" s="84">
        <v>4.8000000000000001E-2</v>
      </c>
      <c r="J101" s="84">
        <v>4.8499999999999995E-2</v>
      </c>
      <c r="K101" s="77">
        <v>258650000</v>
      </c>
      <c r="L101" s="79">
        <v>105.2276</v>
      </c>
      <c r="M101" s="77">
        <v>272171.11116000003</v>
      </c>
      <c r="N101" s="70"/>
      <c r="O101" s="78">
        <f t="shared" si="1"/>
        <v>0.12363538459714427</v>
      </c>
      <c r="P101" s="78">
        <f>M101/'סכום נכסי הקרן'!$C$42</f>
        <v>7.5015201239313642E-2</v>
      </c>
    </row>
    <row r="102" spans="2:16">
      <c r="B102" s="76" t="s">
        <v>1793</v>
      </c>
      <c r="C102" s="70" t="s">
        <v>1794</v>
      </c>
      <c r="D102" s="70" t="s">
        <v>264</v>
      </c>
      <c r="E102" s="70"/>
      <c r="F102" s="97">
        <v>40969</v>
      </c>
      <c r="G102" s="77">
        <v>5.7</v>
      </c>
      <c r="H102" s="83" t="s">
        <v>160</v>
      </c>
      <c r="I102" s="84">
        <v>4.8000000000000001E-2</v>
      </c>
      <c r="J102" s="84">
        <v>4.8600000000000011E-2</v>
      </c>
      <c r="K102" s="77">
        <v>146134000</v>
      </c>
      <c r="L102" s="79">
        <v>104.7942</v>
      </c>
      <c r="M102" s="77">
        <v>153144.2666</v>
      </c>
      <c r="N102" s="70"/>
      <c r="O102" s="78">
        <f t="shared" si="1"/>
        <v>6.9566715656342815E-2</v>
      </c>
      <c r="P102" s="78">
        <f>M102/'סכום נכסי הקרן'!$C$42</f>
        <v>4.2209284918900206E-2</v>
      </c>
    </row>
    <row r="103" spans="2:16">
      <c r="B103" s="76" t="s">
        <v>1795</v>
      </c>
      <c r="C103" s="70">
        <v>8789</v>
      </c>
      <c r="D103" s="70" t="s">
        <v>264</v>
      </c>
      <c r="E103" s="70"/>
      <c r="F103" s="97">
        <v>41000</v>
      </c>
      <c r="G103" s="77">
        <v>5.78</v>
      </c>
      <c r="H103" s="83" t="s">
        <v>160</v>
      </c>
      <c r="I103" s="84">
        <v>4.8000000000000001E-2</v>
      </c>
      <c r="J103" s="84">
        <v>4.8500000000000008E-2</v>
      </c>
      <c r="K103" s="77">
        <v>84207000</v>
      </c>
      <c r="L103" s="79">
        <v>104.39149999999999</v>
      </c>
      <c r="M103" s="77">
        <v>87904.845050000004</v>
      </c>
      <c r="N103" s="70"/>
      <c r="O103" s="78">
        <f t="shared" si="1"/>
        <v>3.9931311149771928E-2</v>
      </c>
      <c r="P103" s="78">
        <f>M103/'סכום נכסי הקרן'!$C$42</f>
        <v>2.4228139471642644E-2</v>
      </c>
    </row>
    <row r="104" spans="2:16">
      <c r="B104" s="76" t="s">
        <v>1796</v>
      </c>
      <c r="C104" s="70" t="s">
        <v>1797</v>
      </c>
      <c r="D104" s="70" t="s">
        <v>264</v>
      </c>
      <c r="E104" s="70"/>
      <c r="F104" s="97">
        <v>41640</v>
      </c>
      <c r="G104" s="77">
        <v>6.9200000000000008</v>
      </c>
      <c r="H104" s="83" t="s">
        <v>160</v>
      </c>
      <c r="I104" s="84">
        <v>4.8000000000000001E-2</v>
      </c>
      <c r="J104" s="84">
        <v>4.8500000000000008E-2</v>
      </c>
      <c r="K104" s="77">
        <v>1888000</v>
      </c>
      <c r="L104" s="79">
        <v>102.3909</v>
      </c>
      <c r="M104" s="77">
        <v>1933.1411900000001</v>
      </c>
      <c r="N104" s="70"/>
      <c r="O104" s="78">
        <f t="shared" si="1"/>
        <v>8.7814115718449094E-4</v>
      </c>
      <c r="P104" s="78">
        <f>M104/'סכום נכסי הקרן'!$C$42</f>
        <v>5.328081102134567E-4</v>
      </c>
    </row>
    <row r="108" spans="2:16">
      <c r="B108" s="85" t="s">
        <v>108</v>
      </c>
    </row>
    <row r="109" spans="2:16">
      <c r="B109" s="85" t="s">
        <v>234</v>
      </c>
    </row>
    <row r="110" spans="2:16">
      <c r="B110" s="85" t="s">
        <v>242</v>
      </c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>
      <selection activeCell="P11" sqref="P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47" t="s">
        <v>175</v>
      </c>
      <c r="C1" s="68" t="s" vm="1">
        <v>259</v>
      </c>
    </row>
    <row r="2" spans="2:65">
      <c r="B2" s="47" t="s">
        <v>174</v>
      </c>
      <c r="C2" s="68" t="s">
        <v>260</v>
      </c>
    </row>
    <row r="3" spans="2:65">
      <c r="B3" s="47" t="s">
        <v>176</v>
      </c>
      <c r="C3" s="68" t="s">
        <v>261</v>
      </c>
    </row>
    <row r="4" spans="2:65">
      <c r="B4" s="47" t="s">
        <v>177</v>
      </c>
      <c r="C4" s="68">
        <v>2207</v>
      </c>
    </row>
    <row r="6" spans="2:65" ht="26.25" customHeight="1">
      <c r="B6" s="126" t="s">
        <v>206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8"/>
    </row>
    <row r="7" spans="2:65" ht="26.25" customHeight="1">
      <c r="B7" s="126" t="s">
        <v>86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8"/>
    </row>
    <row r="8" spans="2:65" s="3" customFormat="1" ht="78.75">
      <c r="B8" s="22" t="s">
        <v>112</v>
      </c>
      <c r="C8" s="30" t="s">
        <v>43</v>
      </c>
      <c r="D8" s="30" t="s">
        <v>114</v>
      </c>
      <c r="E8" s="30" t="s">
        <v>113</v>
      </c>
      <c r="F8" s="30" t="s">
        <v>63</v>
      </c>
      <c r="G8" s="30" t="s">
        <v>14</v>
      </c>
      <c r="H8" s="30" t="s">
        <v>64</v>
      </c>
      <c r="I8" s="30" t="s">
        <v>100</v>
      </c>
      <c r="J8" s="30" t="s">
        <v>17</v>
      </c>
      <c r="K8" s="30" t="s">
        <v>99</v>
      </c>
      <c r="L8" s="30" t="s">
        <v>16</v>
      </c>
      <c r="M8" s="59" t="s">
        <v>18</v>
      </c>
      <c r="N8" s="30" t="s">
        <v>236</v>
      </c>
      <c r="O8" s="30" t="s">
        <v>235</v>
      </c>
      <c r="P8" s="30" t="s">
        <v>107</v>
      </c>
      <c r="Q8" s="30" t="s">
        <v>57</v>
      </c>
      <c r="R8" s="30" t="s">
        <v>178</v>
      </c>
      <c r="S8" s="31" t="s">
        <v>180</v>
      </c>
      <c r="U8" s="1"/>
      <c r="BJ8" s="1"/>
    </row>
    <row r="9" spans="2:65" s="3" customFormat="1" ht="17.2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243</v>
      </c>
      <c r="O9" s="32"/>
      <c r="P9" s="32" t="s">
        <v>239</v>
      </c>
      <c r="Q9" s="32" t="s">
        <v>19</v>
      </c>
      <c r="R9" s="32" t="s">
        <v>19</v>
      </c>
      <c r="S9" s="33" t="s">
        <v>19</v>
      </c>
      <c r="BJ9" s="1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109</v>
      </c>
      <c r="R10" s="19" t="s">
        <v>110</v>
      </c>
      <c r="S10" s="20" t="s">
        <v>181</v>
      </c>
      <c r="T10" s="5"/>
      <c r="BJ10" s="1"/>
    </row>
    <row r="11" spans="2:65" s="4" customFormat="1" ht="18" customHeight="1"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109">
        <v>0</v>
      </c>
      <c r="Q11" s="69"/>
      <c r="R11" s="69"/>
      <c r="S11" s="69"/>
      <c r="T11" s="5"/>
      <c r="BJ11" s="1"/>
      <c r="BM11" s="1"/>
    </row>
    <row r="12" spans="2:65" ht="20.25" customHeight="1">
      <c r="B12" s="85" t="s">
        <v>251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</row>
    <row r="13" spans="2:65">
      <c r="B13" s="85" t="s">
        <v>108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</row>
    <row r="14" spans="2:65">
      <c r="B14" s="85" t="s">
        <v>234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</row>
    <row r="15" spans="2:65">
      <c r="B15" s="85" t="s">
        <v>242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</row>
    <row r="16" spans="2:65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</row>
    <row r="17" spans="2:19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</row>
    <row r="18" spans="2:19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</row>
    <row r="19" spans="2:19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</row>
    <row r="20" spans="2:19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</row>
    <row r="21" spans="2:19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</row>
    <row r="22" spans="2:19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</row>
    <row r="23" spans="2:19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19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</row>
    <row r="25" spans="2:19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</row>
    <row r="26" spans="2:19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</row>
    <row r="27" spans="2:19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</row>
    <row r="28" spans="2:19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</row>
    <row r="29" spans="2:19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</row>
    <row r="30" spans="2:19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</row>
    <row r="31" spans="2:19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</row>
    <row r="32" spans="2:19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</row>
    <row r="33" spans="2:19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</row>
    <row r="34" spans="2:19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</row>
    <row r="35" spans="2:19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</row>
    <row r="36" spans="2:19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</row>
    <row r="37" spans="2:19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</row>
    <row r="38" spans="2:19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</row>
    <row r="39" spans="2:19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</row>
    <row r="40" spans="2:19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19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</row>
    <row r="42" spans="2:19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</row>
    <row r="43" spans="2:19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</row>
    <row r="44" spans="2:19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</row>
    <row r="45" spans="2:19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</row>
    <row r="46" spans="2:19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</row>
    <row r="47" spans="2:19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</row>
    <row r="48" spans="2:19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</row>
    <row r="49" spans="2:19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</row>
    <row r="50" spans="2:19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</row>
    <row r="51" spans="2:19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</row>
    <row r="52" spans="2:19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</row>
    <row r="53" spans="2:19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</row>
    <row r="54" spans="2:19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</row>
    <row r="55" spans="2:19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</row>
    <row r="56" spans="2:19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</row>
    <row r="57" spans="2:19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</row>
    <row r="58" spans="2:19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19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</row>
    <row r="60" spans="2:19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</row>
    <row r="61" spans="2:19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</row>
    <row r="62" spans="2:19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</row>
    <row r="63" spans="2:19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</row>
    <row r="64" spans="2:19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</row>
    <row r="65" spans="2:19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</row>
    <row r="66" spans="2:19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</row>
    <row r="67" spans="2:19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</row>
    <row r="68" spans="2:19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</row>
    <row r="69" spans="2:19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</row>
    <row r="70" spans="2:19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</row>
    <row r="71" spans="2:19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</row>
    <row r="72" spans="2:19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</row>
    <row r="73" spans="2:19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</row>
    <row r="74" spans="2:19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</row>
    <row r="75" spans="2:19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</row>
    <row r="76" spans="2:19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</row>
    <row r="77" spans="2:19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</row>
    <row r="78" spans="2:19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</row>
    <row r="79" spans="2:19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</row>
    <row r="80" spans="2:19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</row>
    <row r="81" spans="2:19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</row>
    <row r="82" spans="2:19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</row>
    <row r="83" spans="2:19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</row>
    <row r="84" spans="2:19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</row>
    <row r="85" spans="2:19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</row>
    <row r="86" spans="2:19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</row>
    <row r="87" spans="2:19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</row>
    <row r="88" spans="2:19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</row>
    <row r="89" spans="2:19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</row>
    <row r="90" spans="2:19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</row>
    <row r="91" spans="2:19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</row>
    <row r="92" spans="2:19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</row>
    <row r="93" spans="2:19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</row>
    <row r="94" spans="2:19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</row>
    <row r="95" spans="2:19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</row>
    <row r="96" spans="2:19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</row>
    <row r="97" spans="2:19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</row>
    <row r="98" spans="2:19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</row>
    <row r="99" spans="2:19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</row>
    <row r="100" spans="2:19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</row>
    <row r="101" spans="2:19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</row>
    <row r="102" spans="2:19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</row>
    <row r="103" spans="2:19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</row>
    <row r="104" spans="2:19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</row>
    <row r="105" spans="2:19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</row>
    <row r="106" spans="2:19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</row>
    <row r="107" spans="2:19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</row>
    <row r="108" spans="2:19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</row>
    <row r="109" spans="2:19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</row>
    <row r="110" spans="2:19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2"/>
      <c r="D398" s="1"/>
      <c r="E398" s="1"/>
      <c r="F398" s="1"/>
    </row>
    <row r="399" spans="2:6">
      <c r="B399" s="42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AH32:XFD35 D36:XFD1048576 D32:AF35 D1:O31 Q1:XFD31 P1:P10 P12:P31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zoomScale="90" zoomScaleNormal="90" workbookViewId="0">
      <selection activeCell="D40" sqref="D40"/>
    </sheetView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38.28515625" style="2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9.140625" style="1" bestFit="1" customWidth="1"/>
    <col min="14" max="14" width="14.28515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47" t="s">
        <v>175</v>
      </c>
      <c r="C1" s="68" t="s" vm="1">
        <v>259</v>
      </c>
    </row>
    <row r="2" spans="2:81">
      <c r="B2" s="47" t="s">
        <v>174</v>
      </c>
      <c r="C2" s="68" t="s">
        <v>260</v>
      </c>
    </row>
    <row r="3" spans="2:81">
      <c r="B3" s="47" t="s">
        <v>176</v>
      </c>
      <c r="C3" s="68" t="s">
        <v>261</v>
      </c>
    </row>
    <row r="4" spans="2:81">
      <c r="B4" s="47" t="s">
        <v>177</v>
      </c>
      <c r="C4" s="68">
        <v>2207</v>
      </c>
    </row>
    <row r="6" spans="2:81" ht="26.25" customHeight="1">
      <c r="B6" s="126" t="s">
        <v>206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8"/>
    </row>
    <row r="7" spans="2:81" ht="26.25" customHeight="1">
      <c r="B7" s="126" t="s">
        <v>87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8"/>
    </row>
    <row r="8" spans="2:81" s="3" customFormat="1" ht="78.75">
      <c r="B8" s="22" t="s">
        <v>112</v>
      </c>
      <c r="C8" s="30" t="s">
        <v>43</v>
      </c>
      <c r="D8" s="30" t="s">
        <v>114</v>
      </c>
      <c r="E8" s="30" t="s">
        <v>113</v>
      </c>
      <c r="F8" s="30" t="s">
        <v>63</v>
      </c>
      <c r="G8" s="30" t="s">
        <v>14</v>
      </c>
      <c r="H8" s="30" t="s">
        <v>64</v>
      </c>
      <c r="I8" s="30" t="s">
        <v>100</v>
      </c>
      <c r="J8" s="30" t="s">
        <v>17</v>
      </c>
      <c r="K8" s="30" t="s">
        <v>99</v>
      </c>
      <c r="L8" s="30" t="s">
        <v>16</v>
      </c>
      <c r="M8" s="59" t="s">
        <v>18</v>
      </c>
      <c r="N8" s="59" t="s">
        <v>236</v>
      </c>
      <c r="O8" s="30" t="s">
        <v>235</v>
      </c>
      <c r="P8" s="30" t="s">
        <v>107</v>
      </c>
      <c r="Q8" s="30" t="s">
        <v>57</v>
      </c>
      <c r="R8" s="30" t="s">
        <v>178</v>
      </c>
      <c r="S8" s="31" t="s">
        <v>180</v>
      </c>
      <c r="U8" s="1"/>
      <c r="BZ8" s="1"/>
    </row>
    <row r="9" spans="2:81" s="3" customFormat="1" ht="27.7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243</v>
      </c>
      <c r="O9" s="32"/>
      <c r="P9" s="32" t="s">
        <v>239</v>
      </c>
      <c r="Q9" s="32" t="s">
        <v>19</v>
      </c>
      <c r="R9" s="32" t="s">
        <v>19</v>
      </c>
      <c r="S9" s="33" t="s">
        <v>19</v>
      </c>
      <c r="BZ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109</v>
      </c>
      <c r="R10" s="19" t="s">
        <v>110</v>
      </c>
      <c r="S10" s="20" t="s">
        <v>181</v>
      </c>
      <c r="T10" s="5"/>
      <c r="BZ10" s="1"/>
    </row>
    <row r="11" spans="2:81" s="4" customFormat="1" ht="18" customHeight="1">
      <c r="B11" s="98" t="s">
        <v>50</v>
      </c>
      <c r="C11" s="88"/>
      <c r="D11" s="88"/>
      <c r="E11" s="88"/>
      <c r="F11" s="88"/>
      <c r="G11" s="88"/>
      <c r="H11" s="88"/>
      <c r="I11" s="88"/>
      <c r="J11" s="92">
        <v>6.302510422655657</v>
      </c>
      <c r="K11" s="88"/>
      <c r="L11" s="88"/>
      <c r="M11" s="93">
        <v>1.6335433690715686E-2</v>
      </c>
      <c r="N11" s="90"/>
      <c r="O11" s="92"/>
      <c r="P11" s="90">
        <v>54516.722389999995</v>
      </c>
      <c r="Q11" s="88"/>
      <c r="R11" s="93">
        <f>P11/$P$11</f>
        <v>1</v>
      </c>
      <c r="S11" s="93">
        <f>P11/'סכום נכסי הקרן'!$C$42</f>
        <v>1.5025778759412569E-2</v>
      </c>
      <c r="T11" s="5"/>
      <c r="BZ11" s="1"/>
      <c r="CC11" s="1"/>
    </row>
    <row r="12" spans="2:81" ht="17.25" customHeight="1">
      <c r="B12" s="99" t="s">
        <v>229</v>
      </c>
      <c r="C12" s="72"/>
      <c r="D12" s="72"/>
      <c r="E12" s="72"/>
      <c r="F12" s="72"/>
      <c r="G12" s="72"/>
      <c r="H12" s="72"/>
      <c r="I12" s="72"/>
      <c r="J12" s="82">
        <v>6.2467287264312761</v>
      </c>
      <c r="K12" s="72"/>
      <c r="L12" s="72"/>
      <c r="M12" s="81">
        <v>1.5868090560157918E-2</v>
      </c>
      <c r="N12" s="80"/>
      <c r="O12" s="82"/>
      <c r="P12" s="80">
        <v>52430.613519999992</v>
      </c>
      <c r="Q12" s="72"/>
      <c r="R12" s="81">
        <f t="shared" ref="R12:R21" si="0">P12/$P$11</f>
        <v>0.96173451413537914</v>
      </c>
      <c r="S12" s="81">
        <f>P12/'סכום נכסי הקרן'!$C$42</f>
        <v>1.4450810034689348E-2</v>
      </c>
    </row>
    <row r="13" spans="2:81">
      <c r="B13" s="100" t="s">
        <v>58</v>
      </c>
      <c r="C13" s="72"/>
      <c r="D13" s="72"/>
      <c r="E13" s="72"/>
      <c r="F13" s="72"/>
      <c r="G13" s="72"/>
      <c r="H13" s="72"/>
      <c r="I13" s="72"/>
      <c r="J13" s="82">
        <v>7.6734873785768078</v>
      </c>
      <c r="K13" s="72"/>
      <c r="L13" s="72"/>
      <c r="M13" s="81">
        <v>1.0548524490095636E-2</v>
      </c>
      <c r="N13" s="80"/>
      <c r="O13" s="82"/>
      <c r="P13" s="80">
        <v>33645.021529999998</v>
      </c>
      <c r="Q13" s="72"/>
      <c r="R13" s="81">
        <f t="shared" si="0"/>
        <v>0.61715048254939675</v>
      </c>
      <c r="S13" s="81">
        <f>P13/'סכום נכסי הקרן'!$C$42</f>
        <v>9.2731666120519432E-3</v>
      </c>
    </row>
    <row r="14" spans="2:81">
      <c r="B14" s="101" t="s">
        <v>1798</v>
      </c>
      <c r="C14" s="70" t="s">
        <v>1799</v>
      </c>
      <c r="D14" s="83" t="s">
        <v>1800</v>
      </c>
      <c r="E14" s="70" t="s">
        <v>326</v>
      </c>
      <c r="F14" s="83" t="s">
        <v>152</v>
      </c>
      <c r="G14" s="70" t="s">
        <v>290</v>
      </c>
      <c r="H14" s="70" t="s">
        <v>291</v>
      </c>
      <c r="I14" s="97">
        <v>39076</v>
      </c>
      <c r="J14" s="79">
        <v>7.5</v>
      </c>
      <c r="K14" s="83" t="s">
        <v>160</v>
      </c>
      <c r="L14" s="84">
        <v>4.9000000000000002E-2</v>
      </c>
      <c r="M14" s="78">
        <v>7.4000000000000012E-3</v>
      </c>
      <c r="N14" s="77">
        <v>2339669</v>
      </c>
      <c r="O14" s="79">
        <v>164.46</v>
      </c>
      <c r="P14" s="77">
        <v>3847.8195699999997</v>
      </c>
      <c r="Q14" s="78">
        <v>1.1918261572986535E-3</v>
      </c>
      <c r="R14" s="78">
        <f t="shared" si="0"/>
        <v>7.0580537517893879E-2</v>
      </c>
      <c r="S14" s="78">
        <f>P14/'סכום נכסי הקרן'!$C$42</f>
        <v>1.0605275414642917E-3</v>
      </c>
    </row>
    <row r="15" spans="2:81">
      <c r="B15" s="101" t="s">
        <v>1801</v>
      </c>
      <c r="C15" s="70" t="s">
        <v>1802</v>
      </c>
      <c r="D15" s="83" t="s">
        <v>1800</v>
      </c>
      <c r="E15" s="70" t="s">
        <v>326</v>
      </c>
      <c r="F15" s="83" t="s">
        <v>152</v>
      </c>
      <c r="G15" s="70" t="s">
        <v>290</v>
      </c>
      <c r="H15" s="70" t="s">
        <v>291</v>
      </c>
      <c r="I15" s="97">
        <v>40738</v>
      </c>
      <c r="J15" s="79">
        <v>11.43</v>
      </c>
      <c r="K15" s="83" t="s">
        <v>160</v>
      </c>
      <c r="L15" s="84">
        <v>4.0999999999999995E-2</v>
      </c>
      <c r="M15" s="78">
        <v>1.2800000000000001E-2</v>
      </c>
      <c r="N15" s="77">
        <v>11259912.859999999</v>
      </c>
      <c r="O15" s="79">
        <v>143.93</v>
      </c>
      <c r="P15" s="77">
        <v>16206.393</v>
      </c>
      <c r="Q15" s="78">
        <v>2.673111169748292E-3</v>
      </c>
      <c r="R15" s="78">
        <f t="shared" si="0"/>
        <v>0.29727379581008595</v>
      </c>
      <c r="S15" s="78">
        <f>P15/'סכום נכסי הקרן'!$C$42</f>
        <v>4.4667702868131393E-3</v>
      </c>
    </row>
    <row r="16" spans="2:81">
      <c r="B16" s="101" t="s">
        <v>1803</v>
      </c>
      <c r="C16" s="70" t="s">
        <v>1804</v>
      </c>
      <c r="D16" s="83" t="s">
        <v>1800</v>
      </c>
      <c r="E16" s="70" t="s">
        <v>1805</v>
      </c>
      <c r="F16" s="83" t="s">
        <v>152</v>
      </c>
      <c r="G16" s="70" t="s">
        <v>290</v>
      </c>
      <c r="H16" s="70" t="s">
        <v>291</v>
      </c>
      <c r="I16" s="97">
        <v>38918</v>
      </c>
      <c r="J16" s="79">
        <v>0.61999999999999988</v>
      </c>
      <c r="K16" s="83" t="s">
        <v>160</v>
      </c>
      <c r="L16" s="84">
        <v>0.05</v>
      </c>
      <c r="M16" s="78">
        <v>5.0999999999999986E-3</v>
      </c>
      <c r="N16" s="77">
        <v>1914.44</v>
      </c>
      <c r="O16" s="79">
        <v>122.05</v>
      </c>
      <c r="P16" s="77">
        <v>2.33657</v>
      </c>
      <c r="Q16" s="78">
        <v>2.4918885801282806E-4</v>
      </c>
      <c r="R16" s="78">
        <f t="shared" si="0"/>
        <v>4.2859693275115108E-5</v>
      </c>
      <c r="S16" s="78">
        <f>P16/'סכום נכסי הקרן'!$C$42</f>
        <v>6.4400026884816238E-7</v>
      </c>
    </row>
    <row r="17" spans="2:19">
      <c r="B17" s="101" t="s">
        <v>1806</v>
      </c>
      <c r="C17" s="70" t="s">
        <v>1807</v>
      </c>
      <c r="D17" s="83" t="s">
        <v>1800</v>
      </c>
      <c r="E17" s="70" t="s">
        <v>1808</v>
      </c>
      <c r="F17" s="83" t="s">
        <v>1074</v>
      </c>
      <c r="G17" s="70" t="s">
        <v>305</v>
      </c>
      <c r="H17" s="70" t="s">
        <v>156</v>
      </c>
      <c r="I17" s="97">
        <v>42795</v>
      </c>
      <c r="J17" s="79">
        <v>6.81</v>
      </c>
      <c r="K17" s="83" t="s">
        <v>160</v>
      </c>
      <c r="L17" s="84">
        <v>2.1400000000000002E-2</v>
      </c>
      <c r="M17" s="78">
        <v>5.3E-3</v>
      </c>
      <c r="N17" s="77">
        <v>3124000</v>
      </c>
      <c r="O17" s="79">
        <v>113.35</v>
      </c>
      <c r="P17" s="77">
        <v>3541.0541800000001</v>
      </c>
      <c r="Q17" s="78">
        <v>1.2031766328000432E-2</v>
      </c>
      <c r="R17" s="78">
        <f t="shared" si="0"/>
        <v>6.4953541312849278E-2</v>
      </c>
      <c r="S17" s="78">
        <f>P17/'סכום נכסי הקרן'!$C$42</f>
        <v>9.7597754140723756E-4</v>
      </c>
    </row>
    <row r="18" spans="2:19">
      <c r="B18" s="101" t="s">
        <v>1809</v>
      </c>
      <c r="C18" s="70" t="s">
        <v>1810</v>
      </c>
      <c r="D18" s="83" t="s">
        <v>1800</v>
      </c>
      <c r="E18" s="70" t="s">
        <v>363</v>
      </c>
      <c r="F18" s="83" t="s">
        <v>152</v>
      </c>
      <c r="G18" s="70" t="s">
        <v>340</v>
      </c>
      <c r="H18" s="70" t="s">
        <v>156</v>
      </c>
      <c r="I18" s="97">
        <v>39084</v>
      </c>
      <c r="J18" s="79">
        <v>3.54</v>
      </c>
      <c r="K18" s="83" t="s">
        <v>160</v>
      </c>
      <c r="L18" s="84">
        <v>5.5999999999999994E-2</v>
      </c>
      <c r="M18" s="78">
        <v>2E-3</v>
      </c>
      <c r="N18" s="77">
        <v>661882.1</v>
      </c>
      <c r="O18" s="79">
        <v>145.07</v>
      </c>
      <c r="P18" s="77">
        <v>960.19231000000002</v>
      </c>
      <c r="Q18" s="78">
        <v>9.3657501253359172E-4</v>
      </c>
      <c r="R18" s="78">
        <f t="shared" si="0"/>
        <v>1.7612803336396615E-2</v>
      </c>
      <c r="S18" s="78">
        <f>P18/'סכום נכסי הקרן'!$C$42</f>
        <v>2.6464608626573913E-4</v>
      </c>
    </row>
    <row r="19" spans="2:19">
      <c r="B19" s="101" t="s">
        <v>1811</v>
      </c>
      <c r="C19" s="70" t="s">
        <v>1812</v>
      </c>
      <c r="D19" s="83" t="s">
        <v>1800</v>
      </c>
      <c r="E19" s="70" t="s">
        <v>415</v>
      </c>
      <c r="F19" s="83" t="s">
        <v>416</v>
      </c>
      <c r="G19" s="70" t="s">
        <v>388</v>
      </c>
      <c r="H19" s="70" t="s">
        <v>156</v>
      </c>
      <c r="I19" s="97">
        <v>40561</v>
      </c>
      <c r="J19" s="79">
        <v>1.2499999999999998</v>
      </c>
      <c r="K19" s="83" t="s">
        <v>160</v>
      </c>
      <c r="L19" s="84">
        <v>0.06</v>
      </c>
      <c r="M19" s="78">
        <v>1.09E-2</v>
      </c>
      <c r="N19" s="77">
        <v>3130000</v>
      </c>
      <c r="O19" s="79">
        <v>114.9</v>
      </c>
      <c r="P19" s="77">
        <v>3596.3700800000001</v>
      </c>
      <c r="Q19" s="78">
        <v>8.4577478216011238E-4</v>
      </c>
      <c r="R19" s="78">
        <f t="shared" si="0"/>
        <v>6.5968200624248866E-2</v>
      </c>
      <c r="S19" s="78">
        <f>P19/'סכום נכסי הקרן'!$C$42</f>
        <v>9.9122358773650579E-4</v>
      </c>
    </row>
    <row r="20" spans="2:19">
      <c r="B20" s="101" t="s">
        <v>1813</v>
      </c>
      <c r="C20" s="70" t="s">
        <v>1814</v>
      </c>
      <c r="D20" s="83" t="s">
        <v>1800</v>
      </c>
      <c r="E20" s="70" t="s">
        <v>921</v>
      </c>
      <c r="F20" s="83" t="s">
        <v>297</v>
      </c>
      <c r="G20" s="70" t="s">
        <v>473</v>
      </c>
      <c r="H20" s="70" t="s">
        <v>291</v>
      </c>
      <c r="I20" s="97">
        <v>39387</v>
      </c>
      <c r="J20" s="79">
        <v>2.1999999999999997</v>
      </c>
      <c r="K20" s="83" t="s">
        <v>160</v>
      </c>
      <c r="L20" s="84">
        <v>5.7500000000000002E-2</v>
      </c>
      <c r="M20" s="78">
        <v>4.5000000000000005E-3</v>
      </c>
      <c r="N20" s="77">
        <v>4101971</v>
      </c>
      <c r="O20" s="79">
        <v>133.63</v>
      </c>
      <c r="P20" s="77">
        <v>5481.4637899999998</v>
      </c>
      <c r="Q20" s="78">
        <v>3.1505153609831028E-3</v>
      </c>
      <c r="R20" s="78">
        <f t="shared" si="0"/>
        <v>0.10054646628949698</v>
      </c>
      <c r="S20" s="78">
        <f>P20/'סכום נכסי הקרן'!$C$42</f>
        <v>1.5107889575067157E-3</v>
      </c>
    </row>
    <row r="21" spans="2:19">
      <c r="B21" s="101" t="s">
        <v>1815</v>
      </c>
      <c r="C21" s="70" t="s">
        <v>1816</v>
      </c>
      <c r="D21" s="83" t="s">
        <v>1800</v>
      </c>
      <c r="E21" s="70" t="s">
        <v>1817</v>
      </c>
      <c r="F21" s="83" t="s">
        <v>642</v>
      </c>
      <c r="G21" s="70" t="s">
        <v>647</v>
      </c>
      <c r="H21" s="70"/>
      <c r="I21" s="97">
        <v>39104</v>
      </c>
      <c r="J21" s="79">
        <v>0.76</v>
      </c>
      <c r="K21" s="83" t="s">
        <v>160</v>
      </c>
      <c r="L21" s="84">
        <v>5.5999999999999994E-2</v>
      </c>
      <c r="M21" s="78">
        <v>3.6650999999999994</v>
      </c>
      <c r="N21" s="77">
        <v>38331.660000000003</v>
      </c>
      <c r="O21" s="79">
        <v>24.501999999999999</v>
      </c>
      <c r="P21" s="77">
        <v>9.3920300000000001</v>
      </c>
      <c r="Q21" s="78">
        <v>6.6686709739300742E-5</v>
      </c>
      <c r="R21" s="78">
        <f t="shared" si="0"/>
        <v>1.7227796515006157E-4</v>
      </c>
      <c r="S21" s="78">
        <f>P21/'סכום נכסי הקרן'!$C$42</f>
        <v>2.5886105894666138E-6</v>
      </c>
    </row>
    <row r="22" spans="2:19">
      <c r="B22" s="102"/>
      <c r="C22" s="70"/>
      <c r="D22" s="70"/>
      <c r="E22" s="70"/>
      <c r="F22" s="70"/>
      <c r="G22" s="70"/>
      <c r="H22" s="70"/>
      <c r="I22" s="70"/>
      <c r="J22" s="79"/>
      <c r="K22" s="70"/>
      <c r="L22" s="70"/>
      <c r="M22" s="78"/>
      <c r="N22" s="77"/>
      <c r="O22" s="79"/>
      <c r="P22" s="70"/>
      <c r="Q22" s="70"/>
      <c r="R22" s="78"/>
      <c r="S22" s="70"/>
    </row>
    <row r="23" spans="2:19">
      <c r="B23" s="100" t="s">
        <v>59</v>
      </c>
      <c r="C23" s="72"/>
      <c r="D23" s="72"/>
      <c r="E23" s="72"/>
      <c r="F23" s="72"/>
      <c r="G23" s="72"/>
      <c r="H23" s="72"/>
      <c r="I23" s="72"/>
      <c r="J23" s="82">
        <v>4.0768210929815343</v>
      </c>
      <c r="K23" s="72"/>
      <c r="L23" s="72"/>
      <c r="M23" s="81">
        <v>1.8304781295986353E-2</v>
      </c>
      <c r="N23" s="80"/>
      <c r="O23" s="82"/>
      <c r="P23" s="80">
        <v>15664.172059999997</v>
      </c>
      <c r="Q23" s="72"/>
      <c r="R23" s="81">
        <f t="shared" ref="R23:R29" si="1">P23/$P$11</f>
        <v>0.28732783948275797</v>
      </c>
      <c r="S23" s="81">
        <f>P23/'סכום נכסי הקרן'!$C$42</f>
        <v>4.3173245474879291E-3</v>
      </c>
    </row>
    <row r="24" spans="2:19">
      <c r="B24" s="101" t="s">
        <v>1818</v>
      </c>
      <c r="C24" s="70" t="s">
        <v>1819</v>
      </c>
      <c r="D24" s="83" t="s">
        <v>1800</v>
      </c>
      <c r="E24" s="70" t="s">
        <v>1808</v>
      </c>
      <c r="F24" s="83" t="s">
        <v>1074</v>
      </c>
      <c r="G24" s="70" t="s">
        <v>305</v>
      </c>
      <c r="H24" s="70" t="s">
        <v>156</v>
      </c>
      <c r="I24" s="97">
        <v>42795</v>
      </c>
      <c r="J24" s="79">
        <v>6.3800000000000017</v>
      </c>
      <c r="K24" s="83" t="s">
        <v>160</v>
      </c>
      <c r="L24" s="84">
        <v>3.7400000000000003E-2</v>
      </c>
      <c r="M24" s="78">
        <v>1.9400000000000001E-2</v>
      </c>
      <c r="N24" s="77">
        <v>3657126</v>
      </c>
      <c r="O24" s="79">
        <v>112.95</v>
      </c>
      <c r="P24" s="77">
        <v>4130.7239</v>
      </c>
      <c r="Q24" s="78">
        <v>7.1004158754936339E-3</v>
      </c>
      <c r="R24" s="78">
        <f t="shared" si="1"/>
        <v>7.5769850403877154E-2</v>
      </c>
      <c r="S24" s="78">
        <f>P24/'סכום נכסי הקרן'!$C$42</f>
        <v>1.1385010088024452E-3</v>
      </c>
    </row>
    <row r="25" spans="2:19">
      <c r="B25" s="101" t="s">
        <v>1820</v>
      </c>
      <c r="C25" s="70" t="s">
        <v>1821</v>
      </c>
      <c r="D25" s="83" t="s">
        <v>1800</v>
      </c>
      <c r="E25" s="70" t="s">
        <v>1808</v>
      </c>
      <c r="F25" s="83" t="s">
        <v>1074</v>
      </c>
      <c r="G25" s="70" t="s">
        <v>305</v>
      </c>
      <c r="H25" s="70" t="s">
        <v>156</v>
      </c>
      <c r="I25" s="97">
        <v>42795</v>
      </c>
      <c r="J25" s="79">
        <v>3.0900000000000003</v>
      </c>
      <c r="K25" s="83" t="s">
        <v>160</v>
      </c>
      <c r="L25" s="84">
        <v>2.5000000000000001E-2</v>
      </c>
      <c r="M25" s="78">
        <v>1.01E-2</v>
      </c>
      <c r="N25" s="77">
        <v>4249020.1100000003</v>
      </c>
      <c r="O25" s="79">
        <v>105.42</v>
      </c>
      <c r="P25" s="77">
        <v>4479.3170499999997</v>
      </c>
      <c r="Q25" s="78">
        <v>6.8350549362165558E-3</v>
      </c>
      <c r="R25" s="78">
        <f t="shared" si="1"/>
        <v>8.2164093027383478E-2</v>
      </c>
      <c r="S25" s="78">
        <f>P25/'סכום נכסי הקרן'!$C$42</f>
        <v>1.2345794837972572E-3</v>
      </c>
    </row>
    <row r="26" spans="2:19">
      <c r="B26" s="101" t="s">
        <v>1822</v>
      </c>
      <c r="C26" s="70" t="s">
        <v>1823</v>
      </c>
      <c r="D26" s="83" t="s">
        <v>1800</v>
      </c>
      <c r="E26" s="70" t="s">
        <v>1824</v>
      </c>
      <c r="F26" s="83" t="s">
        <v>352</v>
      </c>
      <c r="G26" s="70" t="s">
        <v>388</v>
      </c>
      <c r="H26" s="70" t="s">
        <v>156</v>
      </c>
      <c r="I26" s="97">
        <v>42598</v>
      </c>
      <c r="J26" s="79">
        <v>4.76</v>
      </c>
      <c r="K26" s="83" t="s">
        <v>160</v>
      </c>
      <c r="L26" s="84">
        <v>3.1E-2</v>
      </c>
      <c r="M26" s="78">
        <v>1.9599999999999996E-2</v>
      </c>
      <c r="N26" s="77">
        <v>2665602.52</v>
      </c>
      <c r="O26" s="79">
        <v>105.56</v>
      </c>
      <c r="P26" s="77">
        <v>2813.8100199999999</v>
      </c>
      <c r="Q26" s="78">
        <v>4.2236659722247639E-3</v>
      </c>
      <c r="R26" s="78">
        <f t="shared" si="1"/>
        <v>5.1613704871519152E-2</v>
      </c>
      <c r="S26" s="78">
        <f>P26/'סכום נכסי הקרן'!$C$42</f>
        <v>7.755361103530615E-4</v>
      </c>
    </row>
    <row r="27" spans="2:19">
      <c r="B27" s="101" t="s">
        <v>1825</v>
      </c>
      <c r="C27" s="70" t="s">
        <v>1826</v>
      </c>
      <c r="D27" s="83" t="s">
        <v>1800</v>
      </c>
      <c r="E27" s="70" t="s">
        <v>1827</v>
      </c>
      <c r="F27" s="83" t="s">
        <v>153</v>
      </c>
      <c r="G27" s="70" t="s">
        <v>477</v>
      </c>
      <c r="H27" s="70" t="s">
        <v>156</v>
      </c>
      <c r="I27" s="97">
        <v>43741</v>
      </c>
      <c r="J27" s="79">
        <v>1.23</v>
      </c>
      <c r="K27" s="83" t="s">
        <v>160</v>
      </c>
      <c r="L27" s="84">
        <v>1.34E-2</v>
      </c>
      <c r="M27" s="78">
        <v>2.3799999999999998E-2</v>
      </c>
      <c r="N27" s="77">
        <v>2260000</v>
      </c>
      <c r="O27" s="79">
        <v>99.08</v>
      </c>
      <c r="P27" s="77">
        <v>2239.2080000000001</v>
      </c>
      <c r="Q27" s="78">
        <v>3.4663170479986337E-3</v>
      </c>
      <c r="R27" s="78">
        <f t="shared" si="1"/>
        <v>4.1073782535590179E-2</v>
      </c>
      <c r="S27" s="78">
        <f>P27/'סכום נכסי הקרן'!$C$42</f>
        <v>6.1716556919200194E-4</v>
      </c>
    </row>
    <row r="28" spans="2:19">
      <c r="B28" s="101" t="s">
        <v>1828</v>
      </c>
      <c r="C28" s="70" t="s">
        <v>1829</v>
      </c>
      <c r="D28" s="83" t="s">
        <v>1800</v>
      </c>
      <c r="E28" s="70" t="s">
        <v>1830</v>
      </c>
      <c r="F28" s="83" t="s">
        <v>352</v>
      </c>
      <c r="G28" s="70" t="s">
        <v>592</v>
      </c>
      <c r="H28" s="70" t="s">
        <v>291</v>
      </c>
      <c r="I28" s="97">
        <v>43310</v>
      </c>
      <c r="J28" s="79">
        <v>3.8400000000000003</v>
      </c>
      <c r="K28" s="83" t="s">
        <v>160</v>
      </c>
      <c r="L28" s="84">
        <v>3.5499999999999997E-2</v>
      </c>
      <c r="M28" s="78">
        <v>2.6600000000000002E-2</v>
      </c>
      <c r="N28" s="77">
        <v>1880640</v>
      </c>
      <c r="O28" s="79">
        <v>103.46</v>
      </c>
      <c r="P28" s="77">
        <v>1945.7101399999999</v>
      </c>
      <c r="Q28" s="78">
        <v>6.1218749999999997E-3</v>
      </c>
      <c r="R28" s="78">
        <f t="shared" si="1"/>
        <v>3.5690152575219777E-2</v>
      </c>
      <c r="S28" s="78">
        <f>P28/'סכום נכסי הקרן'!$C$42</f>
        <v>5.3627233648493114E-4</v>
      </c>
    </row>
    <row r="29" spans="2:19">
      <c r="B29" s="101" t="s">
        <v>1831</v>
      </c>
      <c r="C29" s="70" t="s">
        <v>1832</v>
      </c>
      <c r="D29" s="83" t="s">
        <v>1800</v>
      </c>
      <c r="E29" s="70" t="s">
        <v>1833</v>
      </c>
      <c r="F29" s="83" t="s">
        <v>352</v>
      </c>
      <c r="G29" s="70" t="s">
        <v>626</v>
      </c>
      <c r="H29" s="70" t="s">
        <v>156</v>
      </c>
      <c r="I29" s="97">
        <v>41903</v>
      </c>
      <c r="J29" s="79">
        <v>0.82000000000000006</v>
      </c>
      <c r="K29" s="83" t="s">
        <v>160</v>
      </c>
      <c r="L29" s="84">
        <v>5.1500000000000004E-2</v>
      </c>
      <c r="M29" s="78">
        <v>2.0799999999999999E-2</v>
      </c>
      <c r="N29" s="77">
        <v>52941.18</v>
      </c>
      <c r="O29" s="79">
        <v>104.65</v>
      </c>
      <c r="P29" s="77">
        <v>55.402949999999997</v>
      </c>
      <c r="Q29" s="78">
        <v>2.6470535735401745E-3</v>
      </c>
      <c r="R29" s="78">
        <f t="shared" si="1"/>
        <v>1.0162560691682845E-3</v>
      </c>
      <c r="S29" s="78">
        <f>P29/'סכום נכסי הקרן'!$C$42</f>
        <v>1.527003885823292E-5</v>
      </c>
    </row>
    <row r="30" spans="2:19">
      <c r="B30" s="102"/>
      <c r="C30" s="70"/>
      <c r="D30" s="70"/>
      <c r="E30" s="70"/>
      <c r="F30" s="70"/>
      <c r="G30" s="70"/>
      <c r="H30" s="70"/>
      <c r="I30" s="70"/>
      <c r="J30" s="79"/>
      <c r="K30" s="70"/>
      <c r="L30" s="70"/>
      <c r="M30" s="78"/>
      <c r="N30" s="77"/>
      <c r="O30" s="79"/>
      <c r="P30" s="70"/>
      <c r="Q30" s="70"/>
      <c r="R30" s="78"/>
      <c r="S30" s="70"/>
    </row>
    <row r="31" spans="2:19">
      <c r="B31" s="100" t="s">
        <v>45</v>
      </c>
      <c r="C31" s="72"/>
      <c r="D31" s="72"/>
      <c r="E31" s="72"/>
      <c r="F31" s="72"/>
      <c r="G31" s="72"/>
      <c r="H31" s="72"/>
      <c r="I31" s="72"/>
      <c r="J31" s="82">
        <v>1.757259395438024</v>
      </c>
      <c r="K31" s="72"/>
      <c r="L31" s="72"/>
      <c r="M31" s="81">
        <v>6.0978384968535776E-2</v>
      </c>
      <c r="N31" s="80"/>
      <c r="O31" s="82"/>
      <c r="P31" s="80">
        <v>3121.41993</v>
      </c>
      <c r="Q31" s="72"/>
      <c r="R31" s="81">
        <f t="shared" ref="R31:R33" si="2">P31/$P$11</f>
        <v>5.7256192103224503E-2</v>
      </c>
      <c r="S31" s="81">
        <f>P31/'סכום נכסי הקרן'!$C$42</f>
        <v>8.6031887514947643E-4</v>
      </c>
    </row>
    <row r="32" spans="2:19">
      <c r="B32" s="101" t="s">
        <v>1834</v>
      </c>
      <c r="C32" s="70" t="s">
        <v>1835</v>
      </c>
      <c r="D32" s="83" t="s">
        <v>1800</v>
      </c>
      <c r="E32" s="70" t="s">
        <v>866</v>
      </c>
      <c r="F32" s="83" t="s">
        <v>186</v>
      </c>
      <c r="G32" s="70" t="s">
        <v>473</v>
      </c>
      <c r="H32" s="70" t="s">
        <v>291</v>
      </c>
      <c r="I32" s="97">
        <v>42799</v>
      </c>
      <c r="J32" s="79">
        <v>0.21000000000000002</v>
      </c>
      <c r="K32" s="83" t="s">
        <v>159</v>
      </c>
      <c r="L32" s="84">
        <v>3.7000000000000005E-2</v>
      </c>
      <c r="M32" s="78">
        <v>1.9800000000000002E-2</v>
      </c>
      <c r="N32" s="77">
        <v>161013</v>
      </c>
      <c r="O32" s="79">
        <v>101.43</v>
      </c>
      <c r="P32" s="77">
        <v>566.05151000000001</v>
      </c>
      <c r="Q32" s="78">
        <v>2.3958841735610974E-3</v>
      </c>
      <c r="R32" s="78">
        <f t="shared" si="2"/>
        <v>1.0383080368452797E-2</v>
      </c>
      <c r="S32" s="78">
        <f>P32/'סכום נכסי הקרן'!$C$42</f>
        <v>1.5601386845757168E-4</v>
      </c>
    </row>
    <row r="33" spans="2:19">
      <c r="B33" s="101" t="s">
        <v>1836</v>
      </c>
      <c r="C33" s="70" t="s">
        <v>1837</v>
      </c>
      <c r="D33" s="83" t="s">
        <v>1800</v>
      </c>
      <c r="E33" s="70" t="s">
        <v>866</v>
      </c>
      <c r="F33" s="83" t="s">
        <v>186</v>
      </c>
      <c r="G33" s="70" t="s">
        <v>473</v>
      </c>
      <c r="H33" s="70" t="s">
        <v>291</v>
      </c>
      <c r="I33" s="97">
        <v>42625</v>
      </c>
      <c r="J33" s="79">
        <v>2.1</v>
      </c>
      <c r="K33" s="83" t="s">
        <v>159</v>
      </c>
      <c r="L33" s="84">
        <v>4.4500000000000005E-2</v>
      </c>
      <c r="M33" s="78">
        <v>7.010000000000001E-2</v>
      </c>
      <c r="N33" s="77">
        <v>765197</v>
      </c>
      <c r="O33" s="79">
        <v>96.35</v>
      </c>
      <c r="P33" s="77">
        <v>2555.3684199999998</v>
      </c>
      <c r="Q33" s="78">
        <v>3.5096939921495105E-3</v>
      </c>
      <c r="R33" s="78">
        <f t="shared" si="2"/>
        <v>4.6873111734771697E-2</v>
      </c>
      <c r="S33" s="78">
        <f>P33/'סכום נכסי הקרן'!$C$42</f>
        <v>7.0430500669190464E-4</v>
      </c>
    </row>
    <row r="34" spans="2:19">
      <c r="B34" s="102"/>
      <c r="C34" s="70"/>
      <c r="D34" s="70"/>
      <c r="E34" s="70"/>
      <c r="F34" s="70"/>
      <c r="G34" s="70"/>
      <c r="H34" s="70"/>
      <c r="I34" s="70"/>
      <c r="J34" s="79"/>
      <c r="K34" s="70"/>
      <c r="L34" s="70"/>
      <c r="M34" s="78"/>
      <c r="N34" s="77"/>
      <c r="O34" s="79"/>
      <c r="P34" s="70"/>
      <c r="Q34" s="70"/>
      <c r="R34" s="78"/>
      <c r="S34" s="70"/>
    </row>
    <row r="35" spans="2:19">
      <c r="B35" s="99" t="s">
        <v>228</v>
      </c>
      <c r="C35" s="72"/>
      <c r="D35" s="72"/>
      <c r="E35" s="72"/>
      <c r="F35" s="72"/>
      <c r="G35" s="72"/>
      <c r="H35" s="72"/>
      <c r="I35" s="72"/>
      <c r="J35" s="82">
        <v>7.7044835403053531</v>
      </c>
      <c r="K35" s="72"/>
      <c r="L35" s="72"/>
      <c r="M35" s="81">
        <v>2.8081267003576854E-2</v>
      </c>
      <c r="N35" s="80"/>
      <c r="O35" s="82"/>
      <c r="P35" s="80">
        <v>2086.10887</v>
      </c>
      <c r="Q35" s="72"/>
      <c r="R35" s="81">
        <f t="shared" ref="R35:R38" si="3">P35/$P$11</f>
        <v>3.826548586462078E-2</v>
      </c>
      <c r="S35" s="81">
        <f>P35/'סכום נכסי הקרן'!$C$42</f>
        <v>5.7496872472322081E-4</v>
      </c>
    </row>
    <row r="36" spans="2:19">
      <c r="B36" s="100" t="s">
        <v>66</v>
      </c>
      <c r="C36" s="72"/>
      <c r="D36" s="72"/>
      <c r="E36" s="72"/>
      <c r="F36" s="72"/>
      <c r="G36" s="72"/>
      <c r="H36" s="72"/>
      <c r="I36" s="72"/>
      <c r="J36" s="82">
        <v>7.7044835403053531</v>
      </c>
      <c r="K36" s="72"/>
      <c r="L36" s="72"/>
      <c r="M36" s="81">
        <v>2.8081267003576854E-2</v>
      </c>
      <c r="N36" s="80"/>
      <c r="O36" s="82"/>
      <c r="P36" s="80">
        <v>2086.10887</v>
      </c>
      <c r="Q36" s="72"/>
      <c r="R36" s="81">
        <f t="shared" si="3"/>
        <v>3.826548586462078E-2</v>
      </c>
      <c r="S36" s="81">
        <f>P36/'סכום נכסי הקרן'!$C$42</f>
        <v>5.7496872472322081E-4</v>
      </c>
    </row>
    <row r="37" spans="2:19">
      <c r="B37" s="101" t="s">
        <v>1838</v>
      </c>
      <c r="C37" s="70">
        <v>4279</v>
      </c>
      <c r="D37" s="83" t="s">
        <v>1800</v>
      </c>
      <c r="E37" s="70"/>
      <c r="F37" s="83" t="s">
        <v>1839</v>
      </c>
      <c r="G37" s="70" t="s">
        <v>1840</v>
      </c>
      <c r="H37" s="70" t="s">
        <v>1841</v>
      </c>
      <c r="I37" s="97">
        <v>40949</v>
      </c>
      <c r="J37" s="79">
        <v>1.5</v>
      </c>
      <c r="K37" s="83" t="s">
        <v>159</v>
      </c>
      <c r="L37" s="84">
        <v>0.06</v>
      </c>
      <c r="M37" s="78">
        <v>1.8899999999999993E-2</v>
      </c>
      <c r="N37" s="77">
        <v>239999.99</v>
      </c>
      <c r="O37" s="79">
        <v>107.77</v>
      </c>
      <c r="P37" s="77">
        <v>896.47393</v>
      </c>
      <c r="Q37" s="78">
        <v>2.9090907878787878E-4</v>
      </c>
      <c r="R37" s="78">
        <f t="shared" si="3"/>
        <v>1.6444017371162436E-2</v>
      </c>
      <c r="S37" s="78">
        <f>P37/'סכום נכסי הקרן'!$C$42</f>
        <v>2.4708416693502386E-4</v>
      </c>
    </row>
    <row r="38" spans="2:19">
      <c r="B38" s="101" t="s">
        <v>1842</v>
      </c>
      <c r="C38" s="70">
        <v>5168</v>
      </c>
      <c r="D38" s="83" t="s">
        <v>1800</v>
      </c>
      <c r="E38" s="70"/>
      <c r="F38" s="83" t="s">
        <v>1321</v>
      </c>
      <c r="G38" s="70" t="s">
        <v>647</v>
      </c>
      <c r="H38" s="70"/>
      <c r="I38" s="97">
        <v>42408</v>
      </c>
      <c r="J38" s="79">
        <v>12.38</v>
      </c>
      <c r="K38" s="83" t="s">
        <v>168</v>
      </c>
      <c r="L38" s="84">
        <v>3.9510000000000003E-2</v>
      </c>
      <c r="M38" s="78">
        <v>3.5000000000000003E-2</v>
      </c>
      <c r="N38" s="77">
        <v>444000</v>
      </c>
      <c r="O38" s="79">
        <v>105.87</v>
      </c>
      <c r="P38" s="77">
        <v>1189.6349399999999</v>
      </c>
      <c r="Q38" s="78">
        <v>1.1253412141012352E-3</v>
      </c>
      <c r="R38" s="78">
        <f t="shared" si="3"/>
        <v>2.1821468493458344E-2</v>
      </c>
      <c r="S38" s="78">
        <f>P38/'סכום נכסי הקרן'!$C$42</f>
        <v>3.27884557788197E-4</v>
      </c>
    </row>
    <row r="39" spans="2:19">
      <c r="C39" s="1"/>
      <c r="D39" s="1"/>
      <c r="E39" s="1"/>
    </row>
    <row r="40" spans="2:19">
      <c r="C40" s="1"/>
      <c r="D40" s="1"/>
      <c r="E40" s="1"/>
    </row>
    <row r="41" spans="2:19">
      <c r="C41" s="1"/>
      <c r="D41" s="1"/>
      <c r="E41" s="1"/>
    </row>
    <row r="42" spans="2:19">
      <c r="B42" s="85" t="s">
        <v>251</v>
      </c>
      <c r="C42" s="1"/>
      <c r="D42" s="1"/>
      <c r="E42" s="1"/>
    </row>
    <row r="43" spans="2:19">
      <c r="B43" s="85" t="s">
        <v>108</v>
      </c>
      <c r="C43" s="1"/>
      <c r="D43" s="1"/>
      <c r="E43" s="1"/>
    </row>
    <row r="44" spans="2:19">
      <c r="B44" s="85" t="s">
        <v>234</v>
      </c>
      <c r="C44" s="1"/>
      <c r="D44" s="1"/>
      <c r="E44" s="1"/>
    </row>
    <row r="45" spans="2:19">
      <c r="B45" s="85" t="s">
        <v>242</v>
      </c>
      <c r="C45" s="1"/>
      <c r="D45" s="1"/>
      <c r="E45" s="1"/>
    </row>
    <row r="46" spans="2:19">
      <c r="C46" s="1"/>
      <c r="D46" s="1"/>
      <c r="E46" s="1"/>
    </row>
    <row r="47" spans="2:19">
      <c r="C47" s="1"/>
      <c r="D47" s="1"/>
      <c r="E47" s="1"/>
    </row>
    <row r="48" spans="2:19">
      <c r="C48" s="1"/>
      <c r="D48" s="1"/>
      <c r="E48" s="1"/>
    </row>
    <row r="49" spans="3:5">
      <c r="C49" s="1"/>
      <c r="D49" s="1"/>
      <c r="E49" s="1"/>
    </row>
    <row r="50" spans="3:5">
      <c r="C50" s="1"/>
      <c r="D50" s="1"/>
      <c r="E50" s="1"/>
    </row>
    <row r="51" spans="3:5">
      <c r="C51" s="1"/>
      <c r="D51" s="1"/>
      <c r="E51" s="1"/>
    </row>
    <row r="52" spans="3:5">
      <c r="C52" s="1"/>
      <c r="D52" s="1"/>
      <c r="E52" s="1"/>
    </row>
    <row r="53" spans="3:5">
      <c r="C53" s="1"/>
      <c r="D53" s="1"/>
      <c r="E53" s="1"/>
    </row>
    <row r="54" spans="3:5">
      <c r="C54" s="1"/>
      <c r="D54" s="1"/>
      <c r="E54" s="1"/>
    </row>
    <row r="55" spans="3:5">
      <c r="C55" s="1"/>
      <c r="D55" s="1"/>
      <c r="E55" s="1"/>
    </row>
    <row r="56" spans="3:5">
      <c r="C56" s="1"/>
      <c r="D56" s="1"/>
      <c r="E56" s="1"/>
    </row>
    <row r="57" spans="3:5">
      <c r="C57" s="1"/>
      <c r="D57" s="1"/>
      <c r="E57" s="1"/>
    </row>
    <row r="58" spans="3:5">
      <c r="C58" s="1"/>
      <c r="D58" s="1"/>
      <c r="E58" s="1"/>
    </row>
    <row r="59" spans="3:5">
      <c r="C59" s="1"/>
      <c r="D59" s="1"/>
      <c r="E59" s="1"/>
    </row>
    <row r="60" spans="3:5">
      <c r="C60" s="1"/>
      <c r="D60" s="1"/>
      <c r="E60" s="1"/>
    </row>
    <row r="61" spans="3:5">
      <c r="C61" s="1"/>
      <c r="D61" s="1"/>
      <c r="E61" s="1"/>
    </row>
    <row r="62" spans="3:5">
      <c r="C62" s="1"/>
      <c r="D62" s="1"/>
      <c r="E62" s="1"/>
    </row>
    <row r="63" spans="3:5">
      <c r="C63" s="1"/>
      <c r="D63" s="1"/>
      <c r="E63" s="1"/>
    </row>
    <row r="64" spans="3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2"/>
    </row>
    <row r="539" spans="2:5">
      <c r="B539" s="42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2:B38">
    <cfRule type="cellIs" dxfId="15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5"/>
  <sheetViews>
    <sheetView rightToLeft="1" workbookViewId="0">
      <selection activeCell="H20" sqref="H20"/>
    </sheetView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27.85546875" style="2" customWidth="1"/>
    <col min="4" max="4" width="5.7109375" style="2" bestFit="1" customWidth="1"/>
    <col min="5" max="5" width="11.28515625" style="2" bestFit="1" customWidth="1"/>
    <col min="6" max="6" width="16.140625" style="1" bestFit="1" customWidth="1"/>
    <col min="7" max="7" width="12.28515625" style="1" bestFit="1" customWidth="1"/>
    <col min="8" max="9" width="11.28515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47" t="s">
        <v>175</v>
      </c>
      <c r="C1" s="68" t="s" vm="1">
        <v>259</v>
      </c>
    </row>
    <row r="2" spans="2:98">
      <c r="B2" s="47" t="s">
        <v>174</v>
      </c>
      <c r="C2" s="68" t="s">
        <v>260</v>
      </c>
    </row>
    <row r="3" spans="2:98">
      <c r="B3" s="47" t="s">
        <v>176</v>
      </c>
      <c r="C3" s="68" t="s">
        <v>261</v>
      </c>
    </row>
    <row r="4" spans="2:98">
      <c r="B4" s="47" t="s">
        <v>177</v>
      </c>
      <c r="C4" s="68">
        <v>2207</v>
      </c>
    </row>
    <row r="6" spans="2:98" ht="26.25" customHeight="1">
      <c r="B6" s="126" t="s">
        <v>206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8"/>
    </row>
    <row r="7" spans="2:98" ht="26.25" customHeight="1">
      <c r="B7" s="126" t="s">
        <v>88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8"/>
    </row>
    <row r="8" spans="2:98" s="3" customFormat="1" ht="63">
      <c r="B8" s="22" t="s">
        <v>112</v>
      </c>
      <c r="C8" s="30" t="s">
        <v>43</v>
      </c>
      <c r="D8" s="30" t="s">
        <v>114</v>
      </c>
      <c r="E8" s="30" t="s">
        <v>113</v>
      </c>
      <c r="F8" s="30" t="s">
        <v>63</v>
      </c>
      <c r="G8" s="30" t="s">
        <v>99</v>
      </c>
      <c r="H8" s="30" t="s">
        <v>236</v>
      </c>
      <c r="I8" s="30" t="s">
        <v>235</v>
      </c>
      <c r="J8" s="30" t="s">
        <v>107</v>
      </c>
      <c r="K8" s="30" t="s">
        <v>57</v>
      </c>
      <c r="L8" s="30" t="s">
        <v>178</v>
      </c>
      <c r="M8" s="31" t="s">
        <v>180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5"/>
      <c r="C9" s="32"/>
      <c r="D9" s="16"/>
      <c r="E9" s="16"/>
      <c r="F9" s="32"/>
      <c r="G9" s="32"/>
      <c r="H9" s="32" t="s">
        <v>243</v>
      </c>
      <c r="I9" s="32"/>
      <c r="J9" s="32" t="s">
        <v>239</v>
      </c>
      <c r="K9" s="32" t="s">
        <v>19</v>
      </c>
      <c r="L9" s="32" t="s">
        <v>19</v>
      </c>
      <c r="M9" s="33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20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114" t="s">
        <v>28</v>
      </c>
      <c r="C11" s="111"/>
      <c r="D11" s="111"/>
      <c r="E11" s="111"/>
      <c r="F11" s="111"/>
      <c r="G11" s="111"/>
      <c r="H11" s="112"/>
      <c r="I11" s="112"/>
      <c r="J11" s="112">
        <v>18612.293379999999</v>
      </c>
      <c r="K11" s="111"/>
      <c r="L11" s="113">
        <f>J11/$J$11</f>
        <v>1</v>
      </c>
      <c r="M11" s="113">
        <f>J11/'סכום נכסי הקרן'!$C$42</f>
        <v>5.1298792420517558E-3</v>
      </c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CT11" s="86"/>
    </row>
    <row r="12" spans="2:98" s="86" customFormat="1" ht="17.25" customHeight="1">
      <c r="B12" s="110" t="s">
        <v>229</v>
      </c>
      <c r="C12" s="111"/>
      <c r="D12" s="111"/>
      <c r="E12" s="111"/>
      <c r="F12" s="111"/>
      <c r="G12" s="111"/>
      <c r="H12" s="112"/>
      <c r="I12" s="112"/>
      <c r="J12" s="112">
        <v>2025.8982100000003</v>
      </c>
      <c r="K12" s="111"/>
      <c r="L12" s="113">
        <f t="shared" ref="L12:L16" si="0">J12/$J$11</f>
        <v>0.10884731766462197</v>
      </c>
      <c r="M12" s="113">
        <f>J12/'סכום נכסי הקרן'!$C$42</f>
        <v>5.583735954407576E-4</v>
      </c>
    </row>
    <row r="13" spans="2:98">
      <c r="B13" s="89" t="s">
        <v>229</v>
      </c>
      <c r="C13" s="72"/>
      <c r="D13" s="72"/>
      <c r="E13" s="72"/>
      <c r="F13" s="72"/>
      <c r="G13" s="72"/>
      <c r="H13" s="80"/>
      <c r="I13" s="80"/>
      <c r="J13" s="80">
        <v>2025.8982100000003</v>
      </c>
      <c r="K13" s="72"/>
      <c r="L13" s="81">
        <f t="shared" si="0"/>
        <v>0.10884731766462197</v>
      </c>
      <c r="M13" s="81">
        <f>J13/'סכום נכסי הקרן'!$C$42</f>
        <v>5.583735954407576E-4</v>
      </c>
    </row>
    <row r="14" spans="2:98">
      <c r="B14" s="76" t="s">
        <v>1843</v>
      </c>
      <c r="C14" s="70">
        <v>5992</v>
      </c>
      <c r="D14" s="83" t="s">
        <v>26</v>
      </c>
      <c r="E14" s="70" t="s">
        <v>1817</v>
      </c>
      <c r="F14" s="83" t="s">
        <v>642</v>
      </c>
      <c r="G14" s="83" t="s">
        <v>160</v>
      </c>
      <c r="H14" s="77">
        <v>1821</v>
      </c>
      <c r="I14" s="77">
        <v>0</v>
      </c>
      <c r="J14" s="77">
        <v>1.3000000000000002E-4</v>
      </c>
      <c r="K14" s="78">
        <v>6.6703296703296699E-5</v>
      </c>
      <c r="L14" s="78">
        <f t="shared" si="0"/>
        <v>6.9846309289156509E-9</v>
      </c>
      <c r="M14" s="78">
        <f>J14/'סכום נכסי הקרן'!$C$42</f>
        <v>3.5830313215637074E-11</v>
      </c>
    </row>
    <row r="15" spans="2:98">
      <c r="B15" s="76" t="s">
        <v>1844</v>
      </c>
      <c r="C15" s="70" t="s">
        <v>1845</v>
      </c>
      <c r="D15" s="83" t="s">
        <v>26</v>
      </c>
      <c r="E15" s="70" t="s">
        <v>1846</v>
      </c>
      <c r="F15" s="83" t="s">
        <v>352</v>
      </c>
      <c r="G15" s="83" t="s">
        <v>159</v>
      </c>
      <c r="H15" s="77">
        <v>84344.21</v>
      </c>
      <c r="I15" s="77">
        <v>685.29100000000005</v>
      </c>
      <c r="J15" s="77">
        <v>2003.3593700000001</v>
      </c>
      <c r="K15" s="78">
        <v>1.4199919443133625E-3</v>
      </c>
      <c r="L15" s="78">
        <f t="shared" si="0"/>
        <v>0.10763635244180748</v>
      </c>
      <c r="M15" s="78">
        <f>J15/'סכום נכסי הקרן'!$C$42</f>
        <v>5.5216149008139508E-4</v>
      </c>
    </row>
    <row r="16" spans="2:98">
      <c r="B16" s="76" t="s">
        <v>1847</v>
      </c>
      <c r="C16" s="70" t="s">
        <v>1848</v>
      </c>
      <c r="D16" s="83" t="s">
        <v>26</v>
      </c>
      <c r="E16" s="70" t="s">
        <v>1849</v>
      </c>
      <c r="F16" s="83" t="s">
        <v>152</v>
      </c>
      <c r="G16" s="83" t="s">
        <v>159</v>
      </c>
      <c r="H16" s="77">
        <v>401.41</v>
      </c>
      <c r="I16" s="77">
        <v>1620</v>
      </c>
      <c r="J16" s="77">
        <v>22.53884</v>
      </c>
      <c r="K16" s="78">
        <v>4.0938796600050538E-5</v>
      </c>
      <c r="L16" s="78">
        <f t="shared" si="0"/>
        <v>1.2109652228144709E-3</v>
      </c>
      <c r="M16" s="78">
        <f>J16/'סכום נכסי הקרן'!$C$42</f>
        <v>6.2121053593625333E-6</v>
      </c>
    </row>
    <row r="17" spans="2:13">
      <c r="B17" s="73"/>
      <c r="C17" s="70"/>
      <c r="D17" s="70"/>
      <c r="E17" s="70"/>
      <c r="F17" s="70"/>
      <c r="G17" s="70"/>
      <c r="H17" s="77"/>
      <c r="I17" s="77"/>
      <c r="J17" s="70"/>
      <c r="K17" s="70"/>
      <c r="L17" s="78"/>
      <c r="M17" s="70"/>
    </row>
    <row r="18" spans="2:13" s="86" customFormat="1">
      <c r="B18" s="110" t="s">
        <v>228</v>
      </c>
      <c r="C18" s="111"/>
      <c r="D18" s="111"/>
      <c r="E18" s="111"/>
      <c r="F18" s="111"/>
      <c r="G18" s="111"/>
      <c r="H18" s="112"/>
      <c r="I18" s="112"/>
      <c r="J18" s="112">
        <v>16586.39517</v>
      </c>
      <c r="K18" s="111"/>
      <c r="L18" s="113">
        <f t="shared" ref="L18:L35" si="1">J18/$J$11</f>
        <v>0.89115268233537814</v>
      </c>
      <c r="M18" s="113">
        <f>J18/'סכום נכסי הקרן'!$C$42</f>
        <v>4.5715056466109983E-3</v>
      </c>
    </row>
    <row r="19" spans="2:13">
      <c r="B19" s="89" t="s">
        <v>61</v>
      </c>
      <c r="C19" s="72"/>
      <c r="D19" s="72"/>
      <c r="E19" s="72"/>
      <c r="F19" s="72"/>
      <c r="G19" s="72"/>
      <c r="H19" s="80"/>
      <c r="I19" s="80"/>
      <c r="J19" s="80">
        <v>16586.39517</v>
      </c>
      <c r="K19" s="72"/>
      <c r="L19" s="81">
        <f t="shared" si="1"/>
        <v>0.89115268233537814</v>
      </c>
      <c r="M19" s="81">
        <f>J19/'סכום נכסי הקרן'!$C$42</f>
        <v>4.5715056466109983E-3</v>
      </c>
    </row>
    <row r="20" spans="2:13">
      <c r="B20" s="76" t="s">
        <v>1850</v>
      </c>
      <c r="C20" s="70">
        <v>3610</v>
      </c>
      <c r="D20" s="83" t="s">
        <v>26</v>
      </c>
      <c r="E20" s="70"/>
      <c r="F20" s="83" t="s">
        <v>1283</v>
      </c>
      <c r="G20" s="83" t="s">
        <v>159</v>
      </c>
      <c r="H20" s="77">
        <v>27000</v>
      </c>
      <c r="I20" s="77">
        <v>495.5949</v>
      </c>
      <c r="J20" s="77">
        <v>463.78760999999997</v>
      </c>
      <c r="K20" s="78">
        <v>3.9525664446511555E-3</v>
      </c>
      <c r="L20" s="78">
        <f t="shared" si="1"/>
        <v>2.4918348348106686E-2</v>
      </c>
      <c r="M20" s="78">
        <f>J20/'סכום נכסי הקרן'!$C$42</f>
        <v>1.2782811793716714E-4</v>
      </c>
    </row>
    <row r="21" spans="2:13">
      <c r="B21" s="76" t="s">
        <v>1851</v>
      </c>
      <c r="C21" s="70" t="s">
        <v>1852</v>
      </c>
      <c r="D21" s="83" t="s">
        <v>26</v>
      </c>
      <c r="E21" s="70"/>
      <c r="F21" s="83" t="s">
        <v>1283</v>
      </c>
      <c r="G21" s="83" t="s">
        <v>159</v>
      </c>
      <c r="H21" s="77">
        <v>209.78</v>
      </c>
      <c r="I21" s="77">
        <v>121659.84910000001</v>
      </c>
      <c r="J21" s="77">
        <v>884.59834000000001</v>
      </c>
      <c r="K21" s="78">
        <v>2.4750562397479782E-3</v>
      </c>
      <c r="L21" s="78">
        <f t="shared" si="1"/>
        <v>4.7527637886395711E-2</v>
      </c>
      <c r="M21" s="78">
        <f>J21/'סכום נכסי הקרן'!$C$42</f>
        <v>2.4381104301717394E-4</v>
      </c>
    </row>
    <row r="22" spans="2:13">
      <c r="B22" s="76" t="s">
        <v>1853</v>
      </c>
      <c r="C22" s="70" t="s">
        <v>1854</v>
      </c>
      <c r="D22" s="83" t="s">
        <v>26</v>
      </c>
      <c r="E22" s="70"/>
      <c r="F22" s="83" t="s">
        <v>1283</v>
      </c>
      <c r="G22" s="83" t="s">
        <v>159</v>
      </c>
      <c r="H22" s="77">
        <v>133560.98000000001</v>
      </c>
      <c r="I22" s="77">
        <v>293.33150000000001</v>
      </c>
      <c r="J22" s="77">
        <v>1357.8971000000001</v>
      </c>
      <c r="K22" s="78">
        <v>5.4184006648775093E-3</v>
      </c>
      <c r="L22" s="78">
        <f t="shared" si="1"/>
        <v>7.295700063803745E-2</v>
      </c>
      <c r="M22" s="78">
        <f>J22/'סכום נכסי הקרן'!$C$42</f>
        <v>3.7426060313542502E-4</v>
      </c>
    </row>
    <row r="23" spans="2:13">
      <c r="B23" s="76" t="s">
        <v>1855</v>
      </c>
      <c r="C23" s="70" t="s">
        <v>1856</v>
      </c>
      <c r="D23" s="83" t="s">
        <v>26</v>
      </c>
      <c r="E23" s="70"/>
      <c r="F23" s="83" t="s">
        <v>1283</v>
      </c>
      <c r="G23" s="83" t="s">
        <v>159</v>
      </c>
      <c r="H23" s="77">
        <v>153.26</v>
      </c>
      <c r="I23" s="77">
        <v>0</v>
      </c>
      <c r="J23" s="77">
        <v>0</v>
      </c>
      <c r="K23" s="78">
        <v>2.9400452152327566E-3</v>
      </c>
      <c r="L23" s="78">
        <f t="shared" si="1"/>
        <v>0</v>
      </c>
      <c r="M23" s="78">
        <f>J23/'סכום נכסי הקרן'!$C$42</f>
        <v>0</v>
      </c>
    </row>
    <row r="24" spans="2:13">
      <c r="B24" s="76" t="s">
        <v>1857</v>
      </c>
      <c r="C24" s="70">
        <v>2994</v>
      </c>
      <c r="D24" s="83" t="s">
        <v>26</v>
      </c>
      <c r="E24" s="70"/>
      <c r="F24" s="83" t="s">
        <v>1283</v>
      </c>
      <c r="G24" s="83" t="s">
        <v>161</v>
      </c>
      <c r="H24" s="77">
        <v>913.97</v>
      </c>
      <c r="I24" s="77">
        <v>19017.763999999999</v>
      </c>
      <c r="J24" s="77">
        <v>674.89532999999994</v>
      </c>
      <c r="K24" s="78">
        <v>1.6914981439362631E-3</v>
      </c>
      <c r="L24" s="78">
        <f t="shared" si="1"/>
        <v>3.626072919768257E-2</v>
      </c>
      <c r="M24" s="78">
        <f>J24/'סכום נכסי הקרן'!$C$42</f>
        <v>1.8601316201285182E-4</v>
      </c>
    </row>
    <row r="25" spans="2:13">
      <c r="B25" s="76" t="s">
        <v>1858</v>
      </c>
      <c r="C25" s="70" t="s">
        <v>1859</v>
      </c>
      <c r="D25" s="83" t="s">
        <v>26</v>
      </c>
      <c r="E25" s="70"/>
      <c r="F25" s="83" t="s">
        <v>1283</v>
      </c>
      <c r="G25" s="83" t="s">
        <v>161</v>
      </c>
      <c r="H25" s="77">
        <v>0.6</v>
      </c>
      <c r="I25" s="77">
        <v>0</v>
      </c>
      <c r="J25" s="77">
        <v>0</v>
      </c>
      <c r="K25" s="78">
        <v>2.0253458531212437E-5</v>
      </c>
      <c r="L25" s="78">
        <f t="shared" si="1"/>
        <v>0</v>
      </c>
      <c r="M25" s="78">
        <f>J25/'סכום נכסי הקרן'!$C$42</f>
        <v>0</v>
      </c>
    </row>
    <row r="26" spans="2:13">
      <c r="B26" s="76" t="s">
        <v>2292</v>
      </c>
      <c r="C26" s="70">
        <v>4654</v>
      </c>
      <c r="D26" s="83" t="s">
        <v>26</v>
      </c>
      <c r="E26" s="70"/>
      <c r="F26" s="83" t="s">
        <v>1283</v>
      </c>
      <c r="G26" s="83" t="s">
        <v>162</v>
      </c>
      <c r="H26" s="77">
        <v>145700.5</v>
      </c>
      <c r="I26" s="77">
        <v>448.69069999999999</v>
      </c>
      <c r="J26" s="77">
        <v>2781.0948599999997</v>
      </c>
      <c r="K26" s="78">
        <v>1.4749999999999999E-2</v>
      </c>
      <c r="L26" s="78">
        <f t="shared" si="1"/>
        <v>0.14942247058003336</v>
      </c>
      <c r="M26" s="78">
        <f>J26/'סכום נכסי הקרן'!$C$42</f>
        <v>7.6651923012460233E-4</v>
      </c>
    </row>
    <row r="27" spans="2:13">
      <c r="B27" s="76" t="s">
        <v>1860</v>
      </c>
      <c r="C27" s="70" t="s">
        <v>1861</v>
      </c>
      <c r="D27" s="83" t="s">
        <v>26</v>
      </c>
      <c r="E27" s="70"/>
      <c r="F27" s="83" t="s">
        <v>1283</v>
      </c>
      <c r="G27" s="83" t="s">
        <v>159</v>
      </c>
      <c r="H27" s="77">
        <v>12.49</v>
      </c>
      <c r="I27" s="77">
        <v>0</v>
      </c>
      <c r="J27" s="77">
        <v>0</v>
      </c>
      <c r="K27" s="78">
        <v>2.3595968999921978E-4</v>
      </c>
      <c r="L27" s="78">
        <f t="shared" si="1"/>
        <v>0</v>
      </c>
      <c r="M27" s="78">
        <f>J27/'סכום נכסי הקרן'!$C$42</f>
        <v>0</v>
      </c>
    </row>
    <row r="28" spans="2:13">
      <c r="B28" s="76" t="s">
        <v>1862</v>
      </c>
      <c r="C28" s="70" t="s">
        <v>1863</v>
      </c>
      <c r="D28" s="83" t="s">
        <v>26</v>
      </c>
      <c r="E28" s="70"/>
      <c r="F28" s="83" t="s">
        <v>1283</v>
      </c>
      <c r="G28" s="83" t="s">
        <v>159</v>
      </c>
      <c r="H28" s="77">
        <v>14944</v>
      </c>
      <c r="I28" s="77">
        <v>432.72469999999998</v>
      </c>
      <c r="J28" s="77">
        <v>224.13367000000002</v>
      </c>
      <c r="K28" s="78">
        <v>4.1582684613958145E-3</v>
      </c>
      <c r="L28" s="78">
        <f t="shared" si="1"/>
        <v>1.2042238182256722E-2</v>
      </c>
      <c r="M28" s="78">
        <f>J28/'סכום נכסי הקרן'!$C$42</f>
        <v>6.1775227679001829E-5</v>
      </c>
    </row>
    <row r="29" spans="2:13">
      <c r="B29" s="76" t="s">
        <v>1864</v>
      </c>
      <c r="C29" s="70" t="s">
        <v>1865</v>
      </c>
      <c r="D29" s="83" t="s">
        <v>26</v>
      </c>
      <c r="E29" s="70"/>
      <c r="F29" s="83" t="s">
        <v>1283</v>
      </c>
      <c r="G29" s="83" t="s">
        <v>159</v>
      </c>
      <c r="H29" s="77">
        <v>105683</v>
      </c>
      <c r="I29" s="77">
        <v>337.97</v>
      </c>
      <c r="J29" s="77">
        <v>1237.9749299999999</v>
      </c>
      <c r="K29" s="78">
        <v>2.4030848918492162E-3</v>
      </c>
      <c r="L29" s="78">
        <f t="shared" si="1"/>
        <v>6.6513830656155279E-2</v>
      </c>
      <c r="M29" s="78">
        <f>J29/'סכום נכסי הקרן'!$C$42</f>
        <v>3.4120791919235667E-4</v>
      </c>
    </row>
    <row r="30" spans="2:13">
      <c r="B30" s="76" t="s">
        <v>1866</v>
      </c>
      <c r="C30" s="70">
        <v>4637</v>
      </c>
      <c r="D30" s="83" t="s">
        <v>26</v>
      </c>
      <c r="E30" s="70"/>
      <c r="F30" s="83" t="s">
        <v>1283</v>
      </c>
      <c r="G30" s="83" t="s">
        <v>162</v>
      </c>
      <c r="H30" s="77">
        <v>782469.49</v>
      </c>
      <c r="I30" s="77">
        <v>14.5395</v>
      </c>
      <c r="J30" s="77">
        <v>483.97683000000001</v>
      </c>
      <c r="K30" s="78">
        <v>4.3320946712783158E-3</v>
      </c>
      <c r="L30" s="78">
        <f t="shared" si="1"/>
        <v>2.6003073351511936E-2</v>
      </c>
      <c r="M30" s="78">
        <f>J30/'סכום נכסי הקרן'!$C$42</f>
        <v>1.3339262621547027E-4</v>
      </c>
    </row>
    <row r="31" spans="2:13">
      <c r="B31" s="76" t="s">
        <v>1867</v>
      </c>
      <c r="C31" s="70">
        <v>5691</v>
      </c>
      <c r="D31" s="83" t="s">
        <v>26</v>
      </c>
      <c r="E31" s="70"/>
      <c r="F31" s="83" t="s">
        <v>1283</v>
      </c>
      <c r="G31" s="83" t="s">
        <v>159</v>
      </c>
      <c r="H31" s="77">
        <v>881846.7</v>
      </c>
      <c r="I31" s="77">
        <v>155.98159999999999</v>
      </c>
      <c r="J31" s="77">
        <v>4767.5474299999996</v>
      </c>
      <c r="K31" s="78">
        <v>9.7875370770822614E-3</v>
      </c>
      <c r="L31" s="78">
        <f t="shared" si="1"/>
        <v>0.25615045565115629</v>
      </c>
      <c r="M31" s="78">
        <f>J31/'סכום נכסי הקרן'!$C$42</f>
        <v>1.3140209052869656E-3</v>
      </c>
    </row>
    <row r="32" spans="2:13">
      <c r="B32" s="76" t="s">
        <v>1868</v>
      </c>
      <c r="C32" s="70">
        <v>3865</v>
      </c>
      <c r="D32" s="83" t="s">
        <v>26</v>
      </c>
      <c r="E32" s="70"/>
      <c r="F32" s="83" t="s">
        <v>1283</v>
      </c>
      <c r="G32" s="83" t="s">
        <v>159</v>
      </c>
      <c r="H32" s="77">
        <v>13855</v>
      </c>
      <c r="I32" s="77">
        <v>448.96559999999999</v>
      </c>
      <c r="J32" s="77">
        <v>215.59969000000001</v>
      </c>
      <c r="K32" s="78">
        <v>3.2035806704400448E-3</v>
      </c>
      <c r="L32" s="78">
        <f t="shared" si="1"/>
        <v>1.1583725100297124E-2</v>
      </c>
      <c r="M32" s="78">
        <f>J32/'סכום נכסי הקרן'!$C$42</f>
        <v>5.9423110937648116E-5</v>
      </c>
    </row>
    <row r="33" spans="2:13">
      <c r="B33" s="76" t="s">
        <v>1869</v>
      </c>
      <c r="C33" s="70" t="s">
        <v>1870</v>
      </c>
      <c r="D33" s="83" t="s">
        <v>26</v>
      </c>
      <c r="E33" s="70"/>
      <c r="F33" s="83" t="s">
        <v>1283</v>
      </c>
      <c r="G33" s="83" t="s">
        <v>159</v>
      </c>
      <c r="H33" s="77">
        <v>36.43</v>
      </c>
      <c r="I33" s="77">
        <v>132573.6067</v>
      </c>
      <c r="J33" s="77">
        <v>167.39358999999999</v>
      </c>
      <c r="K33" s="78">
        <v>2.9401842397085483E-3</v>
      </c>
      <c r="L33" s="78">
        <f t="shared" si="1"/>
        <v>8.9937111232017333E-3</v>
      </c>
      <c r="M33" s="78">
        <f>J33/'סכום נכסי הקרן'!$C$42</f>
        <v>4.6136651999922558E-5</v>
      </c>
    </row>
    <row r="34" spans="2:13">
      <c r="B34" s="76" t="s">
        <v>1871</v>
      </c>
      <c r="C34" s="70">
        <v>4811</v>
      </c>
      <c r="D34" s="83" t="s">
        <v>26</v>
      </c>
      <c r="E34" s="70"/>
      <c r="F34" s="83" t="s">
        <v>1283</v>
      </c>
      <c r="G34" s="83" t="s">
        <v>159</v>
      </c>
      <c r="H34" s="77">
        <v>163790</v>
      </c>
      <c r="I34" s="77">
        <v>149.39179999999999</v>
      </c>
      <c r="J34" s="77">
        <v>848.09147999999993</v>
      </c>
      <c r="K34" s="78">
        <v>8.4557595568595934E-3</v>
      </c>
      <c r="L34" s="78">
        <f t="shared" si="1"/>
        <v>4.5566199859675756E-2</v>
      </c>
      <c r="M34" s="78">
        <f>J34/'סכום נכסי הקרן'!$C$42</f>
        <v>2.3374910279933228E-4</v>
      </c>
    </row>
    <row r="35" spans="2:13">
      <c r="B35" s="76" t="s">
        <v>1872</v>
      </c>
      <c r="C35" s="70">
        <v>5356</v>
      </c>
      <c r="D35" s="83" t="s">
        <v>26</v>
      </c>
      <c r="E35" s="70"/>
      <c r="F35" s="83" t="s">
        <v>1283</v>
      </c>
      <c r="G35" s="83" t="s">
        <v>159</v>
      </c>
      <c r="H35" s="77">
        <v>252563</v>
      </c>
      <c r="I35" s="77">
        <v>283.2364</v>
      </c>
      <c r="J35" s="77">
        <v>2479.4043099999999</v>
      </c>
      <c r="K35" s="78">
        <v>1.0657587149427834E-2</v>
      </c>
      <c r="L35" s="78">
        <f t="shared" si="1"/>
        <v>0.13321326176086742</v>
      </c>
      <c r="M35" s="78">
        <f>J35/'סכום נכסי הקרן'!$C$42</f>
        <v>6.8336794627308077E-4</v>
      </c>
    </row>
    <row r="36" spans="2:13">
      <c r="B36" s="73"/>
      <c r="C36" s="70"/>
      <c r="D36" s="70"/>
      <c r="E36" s="70"/>
      <c r="F36" s="70"/>
      <c r="G36" s="70"/>
      <c r="H36" s="77"/>
      <c r="I36" s="77"/>
      <c r="J36" s="70"/>
      <c r="K36" s="70"/>
      <c r="L36" s="78"/>
      <c r="M36" s="70"/>
    </row>
    <row r="37" spans="2:13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</row>
    <row r="38" spans="2:13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</row>
    <row r="39" spans="2:13">
      <c r="B39" s="85" t="s">
        <v>251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</row>
    <row r="40" spans="2:13">
      <c r="B40" s="85" t="s">
        <v>108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</row>
    <row r="41" spans="2:13">
      <c r="B41" s="85" t="s">
        <v>234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</row>
    <row r="42" spans="2:13">
      <c r="B42" s="85" t="s">
        <v>242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</row>
    <row r="43" spans="2:13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</row>
    <row r="44" spans="2:13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</row>
    <row r="45" spans="2:13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</row>
    <row r="46" spans="2:13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</row>
    <row r="47" spans="2:13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</row>
    <row r="48" spans="2:13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</row>
    <row r="49" spans="2:13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2:13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2:13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</row>
    <row r="52" spans="2:13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</row>
    <row r="53" spans="2:13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</row>
    <row r="54" spans="2:13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</row>
    <row r="55" spans="2:13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</row>
    <row r="56" spans="2:13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</row>
    <row r="57" spans="2:13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</row>
    <row r="58" spans="2:13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</row>
    <row r="59" spans="2:13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</row>
    <row r="60" spans="2:13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</row>
    <row r="61" spans="2:13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</row>
    <row r="62" spans="2:13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</row>
    <row r="63" spans="2:13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2:13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</row>
    <row r="65" spans="2:13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</row>
    <row r="66" spans="2:13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2:13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</row>
    <row r="68" spans="2:13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</row>
    <row r="69" spans="2:13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</row>
    <row r="70" spans="2:13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</row>
    <row r="71" spans="2:13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2:13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</row>
    <row r="73" spans="2:13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</row>
    <row r="74" spans="2:13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</row>
    <row r="75" spans="2:13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</row>
    <row r="76" spans="2:13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spans="2:13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</row>
    <row r="78" spans="2:13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</row>
    <row r="79" spans="2:13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</row>
    <row r="80" spans="2:13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</row>
    <row r="81" spans="2:13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</row>
    <row r="82" spans="2:13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</row>
    <row r="83" spans="2:13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</row>
    <row r="84" spans="2:13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</row>
    <row r="85" spans="2:13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</row>
    <row r="86" spans="2:13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</row>
    <row r="87" spans="2:13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</row>
    <row r="88" spans="2:13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</row>
    <row r="89" spans="2:13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</row>
    <row r="90" spans="2:13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</row>
    <row r="91" spans="2:13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</row>
    <row r="92" spans="2:13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</row>
    <row r="93" spans="2:13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</row>
    <row r="94" spans="2:13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</row>
    <row r="95" spans="2:13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</row>
    <row r="96" spans="2:13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</row>
    <row r="97" spans="2:13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</row>
    <row r="98" spans="2:13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</row>
    <row r="99" spans="2:13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</row>
    <row r="100" spans="2:13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</row>
    <row r="101" spans="2:13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</row>
    <row r="102" spans="2:13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</row>
    <row r="103" spans="2:13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</row>
    <row r="104" spans="2:13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</row>
    <row r="105" spans="2:13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</row>
    <row r="106" spans="2:13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</row>
    <row r="107" spans="2:13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</row>
    <row r="108" spans="2:13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</row>
    <row r="109" spans="2:13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</row>
    <row r="110" spans="2:13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</row>
    <row r="111" spans="2:13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</row>
    <row r="112" spans="2:13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</row>
    <row r="113" spans="2:13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</row>
    <row r="114" spans="2:13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</row>
    <row r="115" spans="2:13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</row>
    <row r="116" spans="2:13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</row>
    <row r="117" spans="2:13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</row>
    <row r="118" spans="2:13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</row>
    <row r="119" spans="2:13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</row>
    <row r="120" spans="2:13"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</row>
    <row r="121" spans="2:13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</row>
    <row r="122" spans="2:13"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</row>
    <row r="123" spans="2:13"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</row>
    <row r="124" spans="2:13"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</row>
    <row r="125" spans="2:13"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</row>
    <row r="126" spans="2:13"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</row>
    <row r="127" spans="2:13"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</row>
    <row r="128" spans="2:13"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</row>
    <row r="129" spans="2:13"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</row>
    <row r="130" spans="2:13"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</row>
    <row r="131" spans="2:13"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</row>
    <row r="132" spans="2:13"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</row>
    <row r="133" spans="2:13"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</row>
    <row r="134" spans="2:13"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</row>
    <row r="135" spans="2:13"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</row>
    <row r="136" spans="2:13">
      <c r="C136" s="1"/>
      <c r="D136" s="1"/>
      <c r="E136" s="1"/>
    </row>
    <row r="137" spans="2:13">
      <c r="C137" s="1"/>
      <c r="D137" s="1"/>
      <c r="E137" s="1"/>
    </row>
    <row r="138" spans="2:13">
      <c r="C138" s="1"/>
      <c r="D138" s="1"/>
      <c r="E138" s="1"/>
    </row>
    <row r="139" spans="2:13">
      <c r="C139" s="1"/>
      <c r="D139" s="1"/>
      <c r="E139" s="1"/>
    </row>
    <row r="140" spans="2:13">
      <c r="C140" s="1"/>
      <c r="D140" s="1"/>
      <c r="E140" s="1"/>
    </row>
    <row r="141" spans="2:13">
      <c r="C141" s="1"/>
      <c r="D141" s="1"/>
      <c r="E141" s="1"/>
    </row>
    <row r="142" spans="2:13">
      <c r="C142" s="1"/>
      <c r="D142" s="1"/>
      <c r="E142" s="1"/>
    </row>
    <row r="143" spans="2:13">
      <c r="C143" s="1"/>
      <c r="D143" s="1"/>
      <c r="E143" s="1"/>
    </row>
    <row r="144" spans="2:13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B403" s="42"/>
      <c r="C403" s="1"/>
      <c r="D403" s="1"/>
      <c r="E403" s="1"/>
    </row>
    <row r="404" spans="2:5">
      <c r="B404" s="42"/>
      <c r="C404" s="1"/>
      <c r="D404" s="1"/>
      <c r="E404" s="1"/>
    </row>
    <row r="405" spans="2:5">
      <c r="B405" s="3"/>
      <c r="C405" s="1"/>
      <c r="D405" s="1"/>
      <c r="E405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H21:XFD24 D21:AF24 D25:XFD1048576 A1:B1048576 D1:XFD20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workbookViewId="0">
      <selection activeCell="C54" sqref="C54"/>
    </sheetView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0.5703125" style="2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7.28515625" style="1" bestFit="1" customWidth="1"/>
    <col min="8" max="8" width="10.140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47" t="s">
        <v>175</v>
      </c>
      <c r="C1" s="68" t="s" vm="1">
        <v>259</v>
      </c>
    </row>
    <row r="2" spans="2:55">
      <c r="B2" s="47" t="s">
        <v>174</v>
      </c>
      <c r="C2" s="68" t="s">
        <v>260</v>
      </c>
    </row>
    <row r="3" spans="2:55">
      <c r="B3" s="47" t="s">
        <v>176</v>
      </c>
      <c r="C3" s="68" t="s">
        <v>261</v>
      </c>
    </row>
    <row r="4" spans="2:55">
      <c r="B4" s="47" t="s">
        <v>177</v>
      </c>
      <c r="C4" s="68">
        <v>2207</v>
      </c>
    </row>
    <row r="6" spans="2:55" ht="26.25" customHeight="1">
      <c r="B6" s="126" t="s">
        <v>206</v>
      </c>
      <c r="C6" s="127"/>
      <c r="D6" s="127"/>
      <c r="E6" s="127"/>
      <c r="F6" s="127"/>
      <c r="G6" s="127"/>
      <c r="H6" s="127"/>
      <c r="I6" s="127"/>
      <c r="J6" s="127"/>
      <c r="K6" s="128"/>
    </row>
    <row r="7" spans="2:55" ht="26.25" customHeight="1">
      <c r="B7" s="126" t="s">
        <v>94</v>
      </c>
      <c r="C7" s="127"/>
      <c r="D7" s="127"/>
      <c r="E7" s="127"/>
      <c r="F7" s="127"/>
      <c r="G7" s="127"/>
      <c r="H7" s="127"/>
      <c r="I7" s="127"/>
      <c r="J7" s="127"/>
      <c r="K7" s="128"/>
    </row>
    <row r="8" spans="2:55" s="3" customFormat="1" ht="78.75">
      <c r="B8" s="22" t="s">
        <v>112</v>
      </c>
      <c r="C8" s="30" t="s">
        <v>43</v>
      </c>
      <c r="D8" s="30" t="s">
        <v>99</v>
      </c>
      <c r="E8" s="30" t="s">
        <v>100</v>
      </c>
      <c r="F8" s="30" t="s">
        <v>236</v>
      </c>
      <c r="G8" s="30" t="s">
        <v>235</v>
      </c>
      <c r="H8" s="30" t="s">
        <v>107</v>
      </c>
      <c r="I8" s="30" t="s">
        <v>57</v>
      </c>
      <c r="J8" s="30" t="s">
        <v>178</v>
      </c>
      <c r="K8" s="31" t="s">
        <v>180</v>
      </c>
      <c r="BC8" s="1"/>
    </row>
    <row r="9" spans="2:55" s="3" customFormat="1" ht="21" customHeight="1">
      <c r="B9" s="15"/>
      <c r="C9" s="16"/>
      <c r="D9" s="16"/>
      <c r="E9" s="32" t="s">
        <v>21</v>
      </c>
      <c r="F9" s="32" t="s">
        <v>243</v>
      </c>
      <c r="G9" s="32"/>
      <c r="H9" s="32" t="s">
        <v>239</v>
      </c>
      <c r="I9" s="32" t="s">
        <v>19</v>
      </c>
      <c r="J9" s="32" t="s">
        <v>19</v>
      </c>
      <c r="K9" s="33" t="s">
        <v>19</v>
      </c>
      <c r="BC9" s="1"/>
    </row>
    <row r="10" spans="2:55" s="4" customFormat="1" ht="18" customHeight="1">
      <c r="B10" s="18"/>
      <c r="C10" s="19" t="s">
        <v>0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87" t="s">
        <v>1873</v>
      </c>
      <c r="C11" s="88"/>
      <c r="D11" s="88"/>
      <c r="E11" s="88"/>
      <c r="F11" s="90"/>
      <c r="G11" s="92"/>
      <c r="H11" s="90">
        <v>49413.396399999991</v>
      </c>
      <c r="I11" s="88"/>
      <c r="J11" s="93">
        <f>H11/$H$11</f>
        <v>1</v>
      </c>
      <c r="K11" s="93">
        <f>H11/'סכום נכסי הקרן'!$C$42</f>
        <v>1.3619211308157174E-2</v>
      </c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71" t="s">
        <v>1874</v>
      </c>
      <c r="C12" s="72"/>
      <c r="D12" s="72"/>
      <c r="E12" s="72"/>
      <c r="F12" s="80"/>
      <c r="G12" s="82"/>
      <c r="H12" s="80">
        <v>4008.8136100000006</v>
      </c>
      <c r="I12" s="72"/>
      <c r="J12" s="81">
        <f t="shared" ref="J12:J14" si="0">H12/$H$11</f>
        <v>8.112807258883345E-2</v>
      </c>
      <c r="K12" s="81">
        <f>H12/'סכום נכסי הקרן'!$C$42</f>
        <v>1.1049003636108366E-3</v>
      </c>
      <c r="V12" s="1"/>
    </row>
    <row r="13" spans="2:55">
      <c r="B13" s="89" t="s">
        <v>224</v>
      </c>
      <c r="C13" s="72"/>
      <c r="D13" s="72"/>
      <c r="E13" s="72"/>
      <c r="F13" s="80"/>
      <c r="G13" s="82"/>
      <c r="H13" s="80">
        <v>944.12550999999996</v>
      </c>
      <c r="I13" s="72"/>
      <c r="J13" s="81">
        <f t="shared" si="0"/>
        <v>1.9106671040325415E-2</v>
      </c>
      <c r="K13" s="81">
        <f>H13/'סכום נכסי הקרן'!$C$42</f>
        <v>2.602177902936391E-4</v>
      </c>
      <c r="V13" s="1"/>
    </row>
    <row r="14" spans="2:55">
      <c r="B14" s="76" t="s">
        <v>1875</v>
      </c>
      <c r="C14" s="70">
        <v>5277</v>
      </c>
      <c r="D14" s="83" t="s">
        <v>159</v>
      </c>
      <c r="E14" s="97">
        <v>42481</v>
      </c>
      <c r="F14" s="77">
        <v>217972.48000000001</v>
      </c>
      <c r="G14" s="79">
        <v>124.9682</v>
      </c>
      <c r="H14" s="77">
        <v>944.12550999999996</v>
      </c>
      <c r="I14" s="78">
        <v>1.7666666666666666E-3</v>
      </c>
      <c r="J14" s="78">
        <f t="shared" si="0"/>
        <v>1.9106671040325415E-2</v>
      </c>
      <c r="K14" s="78">
        <f>H14/'סכום נכסי הקרן'!$C$42</f>
        <v>2.602177902936391E-4</v>
      </c>
      <c r="M14" s="115"/>
      <c r="N14" s="116"/>
      <c r="V14" s="1"/>
    </row>
    <row r="15" spans="2:55">
      <c r="B15" s="73"/>
      <c r="C15" s="70"/>
      <c r="D15" s="70"/>
      <c r="E15" s="70"/>
      <c r="F15" s="77"/>
      <c r="G15" s="79"/>
      <c r="H15" s="70"/>
      <c r="I15" s="70"/>
      <c r="J15" s="78"/>
      <c r="K15" s="70"/>
      <c r="M15" s="115"/>
      <c r="N15" s="116"/>
      <c r="V15" s="1"/>
    </row>
    <row r="16" spans="2:55">
      <c r="B16" s="89" t="s">
        <v>227</v>
      </c>
      <c r="C16" s="72"/>
      <c r="D16" s="72"/>
      <c r="E16" s="72"/>
      <c r="F16" s="80"/>
      <c r="G16" s="82"/>
      <c r="H16" s="80">
        <v>3064.6881000000003</v>
      </c>
      <c r="I16" s="72"/>
      <c r="J16" s="81">
        <f>H16/$H$11</f>
        <v>6.2021401548508028E-2</v>
      </c>
      <c r="K16" s="81">
        <f>H16/'סכום נכסי הקרן'!$C$42</f>
        <v>8.4468257331719746E-4</v>
      </c>
      <c r="M16" s="115"/>
      <c r="N16" s="116"/>
      <c r="V16" s="1"/>
    </row>
    <row r="17" spans="2:22">
      <c r="B17" s="76" t="s">
        <v>1876</v>
      </c>
      <c r="C17" s="70">
        <v>5322</v>
      </c>
      <c r="D17" s="83" t="s">
        <v>161</v>
      </c>
      <c r="E17" s="97">
        <v>42527</v>
      </c>
      <c r="F17" s="77">
        <v>373319.62</v>
      </c>
      <c r="G17" s="79">
        <v>211.42699999999999</v>
      </c>
      <c r="H17" s="77">
        <v>3064.6881000000003</v>
      </c>
      <c r="I17" s="78">
        <v>4.0460446400000004E-3</v>
      </c>
      <c r="J17" s="78">
        <f>H17/$H$11</f>
        <v>6.2021401548508028E-2</v>
      </c>
      <c r="K17" s="78">
        <f>H17/'סכום נכסי הקרן'!$C$42</f>
        <v>8.4468257331719746E-4</v>
      </c>
      <c r="M17" s="115"/>
      <c r="N17" s="116"/>
      <c r="V17" s="1"/>
    </row>
    <row r="18" spans="2:22">
      <c r="B18" s="73"/>
      <c r="C18" s="70"/>
      <c r="D18" s="70"/>
      <c r="E18" s="70"/>
      <c r="F18" s="77"/>
      <c r="G18" s="79"/>
      <c r="H18" s="70"/>
      <c r="I18" s="70"/>
      <c r="J18" s="78"/>
      <c r="K18" s="70"/>
      <c r="M18" s="115"/>
      <c r="N18" s="116"/>
      <c r="V18" s="1"/>
    </row>
    <row r="19" spans="2:22">
      <c r="B19" s="71" t="s">
        <v>1877</v>
      </c>
      <c r="C19" s="72"/>
      <c r="D19" s="72"/>
      <c r="E19" s="72"/>
      <c r="F19" s="80"/>
      <c r="G19" s="82"/>
      <c r="H19" s="80">
        <v>45404.582789999993</v>
      </c>
      <c r="I19" s="72"/>
      <c r="J19" s="81">
        <f t="shared" ref="J19:J22" si="1">H19/$H$11</f>
        <v>0.91887192741116663</v>
      </c>
      <c r="K19" s="81">
        <f>H19/'סכום נכסי הקרן'!$C$42</f>
        <v>1.2514310944546339E-2</v>
      </c>
      <c r="M19" s="115"/>
      <c r="N19" s="116"/>
      <c r="V19" s="1"/>
    </row>
    <row r="20" spans="2:22">
      <c r="B20" s="89" t="s">
        <v>224</v>
      </c>
      <c r="C20" s="72"/>
      <c r="D20" s="72"/>
      <c r="E20" s="72"/>
      <c r="F20" s="80"/>
      <c r="G20" s="82"/>
      <c r="H20" s="80">
        <v>4863.4010900000003</v>
      </c>
      <c r="I20" s="72"/>
      <c r="J20" s="81">
        <f t="shared" si="1"/>
        <v>9.8422724287780414E-2</v>
      </c>
      <c r="K20" s="81">
        <f>H20/'סכום נכסי הקרן'!$C$42</f>
        <v>1.3404398795997749E-3</v>
      </c>
      <c r="M20" s="115"/>
      <c r="N20" s="116"/>
      <c r="V20" s="1"/>
    </row>
    <row r="21" spans="2:22">
      <c r="B21" s="76" t="s">
        <v>1878</v>
      </c>
      <c r="C21" s="70">
        <v>5295</v>
      </c>
      <c r="D21" s="83" t="s">
        <v>159</v>
      </c>
      <c r="E21" s="97">
        <v>42879</v>
      </c>
      <c r="F21" s="77">
        <v>547368.25</v>
      </c>
      <c r="G21" s="79">
        <v>103.4062</v>
      </c>
      <c r="H21" s="77">
        <v>1961.8000500000001</v>
      </c>
      <c r="I21" s="78">
        <v>6.8066023597847822E-4</v>
      </c>
      <c r="J21" s="78">
        <f t="shared" si="1"/>
        <v>3.9701785202524563E-2</v>
      </c>
      <c r="K21" s="78">
        <f>H21/'סכום נכסי הקרן'!$C$42</f>
        <v>5.4070700198424965E-4</v>
      </c>
      <c r="M21" s="115"/>
      <c r="N21" s="116"/>
      <c r="V21" s="1"/>
    </row>
    <row r="22" spans="2:22" ht="16.5" customHeight="1">
      <c r="B22" s="76" t="s">
        <v>1879</v>
      </c>
      <c r="C22" s="70">
        <v>5288</v>
      </c>
      <c r="D22" s="83" t="s">
        <v>159</v>
      </c>
      <c r="E22" s="97">
        <v>42649</v>
      </c>
      <c r="F22" s="77">
        <v>565016.93000000005</v>
      </c>
      <c r="G22" s="79">
        <v>148.16569999999999</v>
      </c>
      <c r="H22" s="77">
        <v>2901.60104</v>
      </c>
      <c r="I22" s="78">
        <v>1.584045943296415E-3</v>
      </c>
      <c r="J22" s="78">
        <f t="shared" si="1"/>
        <v>5.8720939085255844E-2</v>
      </c>
      <c r="K22" s="78">
        <f>H22/'סכום נכסי הקרן'!$C$42</f>
        <v>7.9973287761552511E-4</v>
      </c>
      <c r="M22" s="115"/>
      <c r="N22" s="116"/>
      <c r="V22" s="1"/>
    </row>
    <row r="23" spans="2:22" ht="16.5" customHeight="1">
      <c r="B23" s="73"/>
      <c r="C23" s="70"/>
      <c r="D23" s="70"/>
      <c r="E23" s="70"/>
      <c r="F23" s="77"/>
      <c r="G23" s="79"/>
      <c r="H23" s="70"/>
      <c r="I23" s="70"/>
      <c r="J23" s="78"/>
      <c r="K23" s="70"/>
      <c r="M23" s="115"/>
      <c r="N23" s="116"/>
      <c r="V23" s="1"/>
    </row>
    <row r="24" spans="2:22" ht="16.5" customHeight="1">
      <c r="B24" s="89" t="s">
        <v>226</v>
      </c>
      <c r="C24" s="72"/>
      <c r="D24" s="72"/>
      <c r="E24" s="72"/>
      <c r="F24" s="80"/>
      <c r="G24" s="82"/>
      <c r="H24" s="80">
        <v>4071.8663999999994</v>
      </c>
      <c r="I24" s="72"/>
      <c r="J24" s="81">
        <f t="shared" ref="J24:J26" si="2">H24/$H$11</f>
        <v>8.2404098820456712E-2</v>
      </c>
      <c r="K24" s="81">
        <f>H24/'סכום נכסי הקרן'!$C$42</f>
        <v>1.1222788344940654E-3</v>
      </c>
      <c r="M24" s="115"/>
      <c r="N24" s="116"/>
      <c r="V24" s="1"/>
    </row>
    <row r="25" spans="2:22">
      <c r="B25" s="76" t="s">
        <v>1880</v>
      </c>
      <c r="C25" s="70" t="s">
        <v>1881</v>
      </c>
      <c r="D25" s="83" t="s">
        <v>159</v>
      </c>
      <c r="E25" s="97">
        <v>43382</v>
      </c>
      <c r="F25" s="77">
        <v>391607.11</v>
      </c>
      <c r="G25" s="79">
        <v>99.998500000000007</v>
      </c>
      <c r="H25" s="77">
        <v>1357.2898899999998</v>
      </c>
      <c r="I25" s="78">
        <v>3.358106418108559E-6</v>
      </c>
      <c r="J25" s="78">
        <f t="shared" si="2"/>
        <v>2.7468054998947614E-2</v>
      </c>
      <c r="K25" s="78">
        <f>H25/'סכום נכסי הקרן'!$C$42</f>
        <v>3.7409324525475057E-4</v>
      </c>
      <c r="M25" s="115"/>
      <c r="N25" s="116"/>
      <c r="V25" s="1"/>
    </row>
    <row r="26" spans="2:22">
      <c r="B26" s="76" t="s">
        <v>1882</v>
      </c>
      <c r="C26" s="70">
        <v>5299</v>
      </c>
      <c r="D26" s="83" t="s">
        <v>159</v>
      </c>
      <c r="E26" s="97">
        <v>42831</v>
      </c>
      <c r="F26" s="77">
        <v>880714.2</v>
      </c>
      <c r="G26" s="79">
        <v>88.927999999999997</v>
      </c>
      <c r="H26" s="77">
        <v>2714.5765099999999</v>
      </c>
      <c r="I26" s="78">
        <v>1.4627533333333334E-3</v>
      </c>
      <c r="J26" s="78">
        <f t="shared" si="2"/>
        <v>5.4936043821509108E-2</v>
      </c>
      <c r="K26" s="78">
        <f>H26/'סכום נכסי הקרן'!$C$42</f>
        <v>7.4818558923931495E-4</v>
      </c>
      <c r="M26" s="115"/>
      <c r="N26" s="116"/>
      <c r="V26" s="1"/>
    </row>
    <row r="27" spans="2:22">
      <c r="B27" s="73"/>
      <c r="C27" s="70"/>
      <c r="D27" s="70"/>
      <c r="E27" s="70"/>
      <c r="F27" s="77"/>
      <c r="G27" s="79"/>
      <c r="H27" s="70"/>
      <c r="I27" s="70"/>
      <c r="J27" s="78"/>
      <c r="K27" s="70"/>
      <c r="M27" s="115"/>
      <c r="N27" s="116"/>
      <c r="V27" s="1"/>
    </row>
    <row r="28" spans="2:22">
      <c r="B28" s="89" t="s">
        <v>227</v>
      </c>
      <c r="C28" s="72"/>
      <c r="D28" s="72"/>
      <c r="E28" s="72"/>
      <c r="F28" s="80"/>
      <c r="G28" s="82"/>
      <c r="H28" s="80">
        <v>36469.315299999987</v>
      </c>
      <c r="I28" s="72"/>
      <c r="J28" s="81">
        <f t="shared" ref="J28:J59" si="3">H28/$H$11</f>
        <v>0.73804510430292936</v>
      </c>
      <c r="K28" s="81">
        <f>H28/'סכום נכסי הקרן'!$C$42</f>
        <v>1.0051592230452497E-2</v>
      </c>
      <c r="M28" s="115"/>
      <c r="N28" s="116"/>
      <c r="V28" s="1"/>
    </row>
    <row r="29" spans="2:22">
      <c r="B29" s="76" t="s">
        <v>1883</v>
      </c>
      <c r="C29" s="70">
        <v>5291</v>
      </c>
      <c r="D29" s="83" t="s">
        <v>159</v>
      </c>
      <c r="E29" s="97">
        <v>42787</v>
      </c>
      <c r="F29" s="77">
        <v>1224058.6100000001</v>
      </c>
      <c r="G29" s="79">
        <v>98.768600000000006</v>
      </c>
      <c r="H29" s="77">
        <v>4190.3439500000004</v>
      </c>
      <c r="I29" s="78">
        <v>8.2763415164163225E-4</v>
      </c>
      <c r="J29" s="78">
        <f t="shared" si="3"/>
        <v>8.4801779583805359E-2</v>
      </c>
      <c r="K29" s="78">
        <f>H29/'סכום נכסי הקרן'!$C$42</f>
        <v>1.1549333554596141E-3</v>
      </c>
      <c r="M29" s="115"/>
      <c r="N29" s="116"/>
      <c r="V29" s="1"/>
    </row>
    <row r="30" spans="2:22">
      <c r="B30" s="76" t="s">
        <v>1884</v>
      </c>
      <c r="C30" s="70">
        <v>5281</v>
      </c>
      <c r="D30" s="83" t="s">
        <v>159</v>
      </c>
      <c r="E30" s="97">
        <v>42603</v>
      </c>
      <c r="F30" s="77">
        <v>1277637.82</v>
      </c>
      <c r="G30" s="79">
        <v>50.183300000000003</v>
      </c>
      <c r="H30" s="77">
        <v>2222.2633999999998</v>
      </c>
      <c r="I30" s="78">
        <v>4.2016874766105476E-4</v>
      </c>
      <c r="J30" s="78">
        <f t="shared" si="3"/>
        <v>4.497289322132085E-2</v>
      </c>
      <c r="K30" s="78">
        <f>H30/'סכום נכסי הקרן'!$C$42</f>
        <v>6.1249533592035816E-4</v>
      </c>
      <c r="M30" s="115"/>
      <c r="N30" s="116"/>
      <c r="V30" s="1"/>
    </row>
    <row r="31" spans="2:22">
      <c r="B31" s="76" t="s">
        <v>1885</v>
      </c>
      <c r="C31" s="70">
        <v>5302</v>
      </c>
      <c r="D31" s="83" t="s">
        <v>159</v>
      </c>
      <c r="E31" s="97">
        <v>42948</v>
      </c>
      <c r="F31" s="77">
        <v>444735.96</v>
      </c>
      <c r="G31" s="79">
        <v>81.970299999999995</v>
      </c>
      <c r="H31" s="77">
        <v>1263.5351499999999</v>
      </c>
      <c r="I31" s="78">
        <v>7.0170962566396748E-5</v>
      </c>
      <c r="J31" s="78">
        <f t="shared" si="3"/>
        <v>2.557070029697453E-2</v>
      </c>
      <c r="K31" s="78">
        <f>H31/'סכום נכסי הקרן'!$C$42</f>
        <v>3.4825277064205355E-4</v>
      </c>
      <c r="M31" s="115"/>
      <c r="N31" s="116"/>
      <c r="V31" s="1"/>
    </row>
    <row r="32" spans="2:22">
      <c r="B32" s="76" t="s">
        <v>1886</v>
      </c>
      <c r="C32" s="70">
        <v>5290</v>
      </c>
      <c r="D32" s="83" t="s">
        <v>159</v>
      </c>
      <c r="E32" s="97">
        <v>42359</v>
      </c>
      <c r="F32" s="77">
        <v>1080959.1499999999</v>
      </c>
      <c r="G32" s="79">
        <v>74.411199999999994</v>
      </c>
      <c r="H32" s="77">
        <v>2787.8933199999997</v>
      </c>
      <c r="I32" s="78">
        <v>3.2935482125629801E-4</v>
      </c>
      <c r="J32" s="78">
        <f t="shared" si="3"/>
        <v>5.6419787408096486E-2</v>
      </c>
      <c r="K32" s="78">
        <f>H32/'סכום נכסי הקרן'!$C$42</f>
        <v>7.6839300667217141E-4</v>
      </c>
      <c r="M32" s="115"/>
      <c r="N32" s="116"/>
      <c r="V32" s="1"/>
    </row>
    <row r="33" spans="2:22">
      <c r="B33" s="76" t="s">
        <v>1887</v>
      </c>
      <c r="C33" s="70">
        <v>5307</v>
      </c>
      <c r="D33" s="83" t="s">
        <v>159</v>
      </c>
      <c r="E33" s="97">
        <v>42555</v>
      </c>
      <c r="F33" s="77">
        <v>35134</v>
      </c>
      <c r="G33" s="79">
        <v>124.4877</v>
      </c>
      <c r="H33" s="77">
        <v>151.59421</v>
      </c>
      <c r="I33" s="78">
        <v>2.3901019523480128E-4</v>
      </c>
      <c r="J33" s="78">
        <f t="shared" si="3"/>
        <v>3.0678767509290262E-3</v>
      </c>
      <c r="K33" s="78">
        <f>H33/'סכום נכסי הקרן'!$C$42</f>
        <v>4.1782061738285085E-5</v>
      </c>
      <c r="M33" s="115"/>
      <c r="N33" s="116"/>
      <c r="V33" s="1"/>
    </row>
    <row r="34" spans="2:22">
      <c r="B34" s="76" t="s">
        <v>1888</v>
      </c>
      <c r="C34" s="70">
        <v>5294</v>
      </c>
      <c r="D34" s="83" t="s">
        <v>162</v>
      </c>
      <c r="E34" s="97">
        <v>42646</v>
      </c>
      <c r="F34" s="77">
        <v>1405762.51</v>
      </c>
      <c r="G34" s="79">
        <v>104.66070000000001</v>
      </c>
      <c r="H34" s="77">
        <v>6258.9759999999997</v>
      </c>
      <c r="I34" s="78">
        <v>4.3254230304262424E-3</v>
      </c>
      <c r="J34" s="78">
        <f t="shared" si="3"/>
        <v>0.12666556958226011</v>
      </c>
      <c r="K34" s="78">
        <f>H34/'סכום נכסי הקרן'!$C$42</f>
        <v>1.7250851576088863E-3</v>
      </c>
      <c r="M34" s="115"/>
      <c r="N34" s="116"/>
      <c r="V34" s="1"/>
    </row>
    <row r="35" spans="2:22">
      <c r="B35" s="76" t="s">
        <v>1889</v>
      </c>
      <c r="C35" s="70">
        <v>5285</v>
      </c>
      <c r="D35" s="83" t="s">
        <v>159</v>
      </c>
      <c r="E35" s="97">
        <v>42644</v>
      </c>
      <c r="F35" s="77">
        <v>755729.16</v>
      </c>
      <c r="G35" s="79">
        <v>91.322500000000005</v>
      </c>
      <c r="H35" s="77">
        <v>2392.0625399999999</v>
      </c>
      <c r="I35" s="78">
        <v>2.0710860350877188E-4</v>
      </c>
      <c r="J35" s="78">
        <f t="shared" si="3"/>
        <v>4.8409190913256073E-2</v>
      </c>
      <c r="K35" s="78">
        <f>H35/'סכום נכסי הקרן'!$C$42</f>
        <v>6.5929500030455668E-4</v>
      </c>
      <c r="M35" s="115"/>
      <c r="N35" s="116"/>
      <c r="V35" s="1"/>
    </row>
    <row r="36" spans="2:22">
      <c r="B36" s="76" t="s">
        <v>1890</v>
      </c>
      <c r="C36" s="70">
        <v>7000</v>
      </c>
      <c r="D36" s="83" t="s">
        <v>159</v>
      </c>
      <c r="E36" s="97">
        <v>42555</v>
      </c>
      <c r="F36" s="77">
        <v>2172.7199999999998</v>
      </c>
      <c r="G36" s="79">
        <v>100</v>
      </c>
      <c r="H36" s="77">
        <v>7.5306499999999996</v>
      </c>
      <c r="I36" s="78">
        <v>3.5483985945768739E-4</v>
      </c>
      <c r="J36" s="78">
        <f t="shared" si="3"/>
        <v>1.5240097926156723E-4</v>
      </c>
      <c r="K36" s="78">
        <f>H36/'סכום נכסי הקרן'!$C$42</f>
        <v>2.0755811401333635E-6</v>
      </c>
      <c r="M36" s="115"/>
      <c r="N36" s="116"/>
      <c r="V36" s="1"/>
    </row>
    <row r="37" spans="2:22">
      <c r="B37" s="76" t="s">
        <v>1891</v>
      </c>
      <c r="C37" s="70">
        <v>6640</v>
      </c>
      <c r="D37" s="83" t="s">
        <v>159</v>
      </c>
      <c r="E37" s="97">
        <v>43346</v>
      </c>
      <c r="F37" s="77">
        <v>28563.29</v>
      </c>
      <c r="G37" s="79">
        <v>99.750399999999999</v>
      </c>
      <c r="H37" s="77">
        <v>98.753270000000001</v>
      </c>
      <c r="I37" s="78">
        <v>6.4585477941176469E-5</v>
      </c>
      <c r="J37" s="78">
        <f t="shared" si="3"/>
        <v>1.9985120877058357E-3</v>
      </c>
      <c r="K37" s="78">
        <f>H37/'סכום נכסי הקרן'!$C$42</f>
        <v>2.7218158424372121E-5</v>
      </c>
      <c r="M37" s="115"/>
      <c r="N37" s="116"/>
      <c r="V37" s="1"/>
    </row>
    <row r="38" spans="2:22">
      <c r="B38" s="76" t="s">
        <v>1892</v>
      </c>
      <c r="C38" s="70">
        <v>5292</v>
      </c>
      <c r="D38" s="83" t="s">
        <v>161</v>
      </c>
      <c r="E38" s="97">
        <v>42555</v>
      </c>
      <c r="F38" s="77">
        <v>27984.63</v>
      </c>
      <c r="G38" s="79">
        <v>1E-4</v>
      </c>
      <c r="H38" s="77">
        <v>1.1999999999999999E-4</v>
      </c>
      <c r="I38" s="78">
        <v>1.3811792599298592E-4</v>
      </c>
      <c r="J38" s="78">
        <f t="shared" si="3"/>
        <v>2.4284912340087597E-9</v>
      </c>
      <c r="K38" s="78">
        <f>H38/'סכום נכסי הקרן'!$C$42</f>
        <v>3.3074135275972673E-11</v>
      </c>
      <c r="M38" s="115"/>
      <c r="N38" s="116"/>
    </row>
    <row r="39" spans="2:22">
      <c r="B39" s="76" t="s">
        <v>1893</v>
      </c>
      <c r="C39" s="70">
        <v>5329</v>
      </c>
      <c r="D39" s="83" t="s">
        <v>159</v>
      </c>
      <c r="E39" s="97">
        <v>43226</v>
      </c>
      <c r="F39" s="77">
        <v>45850.52</v>
      </c>
      <c r="G39" s="79">
        <v>135.47710000000001</v>
      </c>
      <c r="H39" s="77">
        <v>215.29739000000001</v>
      </c>
      <c r="I39" s="78">
        <v>5.0109857923497263E-5</v>
      </c>
      <c r="J39" s="78">
        <f t="shared" si="3"/>
        <v>4.3570652026663778E-3</v>
      </c>
      <c r="K39" s="78">
        <f>H39/'סכום נכסי הקרן'!$C$42</f>
        <v>5.9339791678532059E-5</v>
      </c>
      <c r="M39" s="117"/>
      <c r="N39" s="116"/>
    </row>
    <row r="40" spans="2:22">
      <c r="B40" s="76" t="s">
        <v>1894</v>
      </c>
      <c r="C40" s="70">
        <v>5296</v>
      </c>
      <c r="D40" s="83" t="s">
        <v>159</v>
      </c>
      <c r="E40" s="97">
        <v>42912</v>
      </c>
      <c r="F40" s="77">
        <v>63242.1</v>
      </c>
      <c r="G40" s="79">
        <v>129.97909999999999</v>
      </c>
      <c r="H40" s="77">
        <v>284.91043000000002</v>
      </c>
      <c r="I40" s="78">
        <v>5.1337040344183781E-3</v>
      </c>
      <c r="J40" s="78">
        <f t="shared" si="3"/>
        <v>5.7658540144388875E-3</v>
      </c>
      <c r="K40" s="78">
        <f>H40/'סכום נכסי הקרן'!$C$42</f>
        <v>7.8526384194629534E-5</v>
      </c>
      <c r="M40" s="117"/>
      <c r="N40" s="116"/>
    </row>
    <row r="41" spans="2:22">
      <c r="B41" s="76" t="s">
        <v>1895</v>
      </c>
      <c r="C41" s="70">
        <v>6659</v>
      </c>
      <c r="D41" s="83" t="s">
        <v>159</v>
      </c>
      <c r="E41" s="97">
        <v>42912</v>
      </c>
      <c r="F41" s="77">
        <v>65247.68</v>
      </c>
      <c r="G41" s="79">
        <v>98.735699999999994</v>
      </c>
      <c r="H41" s="77">
        <v>223.28928999999999</v>
      </c>
      <c r="I41" s="78">
        <v>4.5910890919474587E-4</v>
      </c>
      <c r="J41" s="78">
        <f t="shared" si="3"/>
        <v>4.5188006951086658E-3</v>
      </c>
      <c r="K41" s="78">
        <f>H41/'סכום נכסי הקרן'!$C$42</f>
        <v>6.1542501526132447E-5</v>
      </c>
      <c r="M41" s="117"/>
      <c r="N41" s="116"/>
    </row>
    <row r="42" spans="2:22">
      <c r="B42" s="76" t="s">
        <v>1896</v>
      </c>
      <c r="C42" s="70">
        <v>5293</v>
      </c>
      <c r="D42" s="83" t="s">
        <v>159</v>
      </c>
      <c r="E42" s="97">
        <v>42555</v>
      </c>
      <c r="F42" s="77">
        <v>26487.07</v>
      </c>
      <c r="G42" s="79">
        <v>111.0254</v>
      </c>
      <c r="H42" s="77">
        <v>101.92595</v>
      </c>
      <c r="I42" s="78">
        <v>3.0641398391227512E-5</v>
      </c>
      <c r="J42" s="78">
        <f t="shared" si="3"/>
        <v>2.0627189674417932E-3</v>
      </c>
      <c r="K42" s="78">
        <f>H42/'סכום נכסי הקרן'!$C$42</f>
        <v>2.8092605486933562E-5</v>
      </c>
      <c r="M42" s="117"/>
      <c r="N42" s="116"/>
    </row>
    <row r="43" spans="2:22">
      <c r="B43" s="76" t="s">
        <v>1897</v>
      </c>
      <c r="C43" s="70">
        <v>5308</v>
      </c>
      <c r="D43" s="83" t="s">
        <v>159</v>
      </c>
      <c r="E43" s="97">
        <v>43011</v>
      </c>
      <c r="F43" s="77">
        <v>45523.3</v>
      </c>
      <c r="G43" s="79">
        <v>118.381</v>
      </c>
      <c r="H43" s="77">
        <v>186.786</v>
      </c>
      <c r="I43" s="78">
        <v>1.169201287837464E-4</v>
      </c>
      <c r="J43" s="78">
        <f t="shared" si="3"/>
        <v>3.7800680302963355E-3</v>
      </c>
      <c r="K43" s="78">
        <f>H43/'סכום נכסי הקרן'!$C$42</f>
        <v>5.148154526381527E-5</v>
      </c>
      <c r="M43" s="117"/>
      <c r="N43" s="116"/>
    </row>
    <row r="44" spans="2:22">
      <c r="B44" s="76" t="s">
        <v>1898</v>
      </c>
      <c r="C44" s="70">
        <v>5340</v>
      </c>
      <c r="D44" s="83" t="s">
        <v>162</v>
      </c>
      <c r="E44" s="97">
        <v>43226</v>
      </c>
      <c r="F44" s="77">
        <v>38607.43</v>
      </c>
      <c r="G44" s="79">
        <v>127.2389</v>
      </c>
      <c r="H44" s="77">
        <v>208.977</v>
      </c>
      <c r="I44" s="78">
        <v>1.7380143478260869E-4</v>
      </c>
      <c r="J44" s="78">
        <f t="shared" si="3"/>
        <v>4.2291567717454058E-3</v>
      </c>
      <c r="K44" s="78">
        <f>H44/'סכום נכסי הקרן'!$C$42</f>
        <v>5.7597779729724517E-5</v>
      </c>
      <c r="M44" s="117"/>
      <c r="N44" s="116"/>
    </row>
    <row r="45" spans="2:22">
      <c r="B45" s="76" t="s">
        <v>1899</v>
      </c>
      <c r="C45" s="70">
        <v>5280</v>
      </c>
      <c r="D45" s="83" t="s">
        <v>162</v>
      </c>
      <c r="E45" s="97">
        <v>42555</v>
      </c>
      <c r="F45" s="77">
        <v>23089.759999999998</v>
      </c>
      <c r="G45" s="79">
        <v>1E-4</v>
      </c>
      <c r="H45" s="77">
        <v>8.9999999999999992E-5</v>
      </c>
      <c r="I45" s="78">
        <v>6.0922849604221627E-4</v>
      </c>
      <c r="J45" s="78">
        <f t="shared" si="3"/>
        <v>1.82136842550657E-9</v>
      </c>
      <c r="K45" s="78">
        <f>H45/'סכום נכסי הקרן'!$C$42</f>
        <v>2.4805601456979506E-11</v>
      </c>
      <c r="M45" s="117"/>
      <c r="N45" s="116"/>
    </row>
    <row r="46" spans="2:22">
      <c r="B46" s="76" t="s">
        <v>1900</v>
      </c>
      <c r="C46" s="70">
        <v>5318</v>
      </c>
      <c r="D46" s="83" t="s">
        <v>161</v>
      </c>
      <c r="E46" s="97">
        <v>42555</v>
      </c>
      <c r="F46" s="77">
        <v>23584.28</v>
      </c>
      <c r="G46" s="79">
        <v>103.7702</v>
      </c>
      <c r="H46" s="77">
        <v>95.02555000000001</v>
      </c>
      <c r="I46" s="78">
        <v>1.915778861788618E-4</v>
      </c>
      <c r="J46" s="78">
        <f t="shared" si="3"/>
        <v>1.9230726265155097E-3</v>
      </c>
      <c r="K46" s="78">
        <f>H46/'סכום נכסי הקרן'!$C$42</f>
        <v>2.6190732461447548E-5</v>
      </c>
      <c r="M46" s="117"/>
      <c r="N46" s="116"/>
    </row>
    <row r="47" spans="2:22">
      <c r="B47" s="76" t="s">
        <v>1901</v>
      </c>
      <c r="C47" s="70">
        <v>5319</v>
      </c>
      <c r="D47" s="83" t="s">
        <v>159</v>
      </c>
      <c r="E47" s="97">
        <v>42555</v>
      </c>
      <c r="F47" s="77">
        <v>44176.12</v>
      </c>
      <c r="G47" s="79">
        <v>101.1772</v>
      </c>
      <c r="H47" s="77">
        <v>154.91689000000002</v>
      </c>
      <c r="I47" s="78">
        <v>8.0322221181256014E-4</v>
      </c>
      <c r="J47" s="78">
        <f t="shared" si="3"/>
        <v>3.1351192447074952E-3</v>
      </c>
      <c r="K47" s="78">
        <f>H47/'סכום נכסי הקרן'!$C$42</f>
        <v>4.2697851469941498E-5</v>
      </c>
      <c r="M47" s="117"/>
      <c r="N47" s="116"/>
    </row>
    <row r="48" spans="2:22">
      <c r="B48" s="76" t="s">
        <v>1902</v>
      </c>
      <c r="C48" s="70">
        <v>5324</v>
      </c>
      <c r="D48" s="83" t="s">
        <v>161</v>
      </c>
      <c r="E48" s="97">
        <v>43192</v>
      </c>
      <c r="F48" s="77">
        <v>31069.06</v>
      </c>
      <c r="G48" s="79">
        <v>170.4479</v>
      </c>
      <c r="H48" s="77">
        <v>205.61976999999999</v>
      </c>
      <c r="I48" s="78">
        <v>3.4465273809523812E-4</v>
      </c>
      <c r="J48" s="78">
        <f t="shared" si="3"/>
        <v>4.1612150748658117E-3</v>
      </c>
      <c r="K48" s="78">
        <f>H48/'סכום נכסי הקרן'!$C$42</f>
        <v>5.6672467403286569E-5</v>
      </c>
      <c r="M48" s="115"/>
      <c r="N48" s="116"/>
    </row>
    <row r="49" spans="2:14">
      <c r="B49" s="76" t="s">
        <v>1903</v>
      </c>
      <c r="C49" s="70">
        <v>5325</v>
      </c>
      <c r="D49" s="83" t="s">
        <v>159</v>
      </c>
      <c r="E49" s="97">
        <v>43192</v>
      </c>
      <c r="F49" s="77">
        <v>60531.68</v>
      </c>
      <c r="G49" s="79">
        <v>172.08930000000001</v>
      </c>
      <c r="H49" s="77">
        <v>361.04818999999998</v>
      </c>
      <c r="I49" s="78">
        <v>3.5625352122264884E-5</v>
      </c>
      <c r="J49" s="78">
        <f t="shared" si="3"/>
        <v>7.3066863705810768E-3</v>
      </c>
      <c r="K49" s="78">
        <f>H49/'סכום נכסי הקרן'!$C$42</f>
        <v>9.9511305643375711E-5</v>
      </c>
      <c r="M49" s="115"/>
      <c r="N49" s="116"/>
    </row>
    <row r="50" spans="2:14">
      <c r="B50" s="76" t="s">
        <v>1904</v>
      </c>
      <c r="C50" s="70">
        <v>5330</v>
      </c>
      <c r="D50" s="83" t="s">
        <v>159</v>
      </c>
      <c r="E50" s="97">
        <v>42555</v>
      </c>
      <c r="F50" s="77">
        <v>61302.15</v>
      </c>
      <c r="G50" s="79">
        <v>87.5869</v>
      </c>
      <c r="H50" s="77">
        <v>186.09873000000002</v>
      </c>
      <c r="I50" s="78">
        <v>3.2140815473078936E-5</v>
      </c>
      <c r="J50" s="78">
        <f t="shared" si="3"/>
        <v>3.7661594538763591E-3</v>
      </c>
      <c r="K50" s="78">
        <f>H50/'סכום נכסי הקרן'!$C$42</f>
        <v>5.1292121422555959E-5</v>
      </c>
      <c r="M50" s="115"/>
      <c r="N50" s="116"/>
    </row>
    <row r="51" spans="2:14">
      <c r="B51" s="76" t="s">
        <v>1905</v>
      </c>
      <c r="C51" s="70">
        <v>5311</v>
      </c>
      <c r="D51" s="83" t="s">
        <v>159</v>
      </c>
      <c r="E51" s="97">
        <v>43089</v>
      </c>
      <c r="F51" s="77">
        <v>88822.96</v>
      </c>
      <c r="G51" s="79">
        <v>104.7384</v>
      </c>
      <c r="H51" s="77">
        <v>322.44804999999997</v>
      </c>
      <c r="I51" s="78">
        <v>1.1582802197802197E-4</v>
      </c>
      <c r="J51" s="78">
        <f t="shared" si="3"/>
        <v>6.5255188570684857E-3</v>
      </c>
      <c r="K51" s="78">
        <f>H51/'סכום נכסי הקרן'!$C$42</f>
        <v>8.8872420209780003E-5</v>
      </c>
      <c r="M51" s="117"/>
      <c r="N51" s="116"/>
    </row>
    <row r="52" spans="2:14">
      <c r="B52" s="76" t="s">
        <v>1906</v>
      </c>
      <c r="C52" s="70">
        <v>5287</v>
      </c>
      <c r="D52" s="83" t="s">
        <v>161</v>
      </c>
      <c r="E52" s="97">
        <v>42735</v>
      </c>
      <c r="F52" s="77">
        <v>1065231.01</v>
      </c>
      <c r="G52" s="79">
        <v>94.878</v>
      </c>
      <c r="H52" s="77">
        <v>3924.2290099999996</v>
      </c>
      <c r="I52" s="78">
        <v>6.9270184254733777E-4</v>
      </c>
      <c r="J52" s="78">
        <f t="shared" si="3"/>
        <v>7.9416297925232276E-2</v>
      </c>
      <c r="K52" s="78">
        <f>H52/'סכום נכסי הקרן'!$C$42</f>
        <v>1.0815873427553026E-3</v>
      </c>
      <c r="M52" s="117"/>
      <c r="N52" s="117"/>
    </row>
    <row r="53" spans="2:14">
      <c r="B53" s="76" t="s">
        <v>1907</v>
      </c>
      <c r="C53" s="70">
        <v>5306</v>
      </c>
      <c r="D53" s="83" t="s">
        <v>161</v>
      </c>
      <c r="E53" s="97">
        <v>43068</v>
      </c>
      <c r="F53" s="77">
        <v>17858.3</v>
      </c>
      <c r="G53" s="79">
        <v>75.458699999999993</v>
      </c>
      <c r="H53" s="77">
        <v>52.323219999999999</v>
      </c>
      <c r="I53" s="78">
        <v>7.3675202843281507E-5</v>
      </c>
      <c r="J53" s="78">
        <f t="shared" si="3"/>
        <v>1.0588873425425986E-3</v>
      </c>
      <c r="K53" s="78">
        <f>H53/'סכום נכסי הקרן'!$C$42</f>
        <v>1.4421210469620659E-5</v>
      </c>
    </row>
    <row r="54" spans="2:14">
      <c r="B54" s="76" t="s">
        <v>1908</v>
      </c>
      <c r="C54" s="70">
        <v>5284</v>
      </c>
      <c r="D54" s="83" t="s">
        <v>161</v>
      </c>
      <c r="E54" s="97">
        <v>42531</v>
      </c>
      <c r="F54" s="77">
        <v>998252.13</v>
      </c>
      <c r="G54" s="79">
        <v>83.681600000000003</v>
      </c>
      <c r="H54" s="77">
        <v>3243.5099799999998</v>
      </c>
      <c r="I54" s="78">
        <v>1.1149895866666667E-3</v>
      </c>
      <c r="J54" s="78">
        <f t="shared" si="3"/>
        <v>6.5640296282082733E-2</v>
      </c>
      <c r="K54" s="78">
        <f>H54/'סכום נכסי הקרן'!$C$42</f>
        <v>8.9396906539572854E-4</v>
      </c>
    </row>
    <row r="55" spans="2:14">
      <c r="B55" s="76" t="s">
        <v>1909</v>
      </c>
      <c r="C55" s="70">
        <v>5276</v>
      </c>
      <c r="D55" s="83" t="s">
        <v>159</v>
      </c>
      <c r="E55" s="97">
        <v>42423</v>
      </c>
      <c r="F55" s="77">
        <v>866759.85</v>
      </c>
      <c r="G55" s="79">
        <v>132.67949999999999</v>
      </c>
      <c r="H55" s="77">
        <v>3985.9438100000002</v>
      </c>
      <c r="I55" s="78">
        <v>1.1733333333333333E-4</v>
      </c>
      <c r="J55" s="78">
        <f t="shared" si="3"/>
        <v>8.0665246681970657E-2</v>
      </c>
      <c r="K55" s="78">
        <f>H55/'סכום נכסי הקרן'!$C$42</f>
        <v>1.0985970397863829E-3</v>
      </c>
    </row>
    <row r="56" spans="2:14">
      <c r="B56" s="76" t="s">
        <v>1910</v>
      </c>
      <c r="C56" s="70">
        <v>5312</v>
      </c>
      <c r="D56" s="83" t="s">
        <v>159</v>
      </c>
      <c r="E56" s="97">
        <v>42555</v>
      </c>
      <c r="F56" s="77">
        <v>21959.06</v>
      </c>
      <c r="G56" s="79">
        <v>127.411</v>
      </c>
      <c r="H56" s="77">
        <v>96.972649999999987</v>
      </c>
      <c r="I56" s="78">
        <v>8.3809847315279354E-4</v>
      </c>
      <c r="J56" s="78">
        <f t="shared" si="3"/>
        <v>1.9624769205299963E-3</v>
      </c>
      <c r="K56" s="78">
        <f>H56/'סכום נכסי הקרן'!$C$42</f>
        <v>2.6727387868079594E-5</v>
      </c>
    </row>
    <row r="57" spans="2:14">
      <c r="B57" s="76" t="s">
        <v>1911</v>
      </c>
      <c r="C57" s="70">
        <v>5286</v>
      </c>
      <c r="D57" s="83" t="s">
        <v>159</v>
      </c>
      <c r="E57" s="97">
        <v>42705</v>
      </c>
      <c r="F57" s="77">
        <v>743566.4</v>
      </c>
      <c r="G57" s="79">
        <v>118.0611</v>
      </c>
      <c r="H57" s="77">
        <v>3042.67202</v>
      </c>
      <c r="I57" s="78">
        <v>3.9168054927551981E-4</v>
      </c>
      <c r="J57" s="78">
        <f t="shared" si="3"/>
        <v>6.1575852737781059E-2</v>
      </c>
      <c r="K57" s="78">
        <f>H57/'סכום נכסי הקרן'!$C$42</f>
        <v>8.3861454991580864E-4</v>
      </c>
    </row>
    <row r="58" spans="2:14">
      <c r="B58" s="76" t="s">
        <v>1912</v>
      </c>
      <c r="C58" s="70">
        <v>5338</v>
      </c>
      <c r="D58" s="83" t="s">
        <v>159</v>
      </c>
      <c r="E58" s="97">
        <v>43070</v>
      </c>
      <c r="F58" s="77">
        <v>27414.92</v>
      </c>
      <c r="G58" s="79">
        <v>111.0642</v>
      </c>
      <c r="H58" s="77">
        <v>105.53336</v>
      </c>
      <c r="I58" s="78">
        <v>1.0038428571428572E-4</v>
      </c>
      <c r="J58" s="78">
        <f t="shared" si="3"/>
        <v>2.1357236637957562E-3</v>
      </c>
      <c r="K58" s="78">
        <f>H58/'סכום נכסי הקרן'!$C$42</f>
        <v>2.9086871873066032E-5</v>
      </c>
    </row>
    <row r="59" spans="2:14">
      <c r="B59" s="76" t="s">
        <v>1913</v>
      </c>
      <c r="C59" s="70">
        <v>6641</v>
      </c>
      <c r="D59" s="83" t="s">
        <v>159</v>
      </c>
      <c r="E59" s="97">
        <v>43281</v>
      </c>
      <c r="F59" s="77">
        <v>30441.81</v>
      </c>
      <c r="G59" s="79">
        <v>93.672700000000006</v>
      </c>
      <c r="H59" s="77">
        <v>98.835309999999993</v>
      </c>
      <c r="I59" s="78">
        <v>1.0096120689655173E-4</v>
      </c>
      <c r="J59" s="78">
        <f t="shared" si="3"/>
        <v>2.0001723662128193E-3</v>
      </c>
      <c r="K59" s="78">
        <f>H59/'סכום נכסי הקרן'!$C$42</f>
        <v>2.7240770108189123E-5</v>
      </c>
    </row>
    <row r="60" spans="2:14">
      <c r="C60" s="1"/>
    </row>
    <row r="61" spans="2:14">
      <c r="C61" s="1"/>
    </row>
    <row r="62" spans="2:14">
      <c r="C62" s="1"/>
    </row>
    <row r="63" spans="2:14">
      <c r="B63" s="85" t="s">
        <v>108</v>
      </c>
      <c r="C63" s="1"/>
    </row>
    <row r="64" spans="2:14">
      <c r="B64" s="85" t="s">
        <v>234</v>
      </c>
      <c r="C64" s="1"/>
    </row>
    <row r="65" spans="2:3">
      <c r="B65" s="85" t="s">
        <v>242</v>
      </c>
      <c r="C65" s="1"/>
    </row>
    <row r="66" spans="2:3">
      <c r="C66" s="1"/>
    </row>
    <row r="67" spans="2:3">
      <c r="C67" s="1"/>
    </row>
    <row r="68" spans="2:3">
      <c r="C68" s="1"/>
    </row>
    <row r="69" spans="2:3">
      <c r="C69" s="1"/>
    </row>
    <row r="70" spans="2:3">
      <c r="C70" s="1"/>
    </row>
    <row r="71" spans="2:3">
      <c r="C71" s="1"/>
    </row>
    <row r="72" spans="2:3">
      <c r="C72" s="1"/>
    </row>
    <row r="73" spans="2:3">
      <c r="C73" s="1"/>
    </row>
    <row r="74" spans="2:3">
      <c r="C74" s="1"/>
    </row>
    <row r="75" spans="2:3">
      <c r="C75" s="1"/>
    </row>
    <row r="76" spans="2:3">
      <c r="C76" s="1"/>
    </row>
    <row r="77" spans="2:3">
      <c r="C77" s="1"/>
    </row>
    <row r="78" spans="2:3">
      <c r="C78" s="1"/>
    </row>
    <row r="79" spans="2:3">
      <c r="C79" s="1"/>
    </row>
    <row r="80" spans="2:3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1"/>
    </row>
    <row r="88" spans="3:3">
      <c r="C88" s="1"/>
    </row>
    <row r="89" spans="3:3">
      <c r="C89" s="1"/>
    </row>
    <row r="90" spans="3:3">
      <c r="C90" s="1"/>
    </row>
    <row r="91" spans="3:3">
      <c r="C91" s="1"/>
    </row>
    <row r="92" spans="3:3">
      <c r="C92" s="1"/>
    </row>
    <row r="93" spans="3:3">
      <c r="C93" s="1"/>
    </row>
    <row r="94" spans="3:3">
      <c r="C94" s="1"/>
    </row>
    <row r="95" spans="3:3">
      <c r="C95" s="1"/>
    </row>
    <row r="96" spans="3:3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AH39:XFD41 J39:AF41 J1:XFD38 J42:XFD1048576 D1:I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>
      <selection activeCell="J12" sqref="J12:J13"/>
    </sheetView>
  </sheetViews>
  <sheetFormatPr defaultColWidth="9.140625" defaultRowHeight="18"/>
  <cols>
    <col min="1" max="1" width="6.28515625" style="1" customWidth="1"/>
    <col min="2" max="2" width="24.42578125" style="2" bestFit="1" customWidth="1"/>
    <col min="3" max="3" width="35.7109375" style="2" customWidth="1"/>
    <col min="4" max="4" width="33" style="2" bestFit="1" customWidth="1"/>
    <col min="5" max="5" width="12" style="1" bestFit="1" customWidth="1"/>
    <col min="6" max="6" width="11.28515625" style="1" bestFit="1" customWidth="1"/>
    <col min="7" max="8" width="7.285156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47" t="s">
        <v>175</v>
      </c>
      <c r="C1" s="68" t="s" vm="1">
        <v>259</v>
      </c>
    </row>
    <row r="2" spans="2:59">
      <c r="B2" s="47" t="s">
        <v>174</v>
      </c>
      <c r="C2" s="68" t="s">
        <v>260</v>
      </c>
    </row>
    <row r="3" spans="2:59">
      <c r="B3" s="47" t="s">
        <v>176</v>
      </c>
      <c r="C3" s="68" t="s">
        <v>261</v>
      </c>
    </row>
    <row r="4" spans="2:59">
      <c r="B4" s="47" t="s">
        <v>177</v>
      </c>
      <c r="C4" s="68">
        <v>2207</v>
      </c>
    </row>
    <row r="6" spans="2:59" ht="26.25" customHeight="1">
      <c r="B6" s="126" t="s">
        <v>206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59" ht="26.25" customHeight="1">
      <c r="B7" s="126" t="s">
        <v>95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</row>
    <row r="8" spans="2:59" s="3" customFormat="1" ht="78.75">
      <c r="B8" s="22" t="s">
        <v>112</v>
      </c>
      <c r="C8" s="30" t="s">
        <v>43</v>
      </c>
      <c r="D8" s="30" t="s">
        <v>63</v>
      </c>
      <c r="E8" s="30" t="s">
        <v>99</v>
      </c>
      <c r="F8" s="30" t="s">
        <v>100</v>
      </c>
      <c r="G8" s="30" t="s">
        <v>236</v>
      </c>
      <c r="H8" s="30" t="s">
        <v>235</v>
      </c>
      <c r="I8" s="30" t="s">
        <v>107</v>
      </c>
      <c r="J8" s="30" t="s">
        <v>57</v>
      </c>
      <c r="K8" s="30" t="s">
        <v>178</v>
      </c>
      <c r="L8" s="31" t="s">
        <v>180</v>
      </c>
      <c r="M8" s="1"/>
      <c r="N8" s="1"/>
      <c r="O8" s="1"/>
      <c r="P8" s="1"/>
      <c r="BG8" s="1"/>
    </row>
    <row r="9" spans="2:59" s="3" customFormat="1" ht="24" customHeight="1">
      <c r="B9" s="15"/>
      <c r="C9" s="16"/>
      <c r="D9" s="16"/>
      <c r="E9" s="16"/>
      <c r="F9" s="16" t="s">
        <v>21</v>
      </c>
      <c r="G9" s="16" t="s">
        <v>243</v>
      </c>
      <c r="H9" s="16"/>
      <c r="I9" s="16" t="s">
        <v>239</v>
      </c>
      <c r="J9" s="32" t="s">
        <v>19</v>
      </c>
      <c r="K9" s="32" t="s">
        <v>19</v>
      </c>
      <c r="L9" s="33" t="s">
        <v>19</v>
      </c>
      <c r="M9" s="1"/>
      <c r="N9" s="1"/>
      <c r="O9" s="1"/>
      <c r="P9" s="1"/>
      <c r="BG9" s="1"/>
    </row>
    <row r="10" spans="2:59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M10" s="1"/>
      <c r="N10" s="1"/>
      <c r="O10" s="1"/>
      <c r="P10" s="1"/>
      <c r="BG10" s="1"/>
    </row>
    <row r="11" spans="2:59" s="4" customFormat="1" ht="18" customHeight="1">
      <c r="B11" s="69" t="s">
        <v>46</v>
      </c>
      <c r="C11" s="70"/>
      <c r="D11" s="70"/>
      <c r="E11" s="70"/>
      <c r="F11" s="70"/>
      <c r="G11" s="77"/>
      <c r="H11" s="79"/>
      <c r="I11" s="77">
        <v>1.5696000489999999</v>
      </c>
      <c r="J11" s="70"/>
      <c r="K11" s="78">
        <f>I11/$I$11</f>
        <v>1</v>
      </c>
      <c r="L11" s="78">
        <f>I11/'סכום נכסי הקרן'!$C$42</f>
        <v>4.3260970291499451E-7</v>
      </c>
      <c r="M11" s="1"/>
      <c r="N11" s="1"/>
      <c r="O11" s="1"/>
      <c r="P11" s="1"/>
      <c r="BG11" s="1"/>
    </row>
    <row r="12" spans="2:59" ht="21" customHeight="1">
      <c r="B12" s="95" t="s">
        <v>230</v>
      </c>
      <c r="C12" s="70"/>
      <c r="D12" s="70"/>
      <c r="E12" s="70"/>
      <c r="F12" s="70"/>
      <c r="G12" s="77"/>
      <c r="H12" s="79"/>
      <c r="I12" s="77">
        <v>1.5696000489999999</v>
      </c>
      <c r="J12" s="78">
        <v>0</v>
      </c>
      <c r="K12" s="78">
        <f t="shared" ref="K12:K13" si="0">I12/$I$11</f>
        <v>1</v>
      </c>
      <c r="L12" s="78">
        <f>I12/'סכום נכסי הקרן'!$C$42</f>
        <v>4.3260970291499451E-7</v>
      </c>
    </row>
    <row r="13" spans="2:59">
      <c r="B13" s="73" t="s">
        <v>1914</v>
      </c>
      <c r="C13" s="70" t="s">
        <v>1915</v>
      </c>
      <c r="D13" s="83" t="s">
        <v>1226</v>
      </c>
      <c r="E13" s="83" t="s">
        <v>159</v>
      </c>
      <c r="F13" s="97">
        <v>43879</v>
      </c>
      <c r="G13" s="77">
        <v>416.654856</v>
      </c>
      <c r="H13" s="79">
        <v>108.68859999999999</v>
      </c>
      <c r="I13" s="77">
        <v>1.5696000489999999</v>
      </c>
      <c r="J13" s="78">
        <v>0</v>
      </c>
      <c r="K13" s="78">
        <f t="shared" si="0"/>
        <v>1</v>
      </c>
      <c r="L13" s="78">
        <f>I13/'סכום נכסי הקרן'!$C$42</f>
        <v>4.3260970291499451E-7</v>
      </c>
    </row>
    <row r="14" spans="2:59">
      <c r="B14" s="69"/>
      <c r="C14" s="70"/>
      <c r="D14" s="70"/>
      <c r="E14" s="70"/>
      <c r="F14" s="70"/>
      <c r="G14" s="77"/>
      <c r="H14" s="79"/>
      <c r="I14" s="70"/>
      <c r="J14" s="70"/>
      <c r="K14" s="78"/>
      <c r="L14" s="70"/>
    </row>
    <row r="15" spans="2:59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2:59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2:12">
      <c r="B17" s="103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2:12">
      <c r="B18" s="103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2:12">
      <c r="B19" s="103"/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2:12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</row>
    <row r="21" spans="2:12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2:12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2:12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2:12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2:12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2:12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2:12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2:12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2:12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2:12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2:12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2:12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2:12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2:12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2:12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2:1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2:12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2:12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2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2:12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2:12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2:12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2:12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2:12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2:12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2:12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2:12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2:12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2:12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2:12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2:12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2:12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2:12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2:12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2:12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2:12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2:12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2:12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2:12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2:12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2:12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2:12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2:12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2:12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2:12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2:12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2:12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2:12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2:12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2:12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spans="2:12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2:12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2:12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2:12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</row>
    <row r="75" spans="2:12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</row>
    <row r="76" spans="2:12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2:12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</row>
    <row r="78" spans="2:12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</row>
    <row r="79" spans="2:12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</row>
    <row r="80" spans="2:12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  <row r="81" spans="2:12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2:12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2:12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</row>
    <row r="84" spans="2:12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</row>
    <row r="85" spans="2:12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2:12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2:12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</row>
    <row r="88" spans="2:12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2:12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</row>
    <row r="90" spans="2:12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</row>
    <row r="91" spans="2:12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2:12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</row>
    <row r="93" spans="2:12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</row>
    <row r="94" spans="2:12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2:12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</row>
    <row r="96" spans="2:12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2:12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</row>
    <row r="98" spans="2:12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</row>
    <row r="99" spans="2:12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</row>
    <row r="100" spans="2:12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2:12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</row>
    <row r="102" spans="2:12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2:12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</row>
    <row r="104" spans="2:12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2:12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</row>
    <row r="106" spans="2:12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</row>
    <row r="107" spans="2:12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</row>
    <row r="108" spans="2:12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</row>
    <row r="109" spans="2:12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2:12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2:12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</row>
    <row r="112" spans="2:12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</row>
    <row r="113" spans="2:12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</row>
    <row r="114" spans="2:12">
      <c r="C114" s="1"/>
      <c r="D114" s="1"/>
    </row>
    <row r="115" spans="2:12">
      <c r="C115" s="1"/>
      <c r="D115" s="1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AH39:XFD41 D42:XFD1048576 D39:AF41 D1:XFD38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>
      <selection activeCell="I11" sqref="I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47" t="s">
        <v>175</v>
      </c>
      <c r="C1" s="68" t="s" vm="1">
        <v>259</v>
      </c>
    </row>
    <row r="2" spans="2:54">
      <c r="B2" s="47" t="s">
        <v>174</v>
      </c>
      <c r="C2" s="68" t="s">
        <v>260</v>
      </c>
    </row>
    <row r="3" spans="2:54">
      <c r="B3" s="47" t="s">
        <v>176</v>
      </c>
      <c r="C3" s="68" t="s">
        <v>261</v>
      </c>
    </row>
    <row r="4" spans="2:54">
      <c r="B4" s="47" t="s">
        <v>177</v>
      </c>
      <c r="C4" s="68">
        <v>2207</v>
      </c>
    </row>
    <row r="6" spans="2:54" ht="26.25" customHeight="1">
      <c r="B6" s="126" t="s">
        <v>206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54" ht="26.25" customHeight="1">
      <c r="B7" s="126" t="s">
        <v>96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</row>
    <row r="8" spans="2:54" s="3" customFormat="1" ht="78.75">
      <c r="B8" s="22" t="s">
        <v>112</v>
      </c>
      <c r="C8" s="30" t="s">
        <v>43</v>
      </c>
      <c r="D8" s="30" t="s">
        <v>63</v>
      </c>
      <c r="E8" s="30" t="s">
        <v>99</v>
      </c>
      <c r="F8" s="30" t="s">
        <v>100</v>
      </c>
      <c r="G8" s="30" t="s">
        <v>236</v>
      </c>
      <c r="H8" s="30" t="s">
        <v>235</v>
      </c>
      <c r="I8" s="30" t="s">
        <v>107</v>
      </c>
      <c r="J8" s="30" t="s">
        <v>57</v>
      </c>
      <c r="K8" s="30" t="s">
        <v>178</v>
      </c>
      <c r="L8" s="31" t="s">
        <v>180</v>
      </c>
      <c r="M8" s="1"/>
      <c r="AZ8" s="1"/>
    </row>
    <row r="9" spans="2:54" s="3" customFormat="1" ht="21" customHeight="1">
      <c r="B9" s="15"/>
      <c r="C9" s="16"/>
      <c r="D9" s="16"/>
      <c r="E9" s="16"/>
      <c r="F9" s="16" t="s">
        <v>21</v>
      </c>
      <c r="G9" s="16" t="s">
        <v>243</v>
      </c>
      <c r="H9" s="16"/>
      <c r="I9" s="16" t="s">
        <v>239</v>
      </c>
      <c r="J9" s="32" t="s">
        <v>19</v>
      </c>
      <c r="K9" s="32" t="s">
        <v>19</v>
      </c>
      <c r="L9" s="33" t="s">
        <v>19</v>
      </c>
      <c r="AZ9" s="1"/>
    </row>
    <row r="10" spans="2:54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AZ10" s="1"/>
    </row>
    <row r="11" spans="2:54" s="4" customFormat="1" ht="18" customHeight="1">
      <c r="B11" s="69"/>
      <c r="C11" s="69"/>
      <c r="D11" s="69"/>
      <c r="E11" s="69"/>
      <c r="F11" s="69"/>
      <c r="G11" s="69"/>
      <c r="H11" s="69"/>
      <c r="I11" s="109">
        <v>0</v>
      </c>
      <c r="J11" s="69"/>
      <c r="K11" s="69"/>
      <c r="L11" s="69"/>
      <c r="AZ11" s="1"/>
    </row>
    <row r="12" spans="2:54" ht="19.5" customHeight="1">
      <c r="B12" s="85" t="s">
        <v>251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</row>
    <row r="13" spans="2:54">
      <c r="B13" s="85" t="s">
        <v>108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2:54">
      <c r="B14" s="85" t="s">
        <v>234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spans="2:54">
      <c r="B15" s="85" t="s">
        <v>242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2:54" s="7" customFormat="1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AZ16" s="1"/>
      <c r="BB16" s="1"/>
    </row>
    <row r="17" spans="2:54" s="7" customFormat="1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AZ17" s="1"/>
      <c r="BB17" s="1"/>
    </row>
    <row r="18" spans="2:54" s="7" customFormat="1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AZ18" s="1"/>
      <c r="BB18" s="1"/>
    </row>
    <row r="19" spans="2:54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2:54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</row>
    <row r="21" spans="2:54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2:54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2:54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2:54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2:54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2:54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2:54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2:54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2:54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2:54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2:54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2:54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2:12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2:12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2:12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2:1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2:12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2:12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2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2:12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2:12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2:12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2:12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2:12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2:12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2:12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2:12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2:12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2:12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2:12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2:12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2:12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2:12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2:12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2:12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2:12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2:12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2:12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2:12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2:12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2:12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2:12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2:12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2:12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2:12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2:12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2:12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2:12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2:12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2:12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spans="2:12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2:12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2:12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2:12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</row>
    <row r="75" spans="2:12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</row>
    <row r="76" spans="2:12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2:12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</row>
    <row r="78" spans="2:12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</row>
    <row r="79" spans="2:12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</row>
    <row r="80" spans="2:12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  <row r="81" spans="2:12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2:12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2:12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</row>
    <row r="84" spans="2:12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</row>
    <row r="85" spans="2:12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2:12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2:12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</row>
    <row r="88" spans="2:12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2:12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</row>
    <row r="90" spans="2:12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</row>
    <row r="91" spans="2:12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2:12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</row>
    <row r="93" spans="2:12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</row>
    <row r="94" spans="2:12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2:12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</row>
    <row r="96" spans="2:12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2:12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</row>
    <row r="98" spans="2:12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</row>
    <row r="99" spans="2:12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</row>
    <row r="100" spans="2:12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2:12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</row>
    <row r="102" spans="2:12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2:12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</row>
    <row r="104" spans="2:12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2:12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</row>
    <row r="106" spans="2:12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</row>
    <row r="107" spans="2:12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</row>
    <row r="108" spans="2:12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</row>
    <row r="109" spans="2:12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2:12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AH44:XFD47 D48:XFD1048576 D44:AF47 D1:H43 J1:XFD43 I1:I10 I12:I43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7"/>
  <sheetViews>
    <sheetView rightToLeft="1" workbookViewId="0">
      <selection activeCell="J49" sqref="J49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4" style="2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26.570312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4">
      <c r="B1" s="47" t="s">
        <v>175</v>
      </c>
      <c r="C1" s="68" t="s" vm="1">
        <v>259</v>
      </c>
    </row>
    <row r="2" spans="2:14">
      <c r="B2" s="47" t="s">
        <v>174</v>
      </c>
      <c r="C2" s="68" t="s">
        <v>260</v>
      </c>
    </row>
    <row r="3" spans="2:14">
      <c r="B3" s="47" t="s">
        <v>176</v>
      </c>
      <c r="C3" s="68" t="s">
        <v>261</v>
      </c>
    </row>
    <row r="4" spans="2:14">
      <c r="B4" s="47" t="s">
        <v>177</v>
      </c>
      <c r="C4" s="68">
        <v>2207</v>
      </c>
    </row>
    <row r="6" spans="2:14" ht="26.25" customHeight="1">
      <c r="B6" s="126" t="s">
        <v>204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14" s="3" customFormat="1" ht="63">
      <c r="B7" s="67" t="s">
        <v>111</v>
      </c>
      <c r="C7" s="50" t="s">
        <v>43</v>
      </c>
      <c r="D7" s="50" t="s">
        <v>113</v>
      </c>
      <c r="E7" s="50" t="s">
        <v>14</v>
      </c>
      <c r="F7" s="50" t="s">
        <v>64</v>
      </c>
      <c r="G7" s="50" t="s">
        <v>99</v>
      </c>
      <c r="H7" s="50" t="s">
        <v>16</v>
      </c>
      <c r="I7" s="50" t="s">
        <v>18</v>
      </c>
      <c r="J7" s="50" t="s">
        <v>60</v>
      </c>
      <c r="K7" s="50" t="s">
        <v>178</v>
      </c>
      <c r="L7" s="52" t="s">
        <v>179</v>
      </c>
      <c r="M7" s="1"/>
    </row>
    <row r="8" spans="2:14" s="3" customFormat="1" ht="28.5" customHeight="1">
      <c r="B8" s="15"/>
      <c r="C8" s="16"/>
      <c r="D8" s="16"/>
      <c r="E8" s="16"/>
      <c r="F8" s="16"/>
      <c r="G8" s="16"/>
      <c r="H8" s="16" t="s">
        <v>19</v>
      </c>
      <c r="I8" s="16" t="s">
        <v>19</v>
      </c>
      <c r="J8" s="16" t="s">
        <v>239</v>
      </c>
      <c r="K8" s="16" t="s">
        <v>19</v>
      </c>
      <c r="L8" s="17" t="s">
        <v>19</v>
      </c>
    </row>
    <row r="9" spans="2:14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20" t="s">
        <v>9</v>
      </c>
    </row>
    <row r="10" spans="2:14" s="4" customFormat="1" ht="18" customHeight="1">
      <c r="B10" s="87" t="s">
        <v>42</v>
      </c>
      <c r="C10" s="88"/>
      <c r="D10" s="88"/>
      <c r="E10" s="88"/>
      <c r="F10" s="88"/>
      <c r="G10" s="88"/>
      <c r="H10" s="88"/>
      <c r="I10" s="88"/>
      <c r="J10" s="90">
        <f>J11+J50</f>
        <v>70874.374359601003</v>
      </c>
      <c r="K10" s="93">
        <f>J10/$J$10</f>
        <v>1</v>
      </c>
      <c r="L10" s="93">
        <f>J10/'סכום נכסי הקרן'!$C$42</f>
        <v>1.9534238709744776E-2</v>
      </c>
    </row>
    <row r="11" spans="2:14">
      <c r="B11" s="71" t="s">
        <v>229</v>
      </c>
      <c r="C11" s="72"/>
      <c r="D11" s="72"/>
      <c r="E11" s="72"/>
      <c r="F11" s="72"/>
      <c r="G11" s="72"/>
      <c r="H11" s="72"/>
      <c r="I11" s="72"/>
      <c r="J11" s="80">
        <f>J12+J21</f>
        <v>70757.473449601006</v>
      </c>
      <c r="K11" s="81">
        <f t="shared" ref="K11:K19" si="0">J11/$J$10</f>
        <v>0.99835058988447833</v>
      </c>
      <c r="L11" s="81">
        <f>J11/'סכום נכסי הקרן'!$C$42</f>
        <v>1.9502018738817906E-2</v>
      </c>
    </row>
    <row r="12" spans="2:14">
      <c r="B12" s="89" t="s">
        <v>40</v>
      </c>
      <c r="C12" s="72"/>
      <c r="D12" s="72"/>
      <c r="E12" s="72"/>
      <c r="F12" s="72"/>
      <c r="G12" s="72"/>
      <c r="H12" s="72"/>
      <c r="I12" s="72"/>
      <c r="J12" s="80">
        <f>SUM(J13:J19)</f>
        <v>49215.030937849006</v>
      </c>
      <c r="K12" s="81">
        <f t="shared" si="0"/>
        <v>0.69439810061874763</v>
      </c>
      <c r="L12" s="81">
        <f>J12/'סכום נכסי הקרן'!$C$42</f>
        <v>1.3564538257079987E-2</v>
      </c>
    </row>
    <row r="13" spans="2:14">
      <c r="B13" s="76" t="s">
        <v>2210</v>
      </c>
      <c r="C13" s="70" t="s">
        <v>2211</v>
      </c>
      <c r="D13" s="70">
        <v>11</v>
      </c>
      <c r="E13" s="70" t="s">
        <v>290</v>
      </c>
      <c r="F13" s="70" t="s">
        <v>291</v>
      </c>
      <c r="G13" s="83" t="s">
        <v>160</v>
      </c>
      <c r="H13" s="84">
        <v>0</v>
      </c>
      <c r="I13" s="84">
        <v>0</v>
      </c>
      <c r="J13" s="77">
        <v>663.54485351500011</v>
      </c>
      <c r="K13" s="78">
        <f t="shared" si="0"/>
        <v>9.3622675263180365E-3</v>
      </c>
      <c r="L13" s="78">
        <f>J13/'סכום נכסי הקרן'!$C$42</f>
        <v>1.8288476872358822E-4</v>
      </c>
      <c r="N13" s="122"/>
    </row>
    <row r="14" spans="2:14">
      <c r="B14" s="76" t="s">
        <v>2212</v>
      </c>
      <c r="C14" s="70" t="s">
        <v>2213</v>
      </c>
      <c r="D14" s="70">
        <v>12</v>
      </c>
      <c r="E14" s="70" t="s">
        <v>290</v>
      </c>
      <c r="F14" s="70" t="s">
        <v>291</v>
      </c>
      <c r="G14" s="83" t="s">
        <v>160</v>
      </c>
      <c r="H14" s="84">
        <v>0</v>
      </c>
      <c r="I14" s="84">
        <v>0</v>
      </c>
      <c r="J14" s="77">
        <v>3343.39</v>
      </c>
      <c r="K14" s="78">
        <f t="shared" si="0"/>
        <v>4.717346756440309E-2</v>
      </c>
      <c r="L14" s="78">
        <f>J14/'סכום נכסי הקרן'!$C$42</f>
        <v>9.2149777616945235E-4</v>
      </c>
      <c r="N14" s="122"/>
    </row>
    <row r="15" spans="2:14">
      <c r="B15" s="76" t="s">
        <v>2212</v>
      </c>
      <c r="C15" s="70" t="s">
        <v>2214</v>
      </c>
      <c r="D15" s="70">
        <v>12</v>
      </c>
      <c r="E15" s="70" t="s">
        <v>290</v>
      </c>
      <c r="F15" s="70" t="s">
        <v>291</v>
      </c>
      <c r="G15" s="83" t="s">
        <v>160</v>
      </c>
      <c r="H15" s="84">
        <v>0</v>
      </c>
      <c r="I15" s="84">
        <v>0</v>
      </c>
      <c r="J15" s="77">
        <v>1696.06852</v>
      </c>
      <c r="K15" s="78">
        <f t="shared" si="0"/>
        <v>2.3930631279995798E-2</v>
      </c>
      <c r="L15" s="78">
        <f>J15/'סכום נכסי הקרן'!$C$42</f>
        <v>4.6746666389832308E-4</v>
      </c>
      <c r="N15" s="122"/>
    </row>
    <row r="16" spans="2:14">
      <c r="B16" s="76" t="s">
        <v>2215</v>
      </c>
      <c r="C16" s="70" t="s">
        <v>2216</v>
      </c>
      <c r="D16" s="70">
        <v>10</v>
      </c>
      <c r="E16" s="70" t="s">
        <v>290</v>
      </c>
      <c r="F16" s="70" t="s">
        <v>291</v>
      </c>
      <c r="G16" s="83" t="s">
        <v>160</v>
      </c>
      <c r="H16" s="84">
        <v>0</v>
      </c>
      <c r="I16" s="84">
        <v>0</v>
      </c>
      <c r="J16" s="77">
        <v>6182.3110466539993</v>
      </c>
      <c r="K16" s="78">
        <f t="shared" si="0"/>
        <v>8.7229144560575747E-2</v>
      </c>
      <c r="L16" s="78">
        <f>J16/'סכום נכסי הקרן'!$C$42</f>
        <v>1.7039549322931218E-3</v>
      </c>
      <c r="N16" s="122"/>
    </row>
    <row r="17" spans="2:14">
      <c r="B17" s="76" t="s">
        <v>2215</v>
      </c>
      <c r="C17" s="70" t="s">
        <v>2217</v>
      </c>
      <c r="D17" s="70">
        <v>10</v>
      </c>
      <c r="E17" s="70" t="s">
        <v>290</v>
      </c>
      <c r="F17" s="70" t="s">
        <v>291</v>
      </c>
      <c r="G17" s="83" t="s">
        <v>160</v>
      </c>
      <c r="H17" s="84">
        <v>0</v>
      </c>
      <c r="I17" s="84">
        <v>0</v>
      </c>
      <c r="J17" s="77">
        <v>36711.26</v>
      </c>
      <c r="K17" s="78">
        <f t="shared" si="0"/>
        <v>0.51797649477278118</v>
      </c>
      <c r="L17" s="78">
        <f>J17/'סכום נכסי הקרן'!$C$42</f>
        <v>1.0118276494928373E-2</v>
      </c>
      <c r="N17" s="122"/>
    </row>
    <row r="18" spans="2:14">
      <c r="B18" s="76" t="s">
        <v>2218</v>
      </c>
      <c r="C18" s="70" t="s">
        <v>2219</v>
      </c>
      <c r="D18" s="70">
        <v>20</v>
      </c>
      <c r="E18" s="70" t="s">
        <v>290</v>
      </c>
      <c r="F18" s="70" t="s">
        <v>291</v>
      </c>
      <c r="G18" s="83" t="s">
        <v>160</v>
      </c>
      <c r="H18" s="84">
        <v>0</v>
      </c>
      <c r="I18" s="84">
        <v>0</v>
      </c>
      <c r="J18" s="77">
        <v>617.85192768000002</v>
      </c>
      <c r="K18" s="78">
        <f t="shared" si="0"/>
        <v>8.717564469001942E-3</v>
      </c>
      <c r="L18" s="78">
        <f>J18/'סכום נכסי הקרן'!$C$42</f>
        <v>1.702909853050734E-4</v>
      </c>
      <c r="N18" s="122"/>
    </row>
    <row r="19" spans="2:14">
      <c r="B19" s="76" t="s">
        <v>2220</v>
      </c>
      <c r="C19" s="70" t="s">
        <v>2221</v>
      </c>
      <c r="D19" s="70">
        <v>26</v>
      </c>
      <c r="E19" s="70" t="s">
        <v>290</v>
      </c>
      <c r="F19" s="70" t="s">
        <v>291</v>
      </c>
      <c r="G19" s="83" t="s">
        <v>160</v>
      </c>
      <c r="H19" s="84">
        <v>0</v>
      </c>
      <c r="I19" s="84">
        <v>0</v>
      </c>
      <c r="J19" s="77">
        <v>0.60459000000000007</v>
      </c>
      <c r="K19" s="78">
        <f t="shared" si="0"/>
        <v>8.5304456718368083E-6</v>
      </c>
      <c r="L19" s="78">
        <f>J19/'סכום נכסי הקרן'!$C$42</f>
        <v>1.6663576205416937E-7</v>
      </c>
      <c r="N19" s="122"/>
    </row>
    <row r="20" spans="2:14">
      <c r="B20" s="73"/>
      <c r="C20" s="70"/>
      <c r="D20" s="70"/>
      <c r="E20" s="70"/>
      <c r="F20" s="70"/>
      <c r="G20" s="70"/>
      <c r="H20" s="70"/>
      <c r="I20" s="70"/>
      <c r="J20" s="70"/>
      <c r="K20" s="78"/>
      <c r="L20" s="70"/>
    </row>
    <row r="21" spans="2:14">
      <c r="B21" s="89" t="s">
        <v>41</v>
      </c>
      <c r="C21" s="72"/>
      <c r="D21" s="72"/>
      <c r="E21" s="72"/>
      <c r="F21" s="72"/>
      <c r="G21" s="72"/>
      <c r="H21" s="72"/>
      <c r="I21" s="72"/>
      <c r="J21" s="80">
        <f>SUM(J22:J48)</f>
        <v>21542.442511751997</v>
      </c>
      <c r="K21" s="81">
        <f t="shared" ref="K21:K46" si="1">J21/$J$10</f>
        <v>0.3039524892657306</v>
      </c>
      <c r="L21" s="81">
        <f>J21/'סכום נכסי הקרן'!$C$42</f>
        <v>5.937480481737918E-3</v>
      </c>
    </row>
    <row r="22" spans="2:14">
      <c r="B22" s="76" t="s">
        <v>2212</v>
      </c>
      <c r="C22" s="70" t="s">
        <v>2222</v>
      </c>
      <c r="D22" s="70">
        <v>12</v>
      </c>
      <c r="E22" s="70" t="s">
        <v>290</v>
      </c>
      <c r="F22" s="70" t="s">
        <v>291</v>
      </c>
      <c r="G22" s="83" t="s">
        <v>161</v>
      </c>
      <c r="H22" s="84">
        <v>0</v>
      </c>
      <c r="I22" s="84">
        <v>0</v>
      </c>
      <c r="J22" s="77">
        <v>271.78892416799999</v>
      </c>
      <c r="K22" s="78">
        <f t="shared" si="1"/>
        <v>3.8347982133712069E-3</v>
      </c>
      <c r="L22" s="78">
        <f>J22/'סכום נכסי הקרן'!$C$42</f>
        <v>7.4909863703695936E-5</v>
      </c>
    </row>
    <row r="23" spans="2:14">
      <c r="B23" s="76" t="s">
        <v>2212</v>
      </c>
      <c r="C23" s="70" t="s">
        <v>2223</v>
      </c>
      <c r="D23" s="70">
        <v>12</v>
      </c>
      <c r="E23" s="70" t="s">
        <v>290</v>
      </c>
      <c r="F23" s="70" t="s">
        <v>291</v>
      </c>
      <c r="G23" s="83" t="s">
        <v>162</v>
      </c>
      <c r="H23" s="84">
        <v>0</v>
      </c>
      <c r="I23" s="84">
        <v>0</v>
      </c>
      <c r="J23" s="77">
        <v>461.73881712599996</v>
      </c>
      <c r="K23" s="78">
        <f t="shared" si="1"/>
        <v>6.5148909080063079E-3</v>
      </c>
      <c r="L23" s="78">
        <f>J23/'סכום נכסי הקרן'!$C$42</f>
        <v>1.272634341649411E-4</v>
      </c>
    </row>
    <row r="24" spans="2:14">
      <c r="B24" s="76" t="s">
        <v>2212</v>
      </c>
      <c r="C24" s="70" t="s">
        <v>2224</v>
      </c>
      <c r="D24" s="70">
        <v>12</v>
      </c>
      <c r="E24" s="70" t="s">
        <v>290</v>
      </c>
      <c r="F24" s="70" t="s">
        <v>291</v>
      </c>
      <c r="G24" s="83" t="s">
        <v>159</v>
      </c>
      <c r="H24" s="84">
        <v>0</v>
      </c>
      <c r="I24" s="84">
        <v>0</v>
      </c>
      <c r="J24" s="77">
        <v>4374.9930346040001</v>
      </c>
      <c r="K24" s="78">
        <f t="shared" si="1"/>
        <v>6.1728841688340648E-2</v>
      </c>
      <c r="L24" s="78">
        <f>J24/'סכום נכסי הקרן'!$C$42</f>
        <v>1.2058259288160909E-3</v>
      </c>
    </row>
    <row r="25" spans="2:14">
      <c r="B25" s="76" t="s">
        <v>2212</v>
      </c>
      <c r="C25" s="70" t="s">
        <v>2225</v>
      </c>
      <c r="D25" s="70">
        <v>12</v>
      </c>
      <c r="E25" s="70" t="s">
        <v>290</v>
      </c>
      <c r="F25" s="70" t="s">
        <v>291</v>
      </c>
      <c r="G25" s="83" t="s">
        <v>169</v>
      </c>
      <c r="H25" s="84">
        <v>0</v>
      </c>
      <c r="I25" s="84">
        <v>0</v>
      </c>
      <c r="J25" s="77">
        <v>1.917981041</v>
      </c>
      <c r="K25" s="78">
        <f t="shared" si="1"/>
        <v>2.7061699779790443E-5</v>
      </c>
      <c r="L25" s="78">
        <f>J25/'סכום נכסי הקרן'!$C$42</f>
        <v>5.286297033898742E-7</v>
      </c>
    </row>
    <row r="26" spans="2:14">
      <c r="B26" s="76" t="s">
        <v>2215</v>
      </c>
      <c r="C26" s="70" t="s">
        <v>2226</v>
      </c>
      <c r="D26" s="70">
        <v>10</v>
      </c>
      <c r="E26" s="70" t="s">
        <v>290</v>
      </c>
      <c r="F26" s="70" t="s">
        <v>291</v>
      </c>
      <c r="G26" s="83" t="s">
        <v>169</v>
      </c>
      <c r="H26" s="84">
        <v>0</v>
      </c>
      <c r="I26" s="84">
        <v>0</v>
      </c>
      <c r="J26" s="77">
        <v>1.4108208999999998E-2</v>
      </c>
      <c r="K26" s="78">
        <f t="shared" si="1"/>
        <v>1.9905937974729832E-7</v>
      </c>
      <c r="L26" s="78">
        <f>J26/'סכום נכסי הקרן'!$C$42</f>
        <v>3.88847344139746E-9</v>
      </c>
    </row>
    <row r="27" spans="2:14">
      <c r="B27" s="76" t="s">
        <v>2215</v>
      </c>
      <c r="C27" s="70" t="s">
        <v>2227</v>
      </c>
      <c r="D27" s="70">
        <v>10</v>
      </c>
      <c r="E27" s="70" t="s">
        <v>290</v>
      </c>
      <c r="F27" s="70" t="s">
        <v>291</v>
      </c>
      <c r="G27" s="83" t="s">
        <v>162</v>
      </c>
      <c r="H27" s="84">
        <v>0</v>
      </c>
      <c r="I27" s="84">
        <v>0</v>
      </c>
      <c r="J27" s="77">
        <v>46.95008</v>
      </c>
      <c r="K27" s="78">
        <f t="shared" si="1"/>
        <v>6.6244083879718799E-4</v>
      </c>
      <c r="L27" s="78">
        <f>J27/'סכום נכסי הקרן'!$C$42</f>
        <v>1.2940277476147827E-5</v>
      </c>
    </row>
    <row r="28" spans="2:14">
      <c r="B28" s="76" t="s">
        <v>2215</v>
      </c>
      <c r="C28" s="70" t="s">
        <v>2228</v>
      </c>
      <c r="D28" s="70">
        <v>10</v>
      </c>
      <c r="E28" s="70" t="s">
        <v>290</v>
      </c>
      <c r="F28" s="70" t="s">
        <v>291</v>
      </c>
      <c r="G28" s="83" t="s">
        <v>1265</v>
      </c>
      <c r="H28" s="84">
        <v>0</v>
      </c>
      <c r="I28" s="84">
        <v>0</v>
      </c>
      <c r="J28" s="77">
        <v>2.9022359999999999E-3</v>
      </c>
      <c r="K28" s="78">
        <f t="shared" si="1"/>
        <v>4.0949017557103112E-8</v>
      </c>
      <c r="L28" s="78">
        <f>J28/'סכום נכסי הקרן'!$C$42</f>
        <v>7.9990788388998201E-10</v>
      </c>
    </row>
    <row r="29" spans="2:14">
      <c r="B29" s="76" t="s">
        <v>2215</v>
      </c>
      <c r="C29" s="70" t="s">
        <v>2229</v>
      </c>
      <c r="D29" s="70">
        <v>10</v>
      </c>
      <c r="E29" s="70" t="s">
        <v>290</v>
      </c>
      <c r="F29" s="70" t="s">
        <v>291</v>
      </c>
      <c r="G29" s="83" t="s">
        <v>162</v>
      </c>
      <c r="H29" s="84">
        <v>0</v>
      </c>
      <c r="I29" s="84">
        <v>0</v>
      </c>
      <c r="J29" s="77">
        <v>70.116905790000004</v>
      </c>
      <c r="K29" s="78">
        <f t="shared" si="1"/>
        <v>9.8931251843215203E-4</v>
      </c>
      <c r="L29" s="78">
        <f>J29/'סכום נכסי הקרן'!$C$42</f>
        <v>1.9325466893592434E-5</v>
      </c>
    </row>
    <row r="30" spans="2:14">
      <c r="B30" s="76" t="s">
        <v>2215</v>
      </c>
      <c r="C30" s="70" t="s">
        <v>2230</v>
      </c>
      <c r="D30" s="70">
        <v>10</v>
      </c>
      <c r="E30" s="70" t="s">
        <v>290</v>
      </c>
      <c r="F30" s="70" t="s">
        <v>291</v>
      </c>
      <c r="G30" s="83" t="s">
        <v>159</v>
      </c>
      <c r="H30" s="84">
        <v>0</v>
      </c>
      <c r="I30" s="84">
        <v>0</v>
      </c>
      <c r="J30" s="77">
        <v>14563.25</v>
      </c>
      <c r="K30" s="78">
        <f t="shared" si="1"/>
        <v>0.20547976799215567</v>
      </c>
      <c r="L30" s="78">
        <f>J30/'סכום נכסי הקרן'!$C$42</f>
        <v>4.0138908379817421E-3</v>
      </c>
    </row>
    <row r="31" spans="2:14">
      <c r="B31" s="76" t="s">
        <v>2215</v>
      </c>
      <c r="C31" s="70" t="s">
        <v>2231</v>
      </c>
      <c r="D31" s="70">
        <v>10</v>
      </c>
      <c r="E31" s="70" t="s">
        <v>290</v>
      </c>
      <c r="F31" s="70" t="s">
        <v>291</v>
      </c>
      <c r="G31" s="83" t="s">
        <v>164</v>
      </c>
      <c r="H31" s="84">
        <v>0</v>
      </c>
      <c r="I31" s="84">
        <v>0</v>
      </c>
      <c r="J31" s="77">
        <v>3.9010371999999995E-2</v>
      </c>
      <c r="K31" s="78">
        <f t="shared" si="1"/>
        <v>5.504157511439881E-7</v>
      </c>
      <c r="L31" s="78">
        <f>J31/'סכום נכסי הקרן'!$C$42</f>
        <v>1.0751952672450138E-8</v>
      </c>
    </row>
    <row r="32" spans="2:14">
      <c r="B32" s="76" t="s">
        <v>2215</v>
      </c>
      <c r="C32" s="70" t="s">
        <v>2232</v>
      </c>
      <c r="D32" s="70">
        <v>10</v>
      </c>
      <c r="E32" s="70" t="s">
        <v>290</v>
      </c>
      <c r="F32" s="70" t="s">
        <v>291</v>
      </c>
      <c r="G32" s="83" t="s">
        <v>159</v>
      </c>
      <c r="H32" s="84">
        <v>0</v>
      </c>
      <c r="I32" s="84">
        <v>0</v>
      </c>
      <c r="J32" s="77">
        <v>1292.0420310229999</v>
      </c>
      <c r="K32" s="78">
        <f t="shared" si="1"/>
        <v>1.8230030849619393E-2</v>
      </c>
      <c r="L32" s="78">
        <f>J32/'סכום נכסי הקרן'!$C$42</f>
        <v>3.5610977430247654E-4</v>
      </c>
    </row>
    <row r="33" spans="2:12">
      <c r="B33" s="76" t="s">
        <v>2215</v>
      </c>
      <c r="C33" s="70" t="s">
        <v>2233</v>
      </c>
      <c r="D33" s="70">
        <v>10</v>
      </c>
      <c r="E33" s="70" t="s">
        <v>290</v>
      </c>
      <c r="F33" s="70" t="s">
        <v>291</v>
      </c>
      <c r="G33" s="83" t="s">
        <v>166</v>
      </c>
      <c r="H33" s="84">
        <v>0</v>
      </c>
      <c r="I33" s="84">
        <v>0</v>
      </c>
      <c r="J33" s="77">
        <v>1.2827362759999998</v>
      </c>
      <c r="K33" s="78">
        <f t="shared" si="1"/>
        <v>1.8098731559754979E-5</v>
      </c>
      <c r="L33" s="78">
        <f>J33/'סכום נכסי הקרן'!$C$42</f>
        <v>3.5354494263184514E-7</v>
      </c>
    </row>
    <row r="34" spans="2:12">
      <c r="B34" s="76" t="s">
        <v>2215</v>
      </c>
      <c r="C34" s="70" t="s">
        <v>2234</v>
      </c>
      <c r="D34" s="70">
        <v>10</v>
      </c>
      <c r="E34" s="70" t="s">
        <v>290</v>
      </c>
      <c r="F34" s="70" t="s">
        <v>291</v>
      </c>
      <c r="G34" s="83" t="s">
        <v>161</v>
      </c>
      <c r="H34" s="84">
        <v>0</v>
      </c>
      <c r="I34" s="84">
        <v>0</v>
      </c>
      <c r="J34" s="77">
        <v>15.63503</v>
      </c>
      <c r="K34" s="78">
        <f t="shared" si="1"/>
        <v>2.2060201788408451E-4</v>
      </c>
      <c r="L34" s="78">
        <f>J34/'סכום נכסי הקרן'!$C$42</f>
        <v>4.3092924771990927E-6</v>
      </c>
    </row>
    <row r="35" spans="2:12">
      <c r="B35" s="76" t="s">
        <v>2215</v>
      </c>
      <c r="C35" s="70" t="s">
        <v>2235</v>
      </c>
      <c r="D35" s="70">
        <v>10</v>
      </c>
      <c r="E35" s="70" t="s">
        <v>290</v>
      </c>
      <c r="F35" s="70" t="s">
        <v>291</v>
      </c>
      <c r="G35" s="83" t="s">
        <v>168</v>
      </c>
      <c r="H35" s="84">
        <v>0</v>
      </c>
      <c r="I35" s="84">
        <v>0</v>
      </c>
      <c r="J35" s="77">
        <v>77.192890000000006</v>
      </c>
      <c r="K35" s="78">
        <f t="shared" si="1"/>
        <v>1.0891509194612462E-3</v>
      </c>
      <c r="L35" s="78">
        <f>J35/'סכום נכסי הקרן'!$C$42</f>
        <v>2.127573405169399E-5</v>
      </c>
    </row>
    <row r="36" spans="2:12">
      <c r="B36" s="76" t="s">
        <v>2215</v>
      </c>
      <c r="C36" s="70" t="s">
        <v>2236</v>
      </c>
      <c r="D36" s="70">
        <v>10</v>
      </c>
      <c r="E36" s="70" t="s">
        <v>290</v>
      </c>
      <c r="F36" s="70" t="s">
        <v>291</v>
      </c>
      <c r="G36" s="83" t="s">
        <v>161</v>
      </c>
      <c r="H36" s="84">
        <v>0</v>
      </c>
      <c r="I36" s="84">
        <v>0</v>
      </c>
      <c r="J36" s="77">
        <v>106.19308476699999</v>
      </c>
      <c r="K36" s="78">
        <f t="shared" si="1"/>
        <v>1.4983283552980602E-3</v>
      </c>
      <c r="L36" s="78">
        <f>J36/'סכום נכסי הקרן'!$C$42</f>
        <v>2.9268703757971591E-5</v>
      </c>
    </row>
    <row r="37" spans="2:12">
      <c r="B37" s="76" t="s">
        <v>2215</v>
      </c>
      <c r="C37" s="70" t="s">
        <v>2237</v>
      </c>
      <c r="D37" s="70">
        <v>10</v>
      </c>
      <c r="E37" s="70" t="s">
        <v>290</v>
      </c>
      <c r="F37" s="70" t="s">
        <v>291</v>
      </c>
      <c r="G37" s="83" t="s">
        <v>163</v>
      </c>
      <c r="H37" s="84">
        <v>0</v>
      </c>
      <c r="I37" s="84">
        <v>0</v>
      </c>
      <c r="J37" s="77">
        <v>1.6430326999999998E-2</v>
      </c>
      <c r="K37" s="78">
        <f t="shared" si="1"/>
        <v>2.3182323863116066E-7</v>
      </c>
      <c r="L37" s="78">
        <f>J37/'סכום נכסי הקרן'!$C$42</f>
        <v>4.5284904818872188E-9</v>
      </c>
    </row>
    <row r="38" spans="2:12">
      <c r="B38" s="76" t="s">
        <v>2215</v>
      </c>
      <c r="C38" s="70" t="s">
        <v>2238</v>
      </c>
      <c r="D38" s="70">
        <v>10</v>
      </c>
      <c r="E38" s="70" t="s">
        <v>290</v>
      </c>
      <c r="F38" s="70" t="s">
        <v>291</v>
      </c>
      <c r="G38" s="83" t="s">
        <v>163</v>
      </c>
      <c r="H38" s="84">
        <v>0</v>
      </c>
      <c r="I38" s="84">
        <v>0</v>
      </c>
      <c r="J38" s="77">
        <v>7.8658100000000006</v>
      </c>
      <c r="K38" s="78">
        <f t="shared" si="1"/>
        <v>1.1098242589191135E-4</v>
      </c>
      <c r="L38" s="78">
        <f>J38/'סכום נכסי הקרן'!$C$42</f>
        <v>2.1679571999591556E-6</v>
      </c>
    </row>
    <row r="39" spans="2:12">
      <c r="B39" s="76" t="s">
        <v>2218</v>
      </c>
      <c r="C39" s="70" t="s">
        <v>2239</v>
      </c>
      <c r="D39" s="70">
        <v>20</v>
      </c>
      <c r="E39" s="70" t="s">
        <v>290</v>
      </c>
      <c r="F39" s="70" t="s">
        <v>291</v>
      </c>
      <c r="G39" s="83" t="s">
        <v>161</v>
      </c>
      <c r="H39" s="84">
        <v>0</v>
      </c>
      <c r="I39" s="84">
        <v>0</v>
      </c>
      <c r="J39" s="77">
        <v>1.6300553820000001</v>
      </c>
      <c r="K39" s="78">
        <f t="shared" si="1"/>
        <v>2.2999220758259639E-5</v>
      </c>
      <c r="L39" s="78">
        <f>J39/'סכום נכסי הקרן'!$C$42</f>
        <v>4.4927226842996104E-7</v>
      </c>
    </row>
    <row r="40" spans="2:12">
      <c r="B40" s="76" t="s">
        <v>2218</v>
      </c>
      <c r="C40" s="70" t="s">
        <v>2240</v>
      </c>
      <c r="D40" s="70">
        <v>20</v>
      </c>
      <c r="E40" s="70" t="s">
        <v>290</v>
      </c>
      <c r="F40" s="70" t="s">
        <v>291</v>
      </c>
      <c r="G40" s="83" t="s">
        <v>166</v>
      </c>
      <c r="H40" s="84">
        <v>0</v>
      </c>
      <c r="I40" s="84">
        <v>0</v>
      </c>
      <c r="J40" s="77">
        <v>0.58089555700000006</v>
      </c>
      <c r="K40" s="78">
        <f t="shared" si="1"/>
        <v>8.1961295919546845E-6</v>
      </c>
      <c r="L40" s="78">
        <f>J40/'סכום נכסי הקרן'!$C$42</f>
        <v>1.6010515194524582E-7</v>
      </c>
    </row>
    <row r="41" spans="2:12">
      <c r="B41" s="76" t="s">
        <v>2218</v>
      </c>
      <c r="C41" s="70" t="s">
        <v>2241</v>
      </c>
      <c r="D41" s="70">
        <v>20</v>
      </c>
      <c r="E41" s="70" t="s">
        <v>290</v>
      </c>
      <c r="F41" s="70" t="s">
        <v>291</v>
      </c>
      <c r="G41" s="83" t="s">
        <v>163</v>
      </c>
      <c r="H41" s="84">
        <v>0</v>
      </c>
      <c r="I41" s="84">
        <v>0</v>
      </c>
      <c r="J41" s="77">
        <v>7.229596499999999E-2</v>
      </c>
      <c r="K41" s="78">
        <f t="shared" si="1"/>
        <v>1.0200578933252539E-6</v>
      </c>
      <c r="L41" s="78">
        <f>J41/'סכום נכסי הקרן'!$C$42</f>
        <v>1.9926054385974881E-8</v>
      </c>
    </row>
    <row r="42" spans="2:12">
      <c r="B42" s="76" t="s">
        <v>2218</v>
      </c>
      <c r="C42" s="70" t="s">
        <v>2242</v>
      </c>
      <c r="D42" s="70">
        <v>20</v>
      </c>
      <c r="E42" s="70" t="s">
        <v>290</v>
      </c>
      <c r="F42" s="70" t="s">
        <v>291</v>
      </c>
      <c r="G42" s="83" t="s">
        <v>159</v>
      </c>
      <c r="H42" s="84">
        <v>0</v>
      </c>
      <c r="I42" s="84">
        <v>0</v>
      </c>
      <c r="J42" s="77">
        <v>22.834512225000001</v>
      </c>
      <c r="K42" s="78">
        <f t="shared" si="1"/>
        <v>3.2218291069692836E-4</v>
      </c>
      <c r="L42" s="78">
        <f>J42/'סכום נכסי הקרן'!$C$42</f>
        <v>6.2935978857541821E-6</v>
      </c>
    </row>
    <row r="43" spans="2:12">
      <c r="B43" s="76" t="s">
        <v>2218</v>
      </c>
      <c r="C43" s="70" t="s">
        <v>2243</v>
      </c>
      <c r="D43" s="70">
        <v>20</v>
      </c>
      <c r="E43" s="70" t="s">
        <v>290</v>
      </c>
      <c r="F43" s="70" t="s">
        <v>291</v>
      </c>
      <c r="G43" s="83" t="s">
        <v>169</v>
      </c>
      <c r="H43" s="84">
        <v>0</v>
      </c>
      <c r="I43" s="84">
        <v>0</v>
      </c>
      <c r="J43" s="77">
        <v>2.7361330000000004E-3</v>
      </c>
      <c r="K43" s="78">
        <f t="shared" si="1"/>
        <v>3.8605391930762772E-8</v>
      </c>
      <c r="L43" s="78">
        <f>J43/'סכום נכסי הקרן'!$C$42</f>
        <v>7.5412694145877466E-10</v>
      </c>
    </row>
    <row r="44" spans="2:12">
      <c r="B44" s="76" t="s">
        <v>2218</v>
      </c>
      <c r="C44" s="70">
        <v>33820000</v>
      </c>
      <c r="D44" s="70">
        <v>20</v>
      </c>
      <c r="E44" s="70" t="s">
        <v>290</v>
      </c>
      <c r="F44" s="70" t="s">
        <v>291</v>
      </c>
      <c r="G44" s="83" t="s">
        <v>162</v>
      </c>
      <c r="H44" s="84">
        <v>0</v>
      </c>
      <c r="I44" s="84">
        <v>0</v>
      </c>
      <c r="J44" s="77">
        <v>2.7112460399999998</v>
      </c>
      <c r="K44" s="78">
        <f t="shared" ref="K44" si="2">J44/$J$10</f>
        <v>3.8254250065668771E-5</v>
      </c>
      <c r="L44" s="78">
        <f>J44/'סכום נכסי הקרן'!$C$42</f>
        <v>7.472676524450435E-7</v>
      </c>
    </row>
    <row r="45" spans="2:12">
      <c r="B45" s="76" t="s">
        <v>2210</v>
      </c>
      <c r="C45" s="70" t="s">
        <v>2244</v>
      </c>
      <c r="D45" s="70">
        <v>11</v>
      </c>
      <c r="E45" s="70" t="s">
        <v>290</v>
      </c>
      <c r="F45" s="70" t="s">
        <v>291</v>
      </c>
      <c r="G45" s="83" t="s">
        <v>161</v>
      </c>
      <c r="H45" s="84">
        <v>0</v>
      </c>
      <c r="I45" s="84">
        <v>0</v>
      </c>
      <c r="J45" s="77">
        <v>66.232093331000002</v>
      </c>
      <c r="K45" s="78">
        <f t="shared" si="1"/>
        <v>9.3449986584647523E-4</v>
      </c>
      <c r="L45" s="78">
        <f>J45/'סכום נכסי הקרן'!$C$42</f>
        <v>1.8254743453669516E-5</v>
      </c>
    </row>
    <row r="46" spans="2:12">
      <c r="B46" s="76" t="s">
        <v>2210</v>
      </c>
      <c r="C46" s="70" t="s">
        <v>2245</v>
      </c>
      <c r="D46" s="70">
        <v>11</v>
      </c>
      <c r="E46" s="70" t="s">
        <v>290</v>
      </c>
      <c r="F46" s="70" t="s">
        <v>291</v>
      </c>
      <c r="G46" s="83" t="s">
        <v>162</v>
      </c>
      <c r="H46" s="84">
        <v>0</v>
      </c>
      <c r="I46" s="84">
        <v>0</v>
      </c>
      <c r="J46" s="77">
        <v>3.4947132999999998E-2</v>
      </c>
      <c r="K46" s="78">
        <f t="shared" si="1"/>
        <v>4.9308559427538538E-7</v>
      </c>
      <c r="L46" s="78">
        <f>J46/'סכום נכסי הקרן'!$C$42</f>
        <v>9.63205170291174E-9</v>
      </c>
    </row>
    <row r="47" spans="2:12">
      <c r="B47" s="76" t="s">
        <v>2210</v>
      </c>
      <c r="C47" s="70" t="s">
        <v>2246</v>
      </c>
      <c r="D47" s="70">
        <v>11</v>
      </c>
      <c r="E47" s="70" t="s">
        <v>290</v>
      </c>
      <c r="F47" s="70" t="s">
        <v>291</v>
      </c>
      <c r="G47" s="83" t="s">
        <v>159</v>
      </c>
      <c r="H47" s="84">
        <v>0</v>
      </c>
      <c r="I47" s="84">
        <v>0</v>
      </c>
      <c r="J47" s="77">
        <v>154.58491404700001</v>
      </c>
      <c r="K47" s="78">
        <f>J47/$J$10</f>
        <v>2.1811115151813562E-3</v>
      </c>
      <c r="L47" s="78">
        <f>J47/'סכום נכסי הקרן'!$C$42</f>
        <v>4.2606352990125728E-5</v>
      </c>
    </row>
    <row r="48" spans="2:12">
      <c r="B48" s="76" t="s">
        <v>2220</v>
      </c>
      <c r="C48" s="70" t="s">
        <v>2247</v>
      </c>
      <c r="D48" s="70">
        <v>26</v>
      </c>
      <c r="E48" s="70" t="s">
        <v>290</v>
      </c>
      <c r="F48" s="70" t="s">
        <v>291</v>
      </c>
      <c r="G48" s="83" t="s">
        <v>159</v>
      </c>
      <c r="H48" s="84">
        <v>0</v>
      </c>
      <c r="I48" s="84">
        <v>0</v>
      </c>
      <c r="J48" s="77">
        <v>2.7190400000000001</v>
      </c>
      <c r="K48" s="78">
        <f>J48/$J$10</f>
        <v>3.8364218725998041E-5</v>
      </c>
      <c r="L48" s="78">
        <f>J48/'סכום נכסי הקרן'!$C$42</f>
        <v>7.4941580650650625E-7</v>
      </c>
    </row>
    <row r="49" spans="2:12">
      <c r="B49" s="73"/>
      <c r="C49" s="70"/>
      <c r="D49" s="70"/>
      <c r="E49" s="70"/>
      <c r="F49" s="70"/>
      <c r="G49" s="70"/>
      <c r="H49" s="70"/>
      <c r="I49" s="70"/>
      <c r="J49" s="70"/>
      <c r="K49" s="78"/>
      <c r="L49" s="70"/>
    </row>
    <row r="50" spans="2:12">
      <c r="B50" s="71" t="s">
        <v>228</v>
      </c>
      <c r="C50" s="72"/>
      <c r="D50" s="72"/>
      <c r="E50" s="72"/>
      <c r="F50" s="72"/>
      <c r="G50" s="72"/>
      <c r="H50" s="72"/>
      <c r="I50" s="72"/>
      <c r="J50" s="80">
        <f>J51</f>
        <v>116.90090999999998</v>
      </c>
      <c r="K50" s="81">
        <f t="shared" ref="K50:K54" si="3">J50/$J$10</f>
        <v>1.6494101155217322E-3</v>
      </c>
      <c r="L50" s="81">
        <f>J50/'סכום נכסי הקרן'!$C$42</f>
        <v>3.2219970926869222E-5</v>
      </c>
    </row>
    <row r="51" spans="2:12">
      <c r="B51" s="89" t="s">
        <v>41</v>
      </c>
      <c r="C51" s="72"/>
      <c r="D51" s="72"/>
      <c r="E51" s="72"/>
      <c r="F51" s="72"/>
      <c r="G51" s="72"/>
      <c r="H51" s="72"/>
      <c r="I51" s="72"/>
      <c r="J51" s="80">
        <f>SUM(J52:J54)</f>
        <v>116.90090999999998</v>
      </c>
      <c r="K51" s="81">
        <f t="shared" si="3"/>
        <v>1.6494101155217322E-3</v>
      </c>
      <c r="L51" s="81">
        <f>J51/'סכום נכסי הקרן'!$C$42</f>
        <v>3.2219970926869222E-5</v>
      </c>
    </row>
    <row r="52" spans="2:12">
      <c r="B52" s="76" t="s">
        <v>2248</v>
      </c>
      <c r="C52" s="70" t="s">
        <v>2249</v>
      </c>
      <c r="D52" s="70">
        <v>91</v>
      </c>
      <c r="E52" s="70" t="s">
        <v>2291</v>
      </c>
      <c r="F52" s="70" t="s">
        <v>1841</v>
      </c>
      <c r="G52" s="83" t="s">
        <v>159</v>
      </c>
      <c r="H52" s="84">
        <v>0</v>
      </c>
      <c r="I52" s="84">
        <v>0</v>
      </c>
      <c r="J52" s="77">
        <v>116.90103999999998</v>
      </c>
      <c r="K52" s="78">
        <f t="shared" si="3"/>
        <v>1.6494119497530912E-3</v>
      </c>
      <c r="L52" s="78">
        <f>J52/'סכום נכסי הקרן'!$C$42</f>
        <v>3.222000675718244E-5</v>
      </c>
    </row>
    <row r="53" spans="2:12">
      <c r="B53" s="76" t="s">
        <v>2250</v>
      </c>
      <c r="C53" s="70" t="s">
        <v>2251</v>
      </c>
      <c r="D53" s="70">
        <v>91</v>
      </c>
      <c r="E53" s="70" t="s">
        <v>647</v>
      </c>
      <c r="F53" s="70"/>
      <c r="G53" s="83" t="s">
        <v>169</v>
      </c>
      <c r="H53" s="84">
        <v>0</v>
      </c>
      <c r="I53" s="84">
        <v>0</v>
      </c>
      <c r="J53" s="77">
        <v>-2.3000000000000001E-4</v>
      </c>
      <c r="K53" s="78">
        <f t="shared" si="3"/>
        <v>-3.2451785582336223E-9</v>
      </c>
      <c r="L53" s="78">
        <f>J53/'סכום נכסי הקרן'!$C$42</f>
        <v>-6.3392092612280969E-11</v>
      </c>
    </row>
    <row r="54" spans="2:12">
      <c r="B54" s="76" t="s">
        <v>2250</v>
      </c>
      <c r="C54" s="70" t="s">
        <v>2253</v>
      </c>
      <c r="D54" s="70">
        <v>91</v>
      </c>
      <c r="E54" s="70" t="s">
        <v>647</v>
      </c>
      <c r="F54" s="70"/>
      <c r="G54" s="83" t="s">
        <v>159</v>
      </c>
      <c r="H54" s="84">
        <v>0</v>
      </c>
      <c r="I54" s="84">
        <v>0</v>
      </c>
      <c r="J54" s="77">
        <v>1E-4</v>
      </c>
      <c r="K54" s="78">
        <f t="shared" si="3"/>
        <v>1.4109471992320099E-9</v>
      </c>
      <c r="L54" s="78">
        <f>J54/'סכום נכסי הקרן'!$C$42</f>
        <v>2.7561779396643898E-11</v>
      </c>
    </row>
    <row r="55" spans="2:12">
      <c r="B55" s="73"/>
      <c r="C55" s="70"/>
      <c r="D55" s="70"/>
      <c r="E55" s="70"/>
      <c r="F55" s="70"/>
      <c r="G55" s="70"/>
      <c r="H55" s="70"/>
      <c r="I55" s="70"/>
      <c r="J55" s="70"/>
      <c r="K55" s="78"/>
      <c r="L55" s="70"/>
    </row>
    <row r="56" spans="2:12">
      <c r="B56" s="73"/>
      <c r="C56" s="70"/>
      <c r="D56" s="70"/>
      <c r="E56" s="70"/>
      <c r="F56" s="70"/>
      <c r="G56" s="70"/>
      <c r="H56" s="70"/>
      <c r="I56" s="70"/>
      <c r="J56" s="77"/>
      <c r="K56" s="78"/>
      <c r="L56" s="78"/>
    </row>
    <row r="57" spans="2:12">
      <c r="B57" s="76"/>
      <c r="C57" s="70"/>
      <c r="D57" s="70"/>
      <c r="E57" s="70"/>
      <c r="F57" s="70"/>
      <c r="G57" s="83"/>
      <c r="H57" s="70"/>
      <c r="I57" s="70"/>
      <c r="J57" s="77"/>
      <c r="K57" s="78"/>
      <c r="L57" s="78"/>
    </row>
    <row r="58" spans="2:12">
      <c r="B58" s="76"/>
      <c r="C58" s="70"/>
      <c r="D58" s="70"/>
      <c r="E58" s="70"/>
      <c r="F58" s="70"/>
      <c r="G58" s="83"/>
      <c r="H58" s="70"/>
      <c r="I58" s="70"/>
      <c r="J58" s="77"/>
      <c r="K58" s="78"/>
      <c r="L58" s="78"/>
    </row>
    <row r="59" spans="2:12">
      <c r="B59" s="76"/>
      <c r="C59" s="70"/>
      <c r="D59" s="70"/>
      <c r="E59" s="70"/>
      <c r="F59" s="70"/>
      <c r="G59" s="83"/>
      <c r="H59" s="70"/>
      <c r="I59" s="70"/>
      <c r="J59" s="77"/>
      <c r="K59" s="78"/>
      <c r="L59" s="78"/>
    </row>
    <row r="60" spans="2:12">
      <c r="B60" s="76"/>
      <c r="C60" s="70"/>
      <c r="D60" s="70"/>
      <c r="E60" s="70"/>
      <c r="F60" s="70"/>
      <c r="G60" s="83"/>
      <c r="H60" s="70"/>
      <c r="I60" s="70"/>
      <c r="J60" s="77"/>
      <c r="K60" s="78"/>
      <c r="L60" s="78"/>
    </row>
    <row r="61" spans="2:12">
      <c r="D61" s="1"/>
    </row>
    <row r="62" spans="2:12">
      <c r="D62" s="1"/>
    </row>
    <row r="63" spans="2:12">
      <c r="D63" s="1"/>
    </row>
    <row r="64" spans="2:12">
      <c r="B64" s="85" t="s">
        <v>251</v>
      </c>
      <c r="D64" s="1"/>
    </row>
    <row r="65" spans="2:4">
      <c r="B65" s="103"/>
      <c r="D65" s="1"/>
    </row>
    <row r="66" spans="2:4">
      <c r="D66" s="1"/>
    </row>
    <row r="67" spans="2:4">
      <c r="D67" s="1"/>
    </row>
    <row r="68" spans="2:4">
      <c r="D68" s="1"/>
    </row>
    <row r="69" spans="2:4">
      <c r="D69" s="1"/>
    </row>
    <row r="70" spans="2:4">
      <c r="D70" s="1"/>
    </row>
    <row r="71" spans="2:4">
      <c r="D71" s="1"/>
    </row>
    <row r="72" spans="2:4">
      <c r="D72" s="1"/>
    </row>
    <row r="73" spans="2:4">
      <c r="D73" s="1"/>
    </row>
    <row r="74" spans="2:4">
      <c r="D74" s="1"/>
    </row>
    <row r="75" spans="2:4">
      <c r="D75" s="1"/>
    </row>
    <row r="76" spans="2:4">
      <c r="D76" s="1"/>
    </row>
    <row r="77" spans="2:4">
      <c r="D77" s="1"/>
    </row>
    <row r="78" spans="2:4">
      <c r="D78" s="1"/>
    </row>
    <row r="79" spans="2:4">
      <c r="D79" s="1"/>
    </row>
    <row r="80" spans="2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0"/>
  <sheetViews>
    <sheetView rightToLeft="1" workbookViewId="0">
      <selection activeCell="C25" sqref="C25"/>
    </sheetView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39" style="2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8" style="1" bestFit="1" customWidth="1"/>
    <col min="10" max="10" width="12.140625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47" t="s">
        <v>175</v>
      </c>
      <c r="C1" s="68" t="s" vm="1">
        <v>259</v>
      </c>
    </row>
    <row r="2" spans="2:51">
      <c r="B2" s="47" t="s">
        <v>174</v>
      </c>
      <c r="C2" s="68" t="s">
        <v>260</v>
      </c>
    </row>
    <row r="3" spans="2:51">
      <c r="B3" s="47" t="s">
        <v>176</v>
      </c>
      <c r="C3" s="68" t="s">
        <v>261</v>
      </c>
    </row>
    <row r="4" spans="2:51">
      <c r="B4" s="47" t="s">
        <v>177</v>
      </c>
      <c r="C4" s="68">
        <v>2207</v>
      </c>
    </row>
    <row r="6" spans="2:51" ht="26.25" customHeight="1">
      <c r="B6" s="126" t="s">
        <v>206</v>
      </c>
      <c r="C6" s="127"/>
      <c r="D6" s="127"/>
      <c r="E6" s="127"/>
      <c r="F6" s="127"/>
      <c r="G6" s="127"/>
      <c r="H6" s="127"/>
      <c r="I6" s="127"/>
      <c r="J6" s="127"/>
      <c r="K6" s="128"/>
    </row>
    <row r="7" spans="2:51" ht="26.25" customHeight="1">
      <c r="B7" s="126" t="s">
        <v>97</v>
      </c>
      <c r="C7" s="127"/>
      <c r="D7" s="127"/>
      <c r="E7" s="127"/>
      <c r="F7" s="127"/>
      <c r="G7" s="127"/>
      <c r="H7" s="127"/>
      <c r="I7" s="127"/>
      <c r="J7" s="127"/>
      <c r="K7" s="128"/>
    </row>
    <row r="8" spans="2:51" s="3" customFormat="1" ht="47.25">
      <c r="B8" s="22" t="s">
        <v>112</v>
      </c>
      <c r="C8" s="30" t="s">
        <v>43</v>
      </c>
      <c r="D8" s="30" t="s">
        <v>63</v>
      </c>
      <c r="E8" s="30" t="s">
        <v>99</v>
      </c>
      <c r="F8" s="30" t="s">
        <v>100</v>
      </c>
      <c r="G8" s="30" t="s">
        <v>236</v>
      </c>
      <c r="H8" s="30" t="s">
        <v>235</v>
      </c>
      <c r="I8" s="30" t="s">
        <v>107</v>
      </c>
      <c r="J8" s="30" t="s">
        <v>178</v>
      </c>
      <c r="K8" s="31" t="s">
        <v>180</v>
      </c>
      <c r="L8" s="1"/>
      <c r="AW8" s="1"/>
    </row>
    <row r="9" spans="2:51" s="3" customFormat="1" ht="22.5" customHeight="1">
      <c r="B9" s="15"/>
      <c r="C9" s="16"/>
      <c r="D9" s="16"/>
      <c r="E9" s="16"/>
      <c r="F9" s="16" t="s">
        <v>21</v>
      </c>
      <c r="G9" s="16" t="s">
        <v>243</v>
      </c>
      <c r="H9" s="16"/>
      <c r="I9" s="16" t="s">
        <v>239</v>
      </c>
      <c r="J9" s="32" t="s">
        <v>19</v>
      </c>
      <c r="K9" s="17" t="s">
        <v>19</v>
      </c>
      <c r="AW9" s="1"/>
    </row>
    <row r="10" spans="2:5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AW10" s="1"/>
    </row>
    <row r="11" spans="2:51" s="4" customFormat="1" ht="18" customHeight="1">
      <c r="B11" s="87" t="s">
        <v>47</v>
      </c>
      <c r="C11" s="88"/>
      <c r="D11" s="88"/>
      <c r="E11" s="88"/>
      <c r="F11" s="88"/>
      <c r="G11" s="90"/>
      <c r="H11" s="92"/>
      <c r="I11" s="90">
        <v>-416.99179546299985</v>
      </c>
      <c r="J11" s="93">
        <f>I11/$I$11</f>
        <v>1</v>
      </c>
      <c r="K11" s="93">
        <f>I11/'סכום נכסי הקרן'!$C$42</f>
        <v>-1.1493035876761655E-4</v>
      </c>
      <c r="AW11" s="1"/>
    </row>
    <row r="12" spans="2:51" ht="19.5" customHeight="1">
      <c r="B12" s="71" t="s">
        <v>32</v>
      </c>
      <c r="C12" s="72"/>
      <c r="D12" s="72"/>
      <c r="E12" s="72"/>
      <c r="F12" s="72"/>
      <c r="G12" s="80"/>
      <c r="H12" s="82"/>
      <c r="I12" s="80">
        <v>-699.78144525199991</v>
      </c>
      <c r="J12" s="81">
        <f t="shared" ref="J12:J75" si="0">I12/$I$11</f>
        <v>1.6781659804001883</v>
      </c>
      <c r="K12" s="81">
        <f>I12/'סכום נכסי הקרן'!$C$42</f>
        <v>-1.9287221819900261E-4</v>
      </c>
    </row>
    <row r="13" spans="2:51">
      <c r="B13" s="89" t="s">
        <v>1916</v>
      </c>
      <c r="C13" s="72"/>
      <c r="D13" s="72"/>
      <c r="E13" s="72"/>
      <c r="F13" s="72"/>
      <c r="G13" s="80"/>
      <c r="H13" s="82"/>
      <c r="I13" s="80">
        <v>-465.27111679000001</v>
      </c>
      <c r="J13" s="81">
        <f t="shared" si="0"/>
        <v>1.115780026974857</v>
      </c>
      <c r="K13" s="81">
        <f>I13/'סכום נכסי הקרן'!$C$42</f>
        <v>-1.2823699880596119E-4</v>
      </c>
    </row>
    <row r="14" spans="2:51">
      <c r="B14" s="76" t="s">
        <v>1917</v>
      </c>
      <c r="C14" s="70" t="s">
        <v>1918</v>
      </c>
      <c r="D14" s="83" t="s">
        <v>646</v>
      </c>
      <c r="E14" s="83" t="s">
        <v>159</v>
      </c>
      <c r="F14" s="97">
        <v>43893</v>
      </c>
      <c r="G14" s="77">
        <v>302486.42050000001</v>
      </c>
      <c r="H14" s="79">
        <v>-1.5469999999999999</v>
      </c>
      <c r="I14" s="77">
        <v>-4.6793623049999997</v>
      </c>
      <c r="J14" s="78">
        <f t="shared" si="0"/>
        <v>1.122171312700373E-2</v>
      </c>
      <c r="K14" s="78">
        <f>I14/'סכום נכסי הקרן'!$C$42</f>
        <v>-1.2897155156738109E-6</v>
      </c>
    </row>
    <row r="15" spans="2:51">
      <c r="B15" s="76" t="s">
        <v>1919</v>
      </c>
      <c r="C15" s="70" t="s">
        <v>1920</v>
      </c>
      <c r="D15" s="83" t="s">
        <v>646</v>
      </c>
      <c r="E15" s="83" t="s">
        <v>159</v>
      </c>
      <c r="F15" s="97">
        <v>44012</v>
      </c>
      <c r="G15" s="77">
        <v>535757.24877499999</v>
      </c>
      <c r="H15" s="79">
        <v>-0.48230000000000001</v>
      </c>
      <c r="I15" s="77">
        <v>-2.5837410920000004</v>
      </c>
      <c r="J15" s="78">
        <f t="shared" si="0"/>
        <v>6.1961437134061279E-3</v>
      </c>
      <c r="K15" s="78">
        <f>I15/'סכום נכסי הקרן'!$C$42</f>
        <v>-7.1212501995747815E-7</v>
      </c>
    </row>
    <row r="16" spans="2:51" s="7" customFormat="1">
      <c r="B16" s="76" t="s">
        <v>1921</v>
      </c>
      <c r="C16" s="70" t="s">
        <v>1922</v>
      </c>
      <c r="D16" s="83" t="s">
        <v>646</v>
      </c>
      <c r="E16" s="83" t="s">
        <v>159</v>
      </c>
      <c r="F16" s="97">
        <v>44012</v>
      </c>
      <c r="G16" s="77">
        <v>459873.53909999994</v>
      </c>
      <c r="H16" s="79">
        <v>-0.33850000000000002</v>
      </c>
      <c r="I16" s="77">
        <v>-1.5567857009999999</v>
      </c>
      <c r="J16" s="78">
        <f t="shared" si="0"/>
        <v>3.7333724978244453E-3</v>
      </c>
      <c r="K16" s="78">
        <f>I16/'סכום נכסי הקרן'!$C$42</f>
        <v>-4.2907784058811623E-7</v>
      </c>
      <c r="AW16" s="1"/>
      <c r="AY16" s="1"/>
    </row>
    <row r="17" spans="2:51" s="7" customFormat="1">
      <c r="B17" s="76" t="s">
        <v>1923</v>
      </c>
      <c r="C17" s="70" t="s">
        <v>1924</v>
      </c>
      <c r="D17" s="83" t="s">
        <v>646</v>
      </c>
      <c r="E17" s="83" t="s">
        <v>159</v>
      </c>
      <c r="F17" s="97">
        <v>43963</v>
      </c>
      <c r="G17" s="77">
        <v>621090.04960000003</v>
      </c>
      <c r="H17" s="79">
        <v>0.87980000000000003</v>
      </c>
      <c r="I17" s="77">
        <v>5.4642965739999996</v>
      </c>
      <c r="J17" s="78">
        <f t="shared" si="0"/>
        <v>-1.3104086539479295E-2</v>
      </c>
      <c r="K17" s="78">
        <f>I17/'סכום נכסי הקרן'!$C$42</f>
        <v>1.5060573673042503E-6</v>
      </c>
      <c r="AW17" s="1"/>
      <c r="AY17" s="1"/>
    </row>
    <row r="18" spans="2:51" s="7" customFormat="1">
      <c r="B18" s="76" t="s">
        <v>1925</v>
      </c>
      <c r="C18" s="70" t="s">
        <v>1926</v>
      </c>
      <c r="D18" s="83" t="s">
        <v>646</v>
      </c>
      <c r="E18" s="83" t="s">
        <v>159</v>
      </c>
      <c r="F18" s="97">
        <v>43962</v>
      </c>
      <c r="G18" s="77">
        <v>544962.00517500006</v>
      </c>
      <c r="H18" s="79">
        <v>1.1097999999999999</v>
      </c>
      <c r="I18" s="77">
        <v>6.0481264179999998</v>
      </c>
      <c r="J18" s="78">
        <f t="shared" si="0"/>
        <v>-1.4504185654982885E-2</v>
      </c>
      <c r="K18" s="78">
        <f>I18/'סכום נכסי הקרן'!$C$42</f>
        <v>1.6669712609593006E-6</v>
      </c>
      <c r="AW18" s="1"/>
      <c r="AY18" s="1"/>
    </row>
    <row r="19" spans="2:51">
      <c r="B19" s="76" t="s">
        <v>1927</v>
      </c>
      <c r="C19" s="70" t="s">
        <v>1928</v>
      </c>
      <c r="D19" s="83" t="s">
        <v>646</v>
      </c>
      <c r="E19" s="83" t="s">
        <v>159</v>
      </c>
      <c r="F19" s="97">
        <v>43964</v>
      </c>
      <c r="G19" s="77">
        <v>389669.50175</v>
      </c>
      <c r="H19" s="79">
        <v>1.2194</v>
      </c>
      <c r="I19" s="77">
        <v>4.7516536269999996</v>
      </c>
      <c r="J19" s="78">
        <f t="shared" si="0"/>
        <v>-1.1395077022376616E-2</v>
      </c>
      <c r="K19" s="78">
        <f>I19/'סכום נכסי הקרן'!$C$42</f>
        <v>1.3096402903663684E-6</v>
      </c>
    </row>
    <row r="20" spans="2:51">
      <c r="B20" s="76" t="s">
        <v>1929</v>
      </c>
      <c r="C20" s="70" t="s">
        <v>1930</v>
      </c>
      <c r="D20" s="83" t="s">
        <v>646</v>
      </c>
      <c r="E20" s="83" t="s">
        <v>159</v>
      </c>
      <c r="F20" s="97">
        <v>43962</v>
      </c>
      <c r="G20" s="77">
        <v>467789.98499999999</v>
      </c>
      <c r="H20" s="79">
        <v>1.2535000000000001</v>
      </c>
      <c r="I20" s="77">
        <v>5.8638013490000001</v>
      </c>
      <c r="J20" s="78">
        <f t="shared" si="0"/>
        <v>-1.406215041350928E-2</v>
      </c>
      <c r="K20" s="78">
        <f>I20/'סכום נכסי הקרן'!$C$42</f>
        <v>1.616167992068809E-6</v>
      </c>
    </row>
    <row r="21" spans="2:51">
      <c r="B21" s="76" t="s">
        <v>1931</v>
      </c>
      <c r="C21" s="70" t="s">
        <v>1932</v>
      </c>
      <c r="D21" s="83" t="s">
        <v>646</v>
      </c>
      <c r="E21" s="83" t="s">
        <v>159</v>
      </c>
      <c r="F21" s="97">
        <v>43970</v>
      </c>
      <c r="G21" s="77">
        <v>626030.054</v>
      </c>
      <c r="H21" s="79">
        <v>1.6257999999999999</v>
      </c>
      <c r="I21" s="77">
        <v>10.177957569</v>
      </c>
      <c r="J21" s="78">
        <f t="shared" si="0"/>
        <v>-2.4408052339972484E-2</v>
      </c>
      <c r="K21" s="78">
        <f>I21/'סכום נכסי הקרן'!$C$42</f>
        <v>2.8052262122518001E-6</v>
      </c>
    </row>
    <row r="22" spans="2:51">
      <c r="B22" s="76" t="s">
        <v>1933</v>
      </c>
      <c r="C22" s="70" t="s">
        <v>1934</v>
      </c>
      <c r="D22" s="83" t="s">
        <v>646</v>
      </c>
      <c r="E22" s="83" t="s">
        <v>159</v>
      </c>
      <c r="F22" s="97">
        <v>43908</v>
      </c>
      <c r="G22" s="77">
        <v>169701.59</v>
      </c>
      <c r="H22" s="79">
        <v>9.2668999999999997</v>
      </c>
      <c r="I22" s="77">
        <v>15.726077442999998</v>
      </c>
      <c r="J22" s="78">
        <f t="shared" si="0"/>
        <v>-3.7713157942445397E-2</v>
      </c>
      <c r="K22" s="78">
        <f>I22/'סכום נכסי הקרן'!$C$42</f>
        <v>4.3343867725850366E-6</v>
      </c>
    </row>
    <row r="23" spans="2:51">
      <c r="B23" s="76" t="s">
        <v>1935</v>
      </c>
      <c r="C23" s="70" t="s">
        <v>1936</v>
      </c>
      <c r="D23" s="83" t="s">
        <v>646</v>
      </c>
      <c r="E23" s="83" t="s">
        <v>159</v>
      </c>
      <c r="F23" s="97">
        <v>44012</v>
      </c>
      <c r="G23" s="77">
        <v>461925.951</v>
      </c>
      <c r="H23" s="79">
        <v>2.8899999999999999E-2</v>
      </c>
      <c r="I23" s="77">
        <v>0.13348971399999998</v>
      </c>
      <c r="J23" s="78">
        <f t="shared" si="0"/>
        <v>-3.2012551674255824E-4</v>
      </c>
      <c r="K23" s="78">
        <f>I23/'סכום נכסי הקרן'!$C$42</f>
        <v>3.6792140489890857E-8</v>
      </c>
    </row>
    <row r="24" spans="2:51">
      <c r="B24" s="76" t="s">
        <v>1935</v>
      </c>
      <c r="C24" s="70" t="s">
        <v>1937</v>
      </c>
      <c r="D24" s="83" t="s">
        <v>646</v>
      </c>
      <c r="E24" s="83" t="s">
        <v>159</v>
      </c>
      <c r="F24" s="97">
        <v>44012</v>
      </c>
      <c r="G24" s="77">
        <v>538913.60950000002</v>
      </c>
      <c r="H24" s="79">
        <v>0.17319999999999999</v>
      </c>
      <c r="I24" s="77">
        <v>0.93316465400000004</v>
      </c>
      <c r="J24" s="78">
        <f t="shared" si="0"/>
        <v>-2.2378489556704019E-3</v>
      </c>
      <c r="K24" s="78">
        <f>I24/'סכום נכסי הקרן'!$C$42</f>
        <v>2.5719678334293535E-7</v>
      </c>
    </row>
    <row r="25" spans="2:51">
      <c r="B25" s="76" t="s">
        <v>1938</v>
      </c>
      <c r="C25" s="70" t="s">
        <v>1939</v>
      </c>
      <c r="D25" s="83" t="s">
        <v>646</v>
      </c>
      <c r="E25" s="83" t="s">
        <v>159</v>
      </c>
      <c r="F25" s="97">
        <v>43887</v>
      </c>
      <c r="G25" s="77">
        <v>140163.66705600001</v>
      </c>
      <c r="H25" s="79">
        <v>-1.8695999999999999</v>
      </c>
      <c r="I25" s="77">
        <v>-2.6204780599999999</v>
      </c>
      <c r="J25" s="78">
        <f t="shared" si="0"/>
        <v>6.2842436913906089E-3</v>
      </c>
      <c r="K25" s="78">
        <f>I25/'סכום נכסי הקרן'!$C$42</f>
        <v>-7.2225038203465366E-7</v>
      </c>
    </row>
    <row r="26" spans="2:51">
      <c r="B26" s="76" t="s">
        <v>1940</v>
      </c>
      <c r="C26" s="70" t="s">
        <v>1941</v>
      </c>
      <c r="D26" s="83" t="s">
        <v>646</v>
      </c>
      <c r="E26" s="83" t="s">
        <v>159</v>
      </c>
      <c r="F26" s="97">
        <v>43887</v>
      </c>
      <c r="G26" s="77">
        <v>145562.88055500001</v>
      </c>
      <c r="H26" s="79">
        <v>-1.8666</v>
      </c>
      <c r="I26" s="77">
        <v>-2.7170583429999997</v>
      </c>
      <c r="J26" s="78">
        <f t="shared" si="0"/>
        <v>6.5158556416755383E-3</v>
      </c>
      <c r="K26" s="78">
        <f>I26/'סכום נכסי הקרן'!$C$42</f>
        <v>-7.4886962657576797E-7</v>
      </c>
    </row>
    <row r="27" spans="2:51">
      <c r="B27" s="76" t="s">
        <v>1942</v>
      </c>
      <c r="C27" s="70" t="s">
        <v>1943</v>
      </c>
      <c r="D27" s="83" t="s">
        <v>646</v>
      </c>
      <c r="E27" s="83" t="s">
        <v>159</v>
      </c>
      <c r="F27" s="97">
        <v>43887</v>
      </c>
      <c r="G27" s="77">
        <v>20397600</v>
      </c>
      <c r="H27" s="79">
        <v>-1.8287</v>
      </c>
      <c r="I27" s="77">
        <v>-373.01163000000003</v>
      </c>
      <c r="J27" s="78">
        <f t="shared" si="0"/>
        <v>0.8945299021670986</v>
      </c>
      <c r="K27" s="78">
        <f>I27/'סכום נכסי הקרן'!$C$42</f>
        <v>-1.0280864258442558E-4</v>
      </c>
    </row>
    <row r="28" spans="2:51">
      <c r="B28" s="76" t="s">
        <v>1944</v>
      </c>
      <c r="C28" s="70" t="s">
        <v>1945</v>
      </c>
      <c r="D28" s="83" t="s">
        <v>646</v>
      </c>
      <c r="E28" s="83" t="s">
        <v>159</v>
      </c>
      <c r="F28" s="97">
        <v>43893</v>
      </c>
      <c r="G28" s="77">
        <v>175385.04763500002</v>
      </c>
      <c r="H28" s="79">
        <v>-1.6365000000000001</v>
      </c>
      <c r="I28" s="77">
        <v>-2.8701612169999993</v>
      </c>
      <c r="J28" s="78">
        <f t="shared" si="0"/>
        <v>6.8830160406709298E-3</v>
      </c>
      <c r="K28" s="78">
        <f>I28/'סכום נכסי הקרן'!$C$42</f>
        <v>-7.9106750295756958E-7</v>
      </c>
    </row>
    <row r="29" spans="2:51">
      <c r="B29" s="76" t="s">
        <v>1946</v>
      </c>
      <c r="C29" s="70" t="s">
        <v>1947</v>
      </c>
      <c r="D29" s="83" t="s">
        <v>646</v>
      </c>
      <c r="E29" s="83" t="s">
        <v>159</v>
      </c>
      <c r="F29" s="97">
        <v>43888</v>
      </c>
      <c r="G29" s="77">
        <v>145944.12585000001</v>
      </c>
      <c r="H29" s="79">
        <v>-1.6006</v>
      </c>
      <c r="I29" s="77">
        <v>-2.3359176980000003</v>
      </c>
      <c r="J29" s="78">
        <f t="shared" si="0"/>
        <v>5.6018313151853577E-3</v>
      </c>
      <c r="K29" s="78">
        <f>I29/'סכום נכסי הקרן'!$C$42</f>
        <v>-6.4382048280992248E-7</v>
      </c>
    </row>
    <row r="30" spans="2:51">
      <c r="B30" s="76" t="s">
        <v>1948</v>
      </c>
      <c r="C30" s="70" t="s">
        <v>1949</v>
      </c>
      <c r="D30" s="83" t="s">
        <v>646</v>
      </c>
      <c r="E30" s="83" t="s">
        <v>159</v>
      </c>
      <c r="F30" s="97">
        <v>44005</v>
      </c>
      <c r="G30" s="77">
        <v>195576.94337999998</v>
      </c>
      <c r="H30" s="79">
        <v>-1.3897999999999999</v>
      </c>
      <c r="I30" s="77">
        <v>-2.7181975770000002</v>
      </c>
      <c r="J30" s="78">
        <f t="shared" si="0"/>
        <v>6.5185876714478159E-3</v>
      </c>
      <c r="K30" s="78">
        <f>I30/'סכום נכסי הקרן'!$C$42</f>
        <v>-7.4918361973765975E-7</v>
      </c>
    </row>
    <row r="31" spans="2:51">
      <c r="B31" s="76" t="s">
        <v>1950</v>
      </c>
      <c r="C31" s="70" t="s">
        <v>1951</v>
      </c>
      <c r="D31" s="83" t="s">
        <v>646</v>
      </c>
      <c r="E31" s="83" t="s">
        <v>159</v>
      </c>
      <c r="F31" s="97">
        <v>43992</v>
      </c>
      <c r="G31" s="77">
        <v>234195.98616</v>
      </c>
      <c r="H31" s="79">
        <v>-1.3408</v>
      </c>
      <c r="I31" s="77">
        <v>-3.140188728</v>
      </c>
      <c r="J31" s="78">
        <f t="shared" si="0"/>
        <v>7.5305767695341445E-3</v>
      </c>
      <c r="K31" s="78">
        <f>I31/'סכום נכסי הקרן'!$C$42</f>
        <v>-8.6549188984963813E-7</v>
      </c>
    </row>
    <row r="32" spans="2:51">
      <c r="B32" s="76" t="s">
        <v>1952</v>
      </c>
      <c r="C32" s="70" t="s">
        <v>1953</v>
      </c>
      <c r="D32" s="83" t="s">
        <v>646</v>
      </c>
      <c r="E32" s="83" t="s">
        <v>159</v>
      </c>
      <c r="F32" s="97">
        <v>43676</v>
      </c>
      <c r="G32" s="77">
        <v>21034097</v>
      </c>
      <c r="H32" s="79">
        <v>-1.3280000000000001</v>
      </c>
      <c r="I32" s="77">
        <v>-279.32241999999997</v>
      </c>
      <c r="J32" s="78">
        <f t="shared" si="0"/>
        <v>0.66985111707020284</v>
      </c>
      <c r="K32" s="78">
        <f>I32/'סכום נכסי הקרן'!$C$42</f>
        <v>-7.698622920576713E-5</v>
      </c>
    </row>
    <row r="33" spans="2:11">
      <c r="B33" s="76" t="s">
        <v>1954</v>
      </c>
      <c r="C33" s="70" t="s">
        <v>1955</v>
      </c>
      <c r="D33" s="83" t="s">
        <v>646</v>
      </c>
      <c r="E33" s="83" t="s">
        <v>159</v>
      </c>
      <c r="F33" s="97">
        <v>44006</v>
      </c>
      <c r="G33" s="77">
        <v>156761.754828</v>
      </c>
      <c r="H33" s="79">
        <v>-1.2856000000000001</v>
      </c>
      <c r="I33" s="77">
        <v>-2.015308434</v>
      </c>
      <c r="J33" s="78">
        <f t="shared" si="0"/>
        <v>4.8329690318303174E-3</v>
      </c>
      <c r="K33" s="78">
        <f>I33/'סכום נכסי הקרן'!$C$42</f>
        <v>-5.5545486474103882E-7</v>
      </c>
    </row>
    <row r="34" spans="2:11">
      <c r="B34" s="76" t="s">
        <v>1956</v>
      </c>
      <c r="C34" s="70" t="s">
        <v>1957</v>
      </c>
      <c r="D34" s="83" t="s">
        <v>646</v>
      </c>
      <c r="E34" s="83" t="s">
        <v>159</v>
      </c>
      <c r="F34" s="97">
        <v>43992</v>
      </c>
      <c r="G34" s="77">
        <v>234442.72468799996</v>
      </c>
      <c r="H34" s="79">
        <v>-1.2342</v>
      </c>
      <c r="I34" s="77">
        <v>-2.8935052110000004</v>
      </c>
      <c r="J34" s="78">
        <f t="shared" si="0"/>
        <v>6.9389979430824183E-3</v>
      </c>
      <c r="K34" s="78">
        <f>I34/'סכום נכסי הקרן'!$C$42</f>
        <v>-7.9750152308621568E-7</v>
      </c>
    </row>
    <row r="35" spans="2:11">
      <c r="B35" s="76" t="s">
        <v>1958</v>
      </c>
      <c r="C35" s="70" t="s">
        <v>1959</v>
      </c>
      <c r="D35" s="83" t="s">
        <v>646</v>
      </c>
      <c r="E35" s="83" t="s">
        <v>159</v>
      </c>
      <c r="F35" s="97">
        <v>43889</v>
      </c>
      <c r="G35" s="77">
        <v>293601.71370000002</v>
      </c>
      <c r="H35" s="79">
        <v>-0.99939999999999996</v>
      </c>
      <c r="I35" s="77">
        <v>-2.9343001200000001</v>
      </c>
      <c r="J35" s="78">
        <f t="shared" si="0"/>
        <v>7.0368293859162127E-3</v>
      </c>
      <c r="K35" s="78">
        <f>I35/'סכום נכסי הקרן'!$C$42</f>
        <v>-8.0874532590985714E-7</v>
      </c>
    </row>
    <row r="36" spans="2:11">
      <c r="B36" s="76" t="s">
        <v>1960</v>
      </c>
      <c r="C36" s="70" t="s">
        <v>1961</v>
      </c>
      <c r="D36" s="83" t="s">
        <v>646</v>
      </c>
      <c r="E36" s="83" t="s">
        <v>159</v>
      </c>
      <c r="F36" s="97">
        <v>44005</v>
      </c>
      <c r="G36" s="77">
        <v>196361.81774999999</v>
      </c>
      <c r="H36" s="79">
        <v>-1.081</v>
      </c>
      <c r="I36" s="77">
        <v>-2.12265404</v>
      </c>
      <c r="J36" s="78">
        <f t="shared" si="0"/>
        <v>5.0903976123634438E-3</v>
      </c>
      <c r="K36" s="78">
        <f>I36/'סכום נכסי הקרן'!$C$42</f>
        <v>-5.8504122385874936E-7</v>
      </c>
    </row>
    <row r="37" spans="2:11">
      <c r="B37" s="76" t="s">
        <v>1962</v>
      </c>
      <c r="C37" s="70" t="s">
        <v>1963</v>
      </c>
      <c r="D37" s="83" t="s">
        <v>646</v>
      </c>
      <c r="E37" s="83" t="s">
        <v>159</v>
      </c>
      <c r="F37" s="97">
        <v>44005</v>
      </c>
      <c r="G37" s="77">
        <v>10541256.83</v>
      </c>
      <c r="H37" s="79">
        <v>-1.0774999999999999</v>
      </c>
      <c r="I37" s="77">
        <v>-113.58271999999999</v>
      </c>
      <c r="J37" s="78">
        <f t="shared" si="0"/>
        <v>0.27238598273590808</v>
      </c>
      <c r="K37" s="78">
        <f>I37/'סכום נכסי הקרן'!$C$42</f>
        <v>-3.1305418719107726E-5</v>
      </c>
    </row>
    <row r="38" spans="2:11">
      <c r="B38" s="76" t="s">
        <v>1964</v>
      </c>
      <c r="C38" s="70" t="s">
        <v>1965</v>
      </c>
      <c r="D38" s="83" t="s">
        <v>646</v>
      </c>
      <c r="E38" s="83" t="s">
        <v>159</v>
      </c>
      <c r="F38" s="97">
        <v>44000</v>
      </c>
      <c r="G38" s="77">
        <v>176880.31924499999</v>
      </c>
      <c r="H38" s="79">
        <v>-0.94210000000000005</v>
      </c>
      <c r="I38" s="77">
        <v>-1.6664257490000001</v>
      </c>
      <c r="J38" s="78">
        <f t="shared" si="0"/>
        <v>3.9963034456102723E-3</v>
      </c>
      <c r="K38" s="78">
        <f>I38/'סכום נכסי הקרן'!$C$42</f>
        <v>-4.5929658874825075E-7</v>
      </c>
    </row>
    <row r="39" spans="2:11">
      <c r="B39" s="76" t="s">
        <v>1966</v>
      </c>
      <c r="C39" s="70" t="s">
        <v>1967</v>
      </c>
      <c r="D39" s="83" t="s">
        <v>646</v>
      </c>
      <c r="E39" s="83" t="s">
        <v>159</v>
      </c>
      <c r="F39" s="97">
        <v>43892</v>
      </c>
      <c r="G39" s="77">
        <v>293987.24264999997</v>
      </c>
      <c r="H39" s="79">
        <v>-0.88349999999999995</v>
      </c>
      <c r="I39" s="77">
        <v>-2.5973027280000003</v>
      </c>
      <c r="J39" s="78">
        <f t="shared" si="0"/>
        <v>6.2286662621650118E-3</v>
      </c>
      <c r="K39" s="78">
        <f>I39/'סכום נכסי הקרן'!$C$42</f>
        <v>-7.1586284815437399E-7</v>
      </c>
    </row>
    <row r="40" spans="2:11">
      <c r="B40" s="76" t="s">
        <v>1968</v>
      </c>
      <c r="C40" s="70" t="s">
        <v>1969</v>
      </c>
      <c r="D40" s="83" t="s">
        <v>646</v>
      </c>
      <c r="E40" s="83" t="s">
        <v>159</v>
      </c>
      <c r="F40" s="97">
        <v>44011</v>
      </c>
      <c r="G40" s="77">
        <v>157307.15658000001</v>
      </c>
      <c r="H40" s="79">
        <v>-0.93100000000000005</v>
      </c>
      <c r="I40" s="77">
        <v>-1.4644770009999999</v>
      </c>
      <c r="J40" s="78">
        <f t="shared" si="0"/>
        <v>3.5120043534044654E-3</v>
      </c>
      <c r="K40" s="78">
        <f>I40/'סכום נכסי הקרן'!$C$42</f>
        <v>-4.0363592033020643E-7</v>
      </c>
    </row>
    <row r="41" spans="2:11">
      <c r="B41" s="76" t="s">
        <v>1970</v>
      </c>
      <c r="C41" s="70" t="s">
        <v>1971</v>
      </c>
      <c r="D41" s="83" t="s">
        <v>646</v>
      </c>
      <c r="E41" s="83" t="s">
        <v>159</v>
      </c>
      <c r="F41" s="97">
        <v>43675</v>
      </c>
      <c r="G41" s="77">
        <v>4462510</v>
      </c>
      <c r="H41" s="79">
        <v>-0.8649</v>
      </c>
      <c r="I41" s="77">
        <v>-38.594650000000001</v>
      </c>
      <c r="J41" s="78">
        <f t="shared" si="0"/>
        <v>9.2554938538172149E-2</v>
      </c>
      <c r="K41" s="78">
        <f>I41/'סכום נכסי הקרן'!$C$42</f>
        <v>-1.0637372291906825E-5</v>
      </c>
    </row>
    <row r="42" spans="2:11">
      <c r="B42" s="76" t="s">
        <v>1972</v>
      </c>
      <c r="C42" s="70" t="s">
        <v>1973</v>
      </c>
      <c r="D42" s="83" t="s">
        <v>646</v>
      </c>
      <c r="E42" s="83" t="s">
        <v>159</v>
      </c>
      <c r="F42" s="97">
        <v>44011</v>
      </c>
      <c r="G42" s="77">
        <v>308821.53991499997</v>
      </c>
      <c r="H42" s="79">
        <v>-0.90890000000000004</v>
      </c>
      <c r="I42" s="77">
        <v>-2.8069404850000006</v>
      </c>
      <c r="J42" s="78">
        <f t="shared" si="0"/>
        <v>6.7314045876690721E-3</v>
      </c>
      <c r="K42" s="78">
        <f>I42/'סכום נכסי הקרן'!$C$42</f>
        <v>-7.7364274427078641E-7</v>
      </c>
    </row>
    <row r="43" spans="2:11">
      <c r="B43" s="76" t="s">
        <v>1974</v>
      </c>
      <c r="C43" s="70" t="s">
        <v>1975</v>
      </c>
      <c r="D43" s="83" t="s">
        <v>646</v>
      </c>
      <c r="E43" s="83" t="s">
        <v>159</v>
      </c>
      <c r="F43" s="97">
        <v>44000</v>
      </c>
      <c r="G43" s="77">
        <v>147229.22235</v>
      </c>
      <c r="H43" s="79">
        <v>-0.75929999999999997</v>
      </c>
      <c r="I43" s="77">
        <v>-1.1178670549999998</v>
      </c>
      <c r="J43" s="78">
        <f t="shared" si="0"/>
        <v>2.680789087849546E-3</v>
      </c>
      <c r="K43" s="78">
        <f>I43/'סכום נכסי הקרן'!$C$42</f>
        <v>-3.0810405164685989E-7</v>
      </c>
    </row>
    <row r="44" spans="2:11">
      <c r="B44" s="76" t="s">
        <v>1976</v>
      </c>
      <c r="C44" s="70" t="s">
        <v>1977</v>
      </c>
      <c r="D44" s="83" t="s">
        <v>646</v>
      </c>
      <c r="E44" s="83" t="s">
        <v>159</v>
      </c>
      <c r="F44" s="97">
        <v>44000</v>
      </c>
      <c r="G44" s="77">
        <v>216653.39826899997</v>
      </c>
      <c r="H44" s="79">
        <v>-0.72489999999999999</v>
      </c>
      <c r="I44" s="77">
        <v>-1.570505153</v>
      </c>
      <c r="J44" s="78">
        <f t="shared" si="0"/>
        <v>3.7662735096651388E-3</v>
      </c>
      <c r="K44" s="78">
        <f>I44/'סכום נכסי הקרן'!$C$42</f>
        <v>-4.3285916568278475E-7</v>
      </c>
    </row>
    <row r="45" spans="2:11">
      <c r="B45" s="76" t="s">
        <v>1978</v>
      </c>
      <c r="C45" s="70" t="s">
        <v>1979</v>
      </c>
      <c r="D45" s="83" t="s">
        <v>646</v>
      </c>
      <c r="E45" s="83" t="s">
        <v>159</v>
      </c>
      <c r="F45" s="97">
        <v>43991</v>
      </c>
      <c r="G45" s="77">
        <v>137874.35466000001</v>
      </c>
      <c r="H45" s="79">
        <v>-0.77649999999999997</v>
      </c>
      <c r="I45" s="77">
        <v>-1.0705701650000001</v>
      </c>
      <c r="J45" s="78">
        <f t="shared" si="0"/>
        <v>2.5673650576537375E-3</v>
      </c>
      <c r="K45" s="78">
        <f>I45/'סכום נכסי הקרן'!$C$42</f>
        <v>-2.9506818716358662E-7</v>
      </c>
    </row>
    <row r="46" spans="2:11">
      <c r="B46" s="76" t="s">
        <v>1980</v>
      </c>
      <c r="C46" s="70" t="s">
        <v>1981</v>
      </c>
      <c r="D46" s="83" t="s">
        <v>646</v>
      </c>
      <c r="E46" s="83" t="s">
        <v>159</v>
      </c>
      <c r="F46" s="97">
        <v>44000</v>
      </c>
      <c r="G46" s="77">
        <v>138014.715405</v>
      </c>
      <c r="H46" s="79">
        <v>-0.66090000000000004</v>
      </c>
      <c r="I46" s="77">
        <v>-0.91215133900000001</v>
      </c>
      <c r="J46" s="78">
        <f t="shared" si="0"/>
        <v>2.1874563215019808E-3</v>
      </c>
      <c r="K46" s="78">
        <f>I46/'סכום נכסי הקרן'!$C$42</f>
        <v>-2.5140513981871345E-7</v>
      </c>
    </row>
    <row r="47" spans="2:11">
      <c r="B47" s="76" t="s">
        <v>1982</v>
      </c>
      <c r="C47" s="70" t="s">
        <v>1983</v>
      </c>
      <c r="D47" s="83" t="s">
        <v>646</v>
      </c>
      <c r="E47" s="83" t="s">
        <v>159</v>
      </c>
      <c r="F47" s="97">
        <v>43991</v>
      </c>
      <c r="G47" s="77">
        <v>59150.882447999997</v>
      </c>
      <c r="H47" s="79">
        <v>-0.67110000000000003</v>
      </c>
      <c r="I47" s="77">
        <v>-0.39695172500000003</v>
      </c>
      <c r="J47" s="78">
        <f t="shared" si="0"/>
        <v>9.5194133150569864E-4</v>
      </c>
      <c r="K47" s="78">
        <f>I47/'סכום נכסי הקרן'!$C$42</f>
        <v>-1.0940695875567256E-7</v>
      </c>
    </row>
    <row r="48" spans="2:11">
      <c r="B48" s="76" t="s">
        <v>1984</v>
      </c>
      <c r="C48" s="70" t="s">
        <v>1985</v>
      </c>
      <c r="D48" s="83" t="s">
        <v>646</v>
      </c>
      <c r="E48" s="83" t="s">
        <v>159</v>
      </c>
      <c r="F48" s="97">
        <v>44000</v>
      </c>
      <c r="G48" s="77">
        <v>1032780</v>
      </c>
      <c r="H48" s="79">
        <v>-0.62880000000000003</v>
      </c>
      <c r="I48" s="77">
        <v>-6.4936099999999994</v>
      </c>
      <c r="J48" s="78">
        <f t="shared" si="0"/>
        <v>1.557251262651326E-2</v>
      </c>
      <c r="K48" s="78">
        <f>I48/'סכום נכסי הקרן'!$C$42</f>
        <v>-1.7897544630784076E-6</v>
      </c>
    </row>
    <row r="49" spans="2:11">
      <c r="B49" s="76" t="s">
        <v>1986</v>
      </c>
      <c r="C49" s="70" t="s">
        <v>1987</v>
      </c>
      <c r="D49" s="83" t="s">
        <v>646</v>
      </c>
      <c r="E49" s="83" t="s">
        <v>159</v>
      </c>
      <c r="F49" s="97">
        <v>43992</v>
      </c>
      <c r="G49" s="77">
        <v>173655.459516</v>
      </c>
      <c r="H49" s="79">
        <v>-0.58109999999999995</v>
      </c>
      <c r="I49" s="77">
        <v>-1.009148589</v>
      </c>
      <c r="J49" s="78">
        <f t="shared" si="0"/>
        <v>2.4200682123241991E-3</v>
      </c>
      <c r="K49" s="78">
        <f>I49/'סכום נכסי הקרן'!$C$42</f>
        <v>-2.7813930788452464E-7</v>
      </c>
    </row>
    <row r="50" spans="2:11">
      <c r="B50" s="76" t="s">
        <v>1988</v>
      </c>
      <c r="C50" s="70" t="s">
        <v>1989</v>
      </c>
      <c r="D50" s="83" t="s">
        <v>646</v>
      </c>
      <c r="E50" s="83" t="s">
        <v>159</v>
      </c>
      <c r="F50" s="97">
        <v>43990</v>
      </c>
      <c r="G50" s="77">
        <v>236183.60208000001</v>
      </c>
      <c r="H50" s="79">
        <v>-0.53839999999999999</v>
      </c>
      <c r="I50" s="77">
        <v>-1.271650535</v>
      </c>
      <c r="J50" s="78">
        <f t="shared" si="0"/>
        <v>3.0495816676393938E-3</v>
      </c>
      <c r="K50" s="78">
        <f>I50/'סכום נכסי הקרן'!$C$42</f>
        <v>-3.5048951515294191E-7</v>
      </c>
    </row>
    <row r="51" spans="2:11">
      <c r="B51" s="76" t="s">
        <v>1990</v>
      </c>
      <c r="C51" s="70" t="s">
        <v>1991</v>
      </c>
      <c r="D51" s="83" t="s">
        <v>646</v>
      </c>
      <c r="E51" s="83" t="s">
        <v>159</v>
      </c>
      <c r="F51" s="97">
        <v>43991</v>
      </c>
      <c r="G51" s="77">
        <v>177700.14057599998</v>
      </c>
      <c r="H51" s="79">
        <v>-0.53090000000000004</v>
      </c>
      <c r="I51" s="77">
        <v>-0.94339891799999998</v>
      </c>
      <c r="J51" s="78">
        <f t="shared" si="0"/>
        <v>2.2623920380795809E-3</v>
      </c>
      <c r="K51" s="78">
        <f>I51/'סכום נכסי הקרן'!$C$42</f>
        <v>-2.6001752860948547E-7</v>
      </c>
    </row>
    <row r="52" spans="2:11">
      <c r="B52" s="76" t="s">
        <v>1992</v>
      </c>
      <c r="C52" s="70" t="s">
        <v>1993</v>
      </c>
      <c r="D52" s="83" t="s">
        <v>646</v>
      </c>
      <c r="E52" s="83" t="s">
        <v>159</v>
      </c>
      <c r="F52" s="97">
        <v>43991</v>
      </c>
      <c r="G52" s="77">
        <v>181685.92741299997</v>
      </c>
      <c r="H52" s="79">
        <v>-0.51049999999999995</v>
      </c>
      <c r="I52" s="77">
        <v>-0.9274740239999999</v>
      </c>
      <c r="J52" s="78">
        <f t="shared" si="0"/>
        <v>2.224202092442118E-3</v>
      </c>
      <c r="K52" s="78">
        <f>I52/'סכום נכסי הקרן'!$C$42</f>
        <v>-2.5562834445605603E-7</v>
      </c>
    </row>
    <row r="53" spans="2:11">
      <c r="B53" s="76" t="s">
        <v>1994</v>
      </c>
      <c r="C53" s="70" t="s">
        <v>1995</v>
      </c>
      <c r="D53" s="83" t="s">
        <v>646</v>
      </c>
      <c r="E53" s="83" t="s">
        <v>159</v>
      </c>
      <c r="F53" s="97">
        <v>43999</v>
      </c>
      <c r="G53" s="77">
        <v>3447600</v>
      </c>
      <c r="H53" s="79">
        <v>-0.50439999999999996</v>
      </c>
      <c r="I53" s="77">
        <v>-17.391169999999999</v>
      </c>
      <c r="J53" s="78">
        <f t="shared" si="0"/>
        <v>4.1706264222033447E-2</v>
      </c>
      <c r="K53" s="78">
        <f>I53/'סכום נכסי הקרן'!$C$42</f>
        <v>-4.7933159098953142E-6</v>
      </c>
    </row>
    <row r="54" spans="2:11">
      <c r="B54" s="76" t="s">
        <v>1996</v>
      </c>
      <c r="C54" s="70" t="s">
        <v>1997</v>
      </c>
      <c r="D54" s="83" t="s">
        <v>646</v>
      </c>
      <c r="E54" s="83" t="s">
        <v>159</v>
      </c>
      <c r="F54" s="97">
        <v>43895</v>
      </c>
      <c r="G54" s="77">
        <v>221524.93466999999</v>
      </c>
      <c r="H54" s="79">
        <v>-0.49180000000000001</v>
      </c>
      <c r="I54" s="77">
        <v>-1.089380467</v>
      </c>
      <c r="J54" s="78">
        <f t="shared" si="0"/>
        <v>2.6124745830800452E-3</v>
      </c>
      <c r="K54" s="78">
        <f>I54/'סכום נכסי הקרן'!$C$42</f>
        <v>-3.0025264110466908E-7</v>
      </c>
    </row>
    <row r="55" spans="2:11">
      <c r="B55" s="76" t="s">
        <v>1998</v>
      </c>
      <c r="C55" s="70" t="s">
        <v>1941</v>
      </c>
      <c r="D55" s="83" t="s">
        <v>646</v>
      </c>
      <c r="E55" s="83" t="s">
        <v>159</v>
      </c>
      <c r="F55" s="97">
        <v>43999</v>
      </c>
      <c r="G55" s="77">
        <v>177767.16999299999</v>
      </c>
      <c r="H55" s="79">
        <v>-0.50149999999999995</v>
      </c>
      <c r="I55" s="77">
        <v>-0.89155247799999993</v>
      </c>
      <c r="J55" s="78">
        <f t="shared" si="0"/>
        <v>2.1380576013733787E-3</v>
      </c>
      <c r="K55" s="78">
        <f>I55/'סכום נכסי הקרן'!$C$42</f>
        <v>-2.457277271916721E-7</v>
      </c>
    </row>
    <row r="56" spans="2:11">
      <c r="B56" s="76" t="s">
        <v>1999</v>
      </c>
      <c r="C56" s="70" t="s">
        <v>2000</v>
      </c>
      <c r="D56" s="83" t="s">
        <v>646</v>
      </c>
      <c r="E56" s="83" t="s">
        <v>159</v>
      </c>
      <c r="F56" s="97">
        <v>43895</v>
      </c>
      <c r="G56" s="77">
        <v>206792.58839400002</v>
      </c>
      <c r="H56" s="79">
        <v>-0.47939999999999999</v>
      </c>
      <c r="I56" s="77">
        <v>-0.99141583899999997</v>
      </c>
      <c r="J56" s="78">
        <f t="shared" si="0"/>
        <v>2.3775427952945644E-3</v>
      </c>
      <c r="K56" s="78">
        <f>I56/'סכום נכסי הקרן'!$C$42</f>
        <v>-2.7325184644856622E-7</v>
      </c>
    </row>
    <row r="57" spans="2:11">
      <c r="B57" s="76" t="s">
        <v>2001</v>
      </c>
      <c r="C57" s="70" t="s">
        <v>1947</v>
      </c>
      <c r="D57" s="83" t="s">
        <v>646</v>
      </c>
      <c r="E57" s="83" t="s">
        <v>159</v>
      </c>
      <c r="F57" s="97">
        <v>44012</v>
      </c>
      <c r="G57" s="77">
        <v>98819.69349000002</v>
      </c>
      <c r="H57" s="79">
        <v>-0.3629</v>
      </c>
      <c r="I57" s="77">
        <v>-0.35858515200000002</v>
      </c>
      <c r="J57" s="78">
        <f t="shared" si="0"/>
        <v>8.5993335097121282E-4</v>
      </c>
      <c r="K57" s="78">
        <f>I57/'סכום נכסי הקרן'!$C$42</f>
        <v>-9.8832448543360206E-8</v>
      </c>
    </row>
    <row r="58" spans="2:11">
      <c r="B58" s="76" t="s">
        <v>2002</v>
      </c>
      <c r="C58" s="70" t="s">
        <v>2003</v>
      </c>
      <c r="D58" s="83" t="s">
        <v>646</v>
      </c>
      <c r="E58" s="83" t="s">
        <v>159</v>
      </c>
      <c r="F58" s="97">
        <v>43990</v>
      </c>
      <c r="G58" s="77">
        <v>295914.88740000001</v>
      </c>
      <c r="H58" s="79">
        <v>-0.30559999999999998</v>
      </c>
      <c r="I58" s="77">
        <v>-0.90428373399999995</v>
      </c>
      <c r="J58" s="78">
        <f t="shared" si="0"/>
        <v>2.1685887920071512E-3</v>
      </c>
      <c r="K58" s="78">
        <f>I58/'סכום נכסי הקרן'!$C$42</f>
        <v>-2.4923668788481408E-7</v>
      </c>
    </row>
    <row r="59" spans="2:11">
      <c r="B59" s="76" t="s">
        <v>2004</v>
      </c>
      <c r="C59" s="70" t="s">
        <v>2005</v>
      </c>
      <c r="D59" s="83" t="s">
        <v>646</v>
      </c>
      <c r="E59" s="83" t="s">
        <v>159</v>
      </c>
      <c r="F59" s="97">
        <v>43991</v>
      </c>
      <c r="G59" s="77">
        <v>277204.45076099999</v>
      </c>
      <c r="H59" s="79">
        <v>-0.27129999999999999</v>
      </c>
      <c r="I59" s="77">
        <v>-0.75192072599999993</v>
      </c>
      <c r="J59" s="78">
        <f t="shared" si="0"/>
        <v>1.8032026869140611E-3</v>
      </c>
      <c r="K59" s="78">
        <f>I59/'סכום נכסי הקרן'!$C$42</f>
        <v>-2.0724273173776318E-7</v>
      </c>
    </row>
    <row r="60" spans="2:11">
      <c r="B60" s="76" t="s">
        <v>2006</v>
      </c>
      <c r="C60" s="70" t="s">
        <v>2007</v>
      </c>
      <c r="D60" s="83" t="s">
        <v>646</v>
      </c>
      <c r="E60" s="83" t="s">
        <v>159</v>
      </c>
      <c r="F60" s="97">
        <v>43990</v>
      </c>
      <c r="G60" s="77">
        <v>178298.24922</v>
      </c>
      <c r="H60" s="79">
        <v>-0.21820000000000001</v>
      </c>
      <c r="I60" s="77">
        <v>-0.38910845799999993</v>
      </c>
      <c r="J60" s="78">
        <f t="shared" si="0"/>
        <v>9.3313216766761529E-4</v>
      </c>
      <c r="K60" s="78">
        <f>I60/'סכום נכסי הקרן'!$C$42</f>
        <v>-1.0724521480764275E-7</v>
      </c>
    </row>
    <row r="61" spans="2:11">
      <c r="B61" s="76" t="s">
        <v>2008</v>
      </c>
      <c r="C61" s="70" t="s">
        <v>2009</v>
      </c>
      <c r="D61" s="83" t="s">
        <v>646</v>
      </c>
      <c r="E61" s="83" t="s">
        <v>159</v>
      </c>
      <c r="F61" s="97">
        <v>43990</v>
      </c>
      <c r="G61" s="77">
        <v>95099.274396000008</v>
      </c>
      <c r="H61" s="79">
        <v>-0.21099999999999999</v>
      </c>
      <c r="I61" s="77">
        <v>-0.200650417</v>
      </c>
      <c r="J61" s="78">
        <f t="shared" si="0"/>
        <v>4.8118552734883232E-4</v>
      </c>
      <c r="K61" s="78">
        <f>I61/'סכום נכסי הקרן'!$C$42</f>
        <v>-5.5302825291986064E-8</v>
      </c>
    </row>
    <row r="62" spans="2:11">
      <c r="B62" s="76" t="s">
        <v>2010</v>
      </c>
      <c r="C62" s="70" t="s">
        <v>2011</v>
      </c>
      <c r="D62" s="83" t="s">
        <v>646</v>
      </c>
      <c r="E62" s="83" t="s">
        <v>159</v>
      </c>
      <c r="F62" s="97">
        <v>43990</v>
      </c>
      <c r="G62" s="77">
        <v>59467.123800000001</v>
      </c>
      <c r="H62" s="79">
        <v>-0.1603</v>
      </c>
      <c r="I62" s="77">
        <v>-9.5332341999999987E-2</v>
      </c>
      <c r="J62" s="78">
        <f t="shared" si="0"/>
        <v>2.2861922713407183E-4</v>
      </c>
      <c r="K62" s="78">
        <f>I62/'סכום נכסי הקרן'!$C$42</f>
        <v>-2.6275289795694093E-8</v>
      </c>
    </row>
    <row r="63" spans="2:11">
      <c r="B63" s="76" t="s">
        <v>2010</v>
      </c>
      <c r="C63" s="70" t="s">
        <v>2012</v>
      </c>
      <c r="D63" s="83" t="s">
        <v>646</v>
      </c>
      <c r="E63" s="83" t="s">
        <v>159</v>
      </c>
      <c r="F63" s="97">
        <v>43990</v>
      </c>
      <c r="G63" s="77">
        <v>103750.1241</v>
      </c>
      <c r="H63" s="79">
        <v>-0.1603</v>
      </c>
      <c r="I63" s="77">
        <v>-0.16632286099999999</v>
      </c>
      <c r="J63" s="78">
        <f t="shared" si="0"/>
        <v>3.9886362947579387E-4</v>
      </c>
      <c r="K63" s="78">
        <f>I63/'סכום נכסי הקרן'!$C$42</f>
        <v>-4.5841540035006667E-8</v>
      </c>
    </row>
    <row r="64" spans="2:11">
      <c r="B64" s="76" t="s">
        <v>2013</v>
      </c>
      <c r="C64" s="70" t="s">
        <v>2014</v>
      </c>
      <c r="D64" s="83" t="s">
        <v>646</v>
      </c>
      <c r="E64" s="83" t="s">
        <v>159</v>
      </c>
      <c r="F64" s="97">
        <v>43994</v>
      </c>
      <c r="G64" s="77">
        <v>296745.91647</v>
      </c>
      <c r="H64" s="79">
        <v>-6.5500000000000003E-2</v>
      </c>
      <c r="I64" s="77">
        <v>-0.19433534299999999</v>
      </c>
      <c r="J64" s="78">
        <f t="shared" si="0"/>
        <v>4.6604116703117144E-4</v>
      </c>
      <c r="K64" s="78">
        <f>I64/'סכום נכסי הקרן'!$C$42</f>
        <v>-5.3562278527371246E-8</v>
      </c>
    </row>
    <row r="65" spans="2:11">
      <c r="B65" s="76" t="s">
        <v>2015</v>
      </c>
      <c r="C65" s="70" t="s">
        <v>2016</v>
      </c>
      <c r="D65" s="83" t="s">
        <v>646</v>
      </c>
      <c r="E65" s="83" t="s">
        <v>159</v>
      </c>
      <c r="F65" s="97">
        <v>43985</v>
      </c>
      <c r="G65" s="77">
        <v>158789.824368</v>
      </c>
      <c r="H65" s="79">
        <v>-3.9300000000000002E-2</v>
      </c>
      <c r="I65" s="77">
        <v>-6.2421540000000005E-2</v>
      </c>
      <c r="J65" s="78">
        <f t="shared" si="0"/>
        <v>1.4969488771521581E-4</v>
      </c>
      <c r="K65" s="78">
        <f>I65/'סכום נכסי הקרן'!$C$42</f>
        <v>-1.7204487150787832E-8</v>
      </c>
    </row>
    <row r="66" spans="2:11">
      <c r="B66" s="76" t="s">
        <v>2017</v>
      </c>
      <c r="C66" s="70" t="s">
        <v>2018</v>
      </c>
      <c r="D66" s="83" t="s">
        <v>646</v>
      </c>
      <c r="E66" s="83" t="s">
        <v>159</v>
      </c>
      <c r="F66" s="97">
        <v>43896</v>
      </c>
      <c r="G66" s="77">
        <v>296865.85881000001</v>
      </c>
      <c r="H66" s="79">
        <v>1.89E-2</v>
      </c>
      <c r="I66" s="77">
        <v>5.613167899999999E-2</v>
      </c>
      <c r="J66" s="78">
        <f t="shared" si="0"/>
        <v>-1.3461099141692974E-4</v>
      </c>
      <c r="K66" s="78">
        <f>I66/'סכום נכסי הקרן'!$C$42</f>
        <v>1.5470889537612286E-8</v>
      </c>
    </row>
    <row r="67" spans="2:11">
      <c r="B67" s="76" t="s">
        <v>2019</v>
      </c>
      <c r="C67" s="70" t="s">
        <v>2020</v>
      </c>
      <c r="D67" s="83" t="s">
        <v>646</v>
      </c>
      <c r="E67" s="83" t="s">
        <v>159</v>
      </c>
      <c r="F67" s="97">
        <v>43985</v>
      </c>
      <c r="G67" s="77">
        <v>178674.64517700003</v>
      </c>
      <c r="H67" s="79">
        <v>-2.0299999999999999E-2</v>
      </c>
      <c r="I67" s="77">
        <v>-3.6219728999999999E-2</v>
      </c>
      <c r="J67" s="78">
        <f t="shared" si="0"/>
        <v>8.6859572284351611E-5</v>
      </c>
      <c r="K67" s="78">
        <f>I67/'סכום נכסי הקרן'!$C$42</f>
        <v>-9.9828018050422553E-9</v>
      </c>
    </row>
    <row r="68" spans="2:11">
      <c r="B68" s="76" t="s">
        <v>2021</v>
      </c>
      <c r="C68" s="70" t="s">
        <v>2022</v>
      </c>
      <c r="D68" s="83" t="s">
        <v>646</v>
      </c>
      <c r="E68" s="83" t="s">
        <v>159</v>
      </c>
      <c r="F68" s="97">
        <v>43896</v>
      </c>
      <c r="G68" s="77">
        <v>296925.82997999998</v>
      </c>
      <c r="H68" s="79">
        <v>3.1699999999999999E-2</v>
      </c>
      <c r="I68" s="77">
        <v>9.4272923000000008E-2</v>
      </c>
      <c r="J68" s="78">
        <f t="shared" si="0"/>
        <v>-2.2607860400544727E-4</v>
      </c>
      <c r="K68" s="78">
        <f>I68/'סכום נכסי הקרן'!$C$42</f>
        <v>2.5983295068027969E-8</v>
      </c>
    </row>
    <row r="69" spans="2:11">
      <c r="B69" s="76" t="s">
        <v>2023</v>
      </c>
      <c r="C69" s="70" t="s">
        <v>2024</v>
      </c>
      <c r="D69" s="83" t="s">
        <v>646</v>
      </c>
      <c r="E69" s="83" t="s">
        <v>159</v>
      </c>
      <c r="F69" s="97">
        <v>43998</v>
      </c>
      <c r="G69" s="77">
        <v>1733250</v>
      </c>
      <c r="H69" s="79">
        <v>1.47E-2</v>
      </c>
      <c r="I69" s="77">
        <v>0.25403999999999999</v>
      </c>
      <c r="J69" s="78">
        <f t="shared" si="0"/>
        <v>-6.0922061959979557E-4</v>
      </c>
      <c r="K69" s="78">
        <f>I69/'סכום נכסי הקרן'!$C$42</f>
        <v>7.0017944379234154E-8</v>
      </c>
    </row>
    <row r="70" spans="2:11">
      <c r="B70" s="76" t="s">
        <v>2025</v>
      </c>
      <c r="C70" s="70" t="s">
        <v>2026</v>
      </c>
      <c r="D70" s="83" t="s">
        <v>646</v>
      </c>
      <c r="E70" s="83" t="s">
        <v>159</v>
      </c>
      <c r="F70" s="97">
        <v>43998</v>
      </c>
      <c r="G70" s="77">
        <v>79440.744263999994</v>
      </c>
      <c r="H70" s="79">
        <v>1.7500000000000002E-2</v>
      </c>
      <c r="I70" s="77">
        <v>1.393466E-2</v>
      </c>
      <c r="J70" s="78">
        <f t="shared" si="0"/>
        <v>-3.3417108325903351E-5</v>
      </c>
      <c r="K70" s="78">
        <f>I70/'סכום נכסי הקרן'!$C$42</f>
        <v>3.8406402488723789E-9</v>
      </c>
    </row>
    <row r="71" spans="2:11">
      <c r="B71" s="76" t="s">
        <v>2027</v>
      </c>
      <c r="C71" s="70" t="s">
        <v>2028</v>
      </c>
      <c r="D71" s="83" t="s">
        <v>646</v>
      </c>
      <c r="E71" s="83" t="s">
        <v>159</v>
      </c>
      <c r="F71" s="97">
        <v>43724</v>
      </c>
      <c r="G71" s="77">
        <v>2773840</v>
      </c>
      <c r="H71" s="79">
        <v>3.8600000000000002E-2</v>
      </c>
      <c r="I71" s="77">
        <v>1.0703499999999999</v>
      </c>
      <c r="J71" s="78">
        <f t="shared" si="0"/>
        <v>-2.5668370736444701E-3</v>
      </c>
      <c r="K71" s="78">
        <f>I71/'סכום נכסי הקרן'!$C$42</f>
        <v>2.9500750577197793E-7</v>
      </c>
    </row>
    <row r="72" spans="2:11">
      <c r="B72" s="76" t="s">
        <v>2029</v>
      </c>
      <c r="C72" s="70" t="s">
        <v>2030</v>
      </c>
      <c r="D72" s="83" t="s">
        <v>646</v>
      </c>
      <c r="E72" s="83" t="s">
        <v>159</v>
      </c>
      <c r="F72" s="97">
        <v>43986</v>
      </c>
      <c r="G72" s="77">
        <v>178870.577319</v>
      </c>
      <c r="H72" s="79">
        <v>0.1258</v>
      </c>
      <c r="I72" s="77">
        <v>0.22508273100000001</v>
      </c>
      <c r="J72" s="78">
        <f t="shared" si="0"/>
        <v>-5.3977736120703083E-4</v>
      </c>
      <c r="K72" s="78">
        <f>I72/'סכום נכסי הקרן'!$C$42</f>
        <v>6.2036805778161409E-8</v>
      </c>
    </row>
    <row r="73" spans="2:11">
      <c r="B73" s="76" t="s">
        <v>2031</v>
      </c>
      <c r="C73" s="70" t="s">
        <v>2032</v>
      </c>
      <c r="D73" s="83" t="s">
        <v>646</v>
      </c>
      <c r="E73" s="83" t="s">
        <v>159</v>
      </c>
      <c r="F73" s="97">
        <v>43724</v>
      </c>
      <c r="G73" s="77">
        <v>5203950</v>
      </c>
      <c r="H73" s="79">
        <v>9.6199999999999994E-2</v>
      </c>
      <c r="I73" s="77">
        <v>5.0067899999999996</v>
      </c>
      <c r="J73" s="78">
        <f t="shared" si="0"/>
        <v>-1.2006926885553694E-2</v>
      </c>
      <c r="K73" s="78">
        <f>I73/'סכום נכסי הקרן'!$C$42</f>
        <v>1.3799604146532268E-6</v>
      </c>
    </row>
    <row r="74" spans="2:11">
      <c r="B74" s="76" t="s">
        <v>2033</v>
      </c>
      <c r="C74" s="70" t="s">
        <v>2034</v>
      </c>
      <c r="D74" s="83" t="s">
        <v>646</v>
      </c>
      <c r="E74" s="83" t="s">
        <v>159</v>
      </c>
      <c r="F74" s="97">
        <v>43986</v>
      </c>
      <c r="G74" s="77">
        <v>159138.14817599999</v>
      </c>
      <c r="H74" s="79">
        <v>0.215</v>
      </c>
      <c r="I74" s="77">
        <v>0.34213191699999995</v>
      </c>
      <c r="J74" s="78">
        <f t="shared" si="0"/>
        <v>-8.204763756085885E-4</v>
      </c>
      <c r="K74" s="78">
        <f>I74/'סכום נכסי הקרן'!$C$42</f>
        <v>9.4297644209048784E-8</v>
      </c>
    </row>
    <row r="75" spans="2:11">
      <c r="B75" s="76" t="s">
        <v>2035</v>
      </c>
      <c r="C75" s="70" t="s">
        <v>2036</v>
      </c>
      <c r="D75" s="83" t="s">
        <v>646</v>
      </c>
      <c r="E75" s="83" t="s">
        <v>159</v>
      </c>
      <c r="F75" s="97">
        <v>43985</v>
      </c>
      <c r="G75" s="77">
        <v>5660990</v>
      </c>
      <c r="H75" s="79">
        <v>0.214</v>
      </c>
      <c r="I75" s="77">
        <v>12.11238</v>
      </c>
      <c r="J75" s="78">
        <f t="shared" si="0"/>
        <v>-2.9047046325099087E-2</v>
      </c>
      <c r="K75" s="78">
        <f>I75/'סכום נכסי הקרן'!$C$42</f>
        <v>3.3383874552832161E-6</v>
      </c>
    </row>
    <row r="76" spans="2:11">
      <c r="B76" s="76" t="s">
        <v>2037</v>
      </c>
      <c r="C76" s="70" t="s">
        <v>2038</v>
      </c>
      <c r="D76" s="83" t="s">
        <v>646</v>
      </c>
      <c r="E76" s="83" t="s">
        <v>159</v>
      </c>
      <c r="F76" s="97">
        <v>43984</v>
      </c>
      <c r="G76" s="77">
        <v>179179.94385899999</v>
      </c>
      <c r="H76" s="79">
        <v>0.26340000000000002</v>
      </c>
      <c r="I76" s="77">
        <v>0.47189246899999998</v>
      </c>
      <c r="J76" s="78">
        <f t="shared" ref="J76:J116" si="1">I76/$I$11</f>
        <v>-1.1316588818637116E-3</v>
      </c>
      <c r="K76" s="78">
        <f>I76/'סכום נכסי הקרן'!$C$42</f>
        <v>1.3006196129515618E-7</v>
      </c>
    </row>
    <row r="77" spans="2:11">
      <c r="B77" s="76" t="s">
        <v>2039</v>
      </c>
      <c r="C77" s="70" t="s">
        <v>2040</v>
      </c>
      <c r="D77" s="83" t="s">
        <v>646</v>
      </c>
      <c r="E77" s="83" t="s">
        <v>159</v>
      </c>
      <c r="F77" s="97">
        <v>43997</v>
      </c>
      <c r="G77" s="77">
        <v>149242.54019999999</v>
      </c>
      <c r="H77" s="79">
        <v>0.54459999999999997</v>
      </c>
      <c r="I77" s="77">
        <v>0.81275776499999997</v>
      </c>
      <c r="J77" s="78">
        <f t="shared" si="1"/>
        <v>-1.9490977372769842E-3</v>
      </c>
      <c r="K77" s="78">
        <f>I77/'סכום נכסי הקרן'!$C$42</f>
        <v>2.2401050221839342E-7</v>
      </c>
    </row>
    <row r="78" spans="2:11">
      <c r="B78" s="76" t="s">
        <v>2041</v>
      </c>
      <c r="C78" s="70" t="s">
        <v>2042</v>
      </c>
      <c r="D78" s="83" t="s">
        <v>646</v>
      </c>
      <c r="E78" s="83" t="s">
        <v>159</v>
      </c>
      <c r="F78" s="97">
        <v>43957</v>
      </c>
      <c r="G78" s="77">
        <v>159880.62787200001</v>
      </c>
      <c r="H78" s="79">
        <v>0.67930000000000001</v>
      </c>
      <c r="I78" s="77">
        <v>1.086082926</v>
      </c>
      <c r="J78" s="78">
        <f t="shared" si="1"/>
        <v>-2.6045666553081363E-3</v>
      </c>
      <c r="K78" s="78">
        <f>I78/'סכום נכסי הקרן'!$C$42</f>
        <v>2.9934378012873517E-7</v>
      </c>
    </row>
    <row r="79" spans="2:11">
      <c r="B79" s="76" t="s">
        <v>2043</v>
      </c>
      <c r="C79" s="70" t="s">
        <v>2044</v>
      </c>
      <c r="D79" s="83" t="s">
        <v>646</v>
      </c>
      <c r="E79" s="83" t="s">
        <v>159</v>
      </c>
      <c r="F79" s="97">
        <v>43984</v>
      </c>
      <c r="G79" s="77">
        <v>4537000</v>
      </c>
      <c r="H79" s="79">
        <v>0.69720000000000004</v>
      </c>
      <c r="I79" s="77">
        <v>31.631499999999999</v>
      </c>
      <c r="J79" s="78">
        <f t="shared" si="1"/>
        <v>-7.5856408553263005E-2</v>
      </c>
      <c r="K79" s="78">
        <f>I79/'סכום נכסי הקרן'!$C$42</f>
        <v>8.7182042498494151E-6</v>
      </c>
    </row>
    <row r="80" spans="2:11">
      <c r="B80" s="76" t="s">
        <v>2045</v>
      </c>
      <c r="C80" s="70" t="s">
        <v>2046</v>
      </c>
      <c r="D80" s="83" t="s">
        <v>646</v>
      </c>
      <c r="E80" s="83" t="s">
        <v>159</v>
      </c>
      <c r="F80" s="97">
        <v>43963</v>
      </c>
      <c r="G80" s="77">
        <v>89735.718401999999</v>
      </c>
      <c r="H80" s="79">
        <v>0.77190000000000003</v>
      </c>
      <c r="I80" s="77">
        <v>0.69269433499999999</v>
      </c>
      <c r="J80" s="78">
        <f t="shared" si="1"/>
        <v>-1.6611701777750291E-3</v>
      </c>
      <c r="K80" s="78">
        <f>I80/'סכום נכסי הקרן'!$C$42</f>
        <v>1.9091888450574947E-7</v>
      </c>
    </row>
    <row r="81" spans="2:11">
      <c r="B81" s="76" t="s">
        <v>2047</v>
      </c>
      <c r="C81" s="70" t="s">
        <v>2048</v>
      </c>
      <c r="D81" s="83" t="s">
        <v>646</v>
      </c>
      <c r="E81" s="83" t="s">
        <v>159</v>
      </c>
      <c r="F81" s="97">
        <v>43984</v>
      </c>
      <c r="G81" s="77">
        <v>220128.90218599996</v>
      </c>
      <c r="H81" s="79">
        <v>0.78390000000000004</v>
      </c>
      <c r="I81" s="77">
        <v>1.725566629</v>
      </c>
      <c r="J81" s="78">
        <f t="shared" si="1"/>
        <v>-4.1381308883644725E-3</v>
      </c>
      <c r="K81" s="78">
        <f>I81/'סכום נכסי הקרן'!$C$42</f>
        <v>4.7559686762708466E-7</v>
      </c>
    </row>
    <row r="82" spans="2:11">
      <c r="B82" s="76" t="s">
        <v>2049</v>
      </c>
      <c r="C82" s="70" t="s">
        <v>2050</v>
      </c>
      <c r="D82" s="83" t="s">
        <v>646</v>
      </c>
      <c r="E82" s="83" t="s">
        <v>159</v>
      </c>
      <c r="F82" s="97">
        <v>43963</v>
      </c>
      <c r="G82" s="77">
        <v>100271.997525</v>
      </c>
      <c r="H82" s="79">
        <v>1.0298</v>
      </c>
      <c r="I82" s="77">
        <v>1.0326436490000002</v>
      </c>
      <c r="J82" s="78">
        <f t="shared" si="1"/>
        <v>-2.4764123904486455E-3</v>
      </c>
      <c r="K82" s="78">
        <f>I82/'סכום נכסי הקרן'!$C$42</f>
        <v>2.8461496449083379E-7</v>
      </c>
    </row>
    <row r="83" spans="2:11">
      <c r="B83" s="76" t="s">
        <v>2051</v>
      </c>
      <c r="C83" s="70" t="s">
        <v>2052</v>
      </c>
      <c r="D83" s="83" t="s">
        <v>646</v>
      </c>
      <c r="E83" s="83" t="s">
        <v>159</v>
      </c>
      <c r="F83" s="97">
        <v>43983</v>
      </c>
      <c r="G83" s="77">
        <v>160513.11057600001</v>
      </c>
      <c r="H83" s="79">
        <v>1.0348999999999999</v>
      </c>
      <c r="I83" s="77">
        <v>1.6611154039999998</v>
      </c>
      <c r="J83" s="78">
        <f t="shared" si="1"/>
        <v>-3.9835685547616306E-3</v>
      </c>
      <c r="K83" s="78">
        <f>I83/'סכום נכסי הקרן'!$C$42</f>
        <v>4.5783296317414999E-7</v>
      </c>
    </row>
    <row r="84" spans="2:11">
      <c r="B84" s="76" t="s">
        <v>2053</v>
      </c>
      <c r="C84" s="70" t="s">
        <v>2054</v>
      </c>
      <c r="D84" s="83" t="s">
        <v>646</v>
      </c>
      <c r="E84" s="83" t="s">
        <v>159</v>
      </c>
      <c r="F84" s="97">
        <v>43983</v>
      </c>
      <c r="G84" s="77">
        <v>216757.66625099999</v>
      </c>
      <c r="H84" s="79">
        <v>1.0722</v>
      </c>
      <c r="I84" s="77">
        <v>2.3241329519999998</v>
      </c>
      <c r="J84" s="78">
        <f t="shared" si="1"/>
        <v>-5.5735699773647529E-3</v>
      </c>
      <c r="K84" s="78">
        <f>I84/'סכום נכסי הקרן'!$C$42</f>
        <v>6.4057239711494754E-7</v>
      </c>
    </row>
    <row r="85" spans="2:11">
      <c r="B85" s="76" t="s">
        <v>2055</v>
      </c>
      <c r="C85" s="70" t="s">
        <v>2056</v>
      </c>
      <c r="D85" s="83" t="s">
        <v>646</v>
      </c>
      <c r="E85" s="83" t="s">
        <v>159</v>
      </c>
      <c r="F85" s="97">
        <v>43983</v>
      </c>
      <c r="G85" s="77">
        <v>4206240</v>
      </c>
      <c r="H85" s="79">
        <v>1.1273</v>
      </c>
      <c r="I85" s="77">
        <v>47.415109999999999</v>
      </c>
      <c r="J85" s="78">
        <f t="shared" si="1"/>
        <v>-0.11370753697288798</v>
      </c>
      <c r="K85" s="78">
        <f>I85/'סכום נכסי הקרן'!$C$42</f>
        <v>1.3068448018876041E-5</v>
      </c>
    </row>
    <row r="86" spans="2:11">
      <c r="B86" s="76" t="s">
        <v>2057</v>
      </c>
      <c r="C86" s="70" t="s">
        <v>2058</v>
      </c>
      <c r="D86" s="83" t="s">
        <v>646</v>
      </c>
      <c r="E86" s="83" t="s">
        <v>159</v>
      </c>
      <c r="F86" s="97">
        <v>43962</v>
      </c>
      <c r="G86" s="77">
        <v>100429.5453</v>
      </c>
      <c r="H86" s="79">
        <v>1.1409</v>
      </c>
      <c r="I86" s="77">
        <v>1.145752307</v>
      </c>
      <c r="J86" s="78">
        <f t="shared" si="1"/>
        <v>-2.7476615114880934E-3</v>
      </c>
      <c r="K86" s="78">
        <f>I86/'סכום נכסי הקרן'!$C$42</f>
        <v>3.1578972328729812E-7</v>
      </c>
    </row>
    <row r="87" spans="2:11">
      <c r="B87" s="76" t="s">
        <v>2059</v>
      </c>
      <c r="C87" s="70" t="s">
        <v>2060</v>
      </c>
      <c r="D87" s="83" t="s">
        <v>646</v>
      </c>
      <c r="E87" s="83" t="s">
        <v>159</v>
      </c>
      <c r="F87" s="97">
        <v>43956</v>
      </c>
      <c r="G87" s="77">
        <v>120570.452856</v>
      </c>
      <c r="H87" s="79">
        <v>1.2209000000000001</v>
      </c>
      <c r="I87" s="77">
        <v>1.4720909129999999</v>
      </c>
      <c r="J87" s="78">
        <f t="shared" si="1"/>
        <v>-3.5302634944303604E-3</v>
      </c>
      <c r="K87" s="78">
        <f>I87/'סכום נכסי הקרן'!$C$42</f>
        <v>4.0573444995910103E-7</v>
      </c>
    </row>
    <row r="88" spans="2:11">
      <c r="B88" s="76" t="s">
        <v>2061</v>
      </c>
      <c r="C88" s="70" t="s">
        <v>2062</v>
      </c>
      <c r="D88" s="83" t="s">
        <v>646</v>
      </c>
      <c r="E88" s="83" t="s">
        <v>159</v>
      </c>
      <c r="F88" s="97">
        <v>43964</v>
      </c>
      <c r="G88" s="77">
        <v>120640.919679</v>
      </c>
      <c r="H88" s="79">
        <v>1.2490000000000001</v>
      </c>
      <c r="I88" s="77">
        <v>1.5067527520000001</v>
      </c>
      <c r="J88" s="78">
        <f t="shared" si="1"/>
        <v>-3.6133870459657425E-3</v>
      </c>
      <c r="K88" s="78">
        <f>I88/'סכום נכסי הקרן'!$C$42</f>
        <v>4.1528786955910094E-7</v>
      </c>
    </row>
    <row r="89" spans="2:11">
      <c r="B89" s="76" t="s">
        <v>2063</v>
      </c>
      <c r="C89" s="70" t="s">
        <v>2064</v>
      </c>
      <c r="D89" s="83" t="s">
        <v>646</v>
      </c>
      <c r="E89" s="83" t="s">
        <v>159</v>
      </c>
      <c r="F89" s="97">
        <v>43970</v>
      </c>
      <c r="G89" s="77">
        <v>5279400</v>
      </c>
      <c r="H89" s="79">
        <v>1.5307999999999999</v>
      </c>
      <c r="I89" s="77">
        <v>80.815509999999989</v>
      </c>
      <c r="J89" s="78">
        <f t="shared" si="1"/>
        <v>-0.19380599541597177</v>
      </c>
      <c r="K89" s="78">
        <f>I89/'סכום נכסי הקרן'!$C$42</f>
        <v>2.2274192584472685E-5</v>
      </c>
    </row>
    <row r="90" spans="2:11">
      <c r="B90" s="76" t="s">
        <v>2065</v>
      </c>
      <c r="C90" s="70" t="s">
        <v>2066</v>
      </c>
      <c r="D90" s="83" t="s">
        <v>646</v>
      </c>
      <c r="E90" s="83" t="s">
        <v>159</v>
      </c>
      <c r="F90" s="97">
        <v>43965</v>
      </c>
      <c r="G90" s="77">
        <v>301740.65820000001</v>
      </c>
      <c r="H90" s="79">
        <v>1.6247</v>
      </c>
      <c r="I90" s="77">
        <v>4.9025159829999998</v>
      </c>
      <c r="J90" s="78">
        <f t="shared" si="1"/>
        <v>-1.1756864370812317E-2</v>
      </c>
      <c r="K90" s="78">
        <f>I90/'סכום נכסי הקרן'!$C$42</f>
        <v>1.351220640119668E-6</v>
      </c>
    </row>
    <row r="91" spans="2:11">
      <c r="B91" s="76" t="s">
        <v>2067</v>
      </c>
      <c r="C91" s="70" t="s">
        <v>2068</v>
      </c>
      <c r="D91" s="83" t="s">
        <v>646</v>
      </c>
      <c r="E91" s="83" t="s">
        <v>159</v>
      </c>
      <c r="F91" s="97">
        <v>43969</v>
      </c>
      <c r="G91" s="77">
        <v>121319.80736399999</v>
      </c>
      <c r="H91" s="79">
        <v>1.8019000000000001</v>
      </c>
      <c r="I91" s="77">
        <v>2.1860983909999998</v>
      </c>
      <c r="J91" s="78">
        <f t="shared" si="1"/>
        <v>-5.2425453325111639E-3</v>
      </c>
      <c r="K91" s="78">
        <f>I91/'סכום נכסי הקרן'!$C$42</f>
        <v>6.0252761592100175E-7</v>
      </c>
    </row>
    <row r="92" spans="2:11">
      <c r="B92" s="76" t="s">
        <v>2069</v>
      </c>
      <c r="C92" s="70" t="s">
        <v>2070</v>
      </c>
      <c r="D92" s="83" t="s">
        <v>646</v>
      </c>
      <c r="E92" s="83" t="s">
        <v>159</v>
      </c>
      <c r="F92" s="97">
        <v>43969</v>
      </c>
      <c r="G92" s="77">
        <v>1060290</v>
      </c>
      <c r="H92" s="79">
        <v>1.9380999999999999</v>
      </c>
      <c r="I92" s="77">
        <v>20.54909</v>
      </c>
      <c r="J92" s="78">
        <f t="shared" si="1"/>
        <v>-4.9279362864162977E-2</v>
      </c>
      <c r="K92" s="78">
        <f>I92/'סכום נכסי הקרן'!$C$42</f>
        <v>5.6636948538178115E-6</v>
      </c>
    </row>
    <row r="93" spans="2:11">
      <c r="B93" s="76" t="s">
        <v>2071</v>
      </c>
      <c r="C93" s="70" t="s">
        <v>2072</v>
      </c>
      <c r="D93" s="83" t="s">
        <v>646</v>
      </c>
      <c r="E93" s="83" t="s">
        <v>159</v>
      </c>
      <c r="F93" s="97">
        <v>43942</v>
      </c>
      <c r="G93" s="77">
        <v>136261.35208800001</v>
      </c>
      <c r="H93" s="79">
        <v>1.9367000000000001</v>
      </c>
      <c r="I93" s="77">
        <v>2.6389295819999998</v>
      </c>
      <c r="J93" s="78">
        <f t="shared" si="1"/>
        <v>-6.3284928161953611E-3</v>
      </c>
      <c r="K93" s="78">
        <f>I93/'סכום נכסי הקרן'!$C$42</f>
        <v>7.273359498236169E-7</v>
      </c>
    </row>
    <row r="94" spans="2:11">
      <c r="B94" s="76" t="s">
        <v>2073</v>
      </c>
      <c r="C94" s="70" t="s">
        <v>2074</v>
      </c>
      <c r="D94" s="83" t="s">
        <v>646</v>
      </c>
      <c r="E94" s="83" t="s">
        <v>159</v>
      </c>
      <c r="F94" s="97">
        <v>43920</v>
      </c>
      <c r="G94" s="77">
        <v>28373.724085999998</v>
      </c>
      <c r="H94" s="79">
        <v>2.2949999999999999</v>
      </c>
      <c r="I94" s="77">
        <v>0.65117687599999996</v>
      </c>
      <c r="J94" s="78">
        <f t="shared" si="1"/>
        <v>-1.5616059670358182E-3</v>
      </c>
      <c r="K94" s="78">
        <f>I94/'סכום נכסי הקרן'!$C$42</f>
        <v>1.7947593404507738E-7</v>
      </c>
    </row>
    <row r="95" spans="2:11">
      <c r="B95" s="76" t="s">
        <v>2075</v>
      </c>
      <c r="C95" s="70" t="s">
        <v>2076</v>
      </c>
      <c r="D95" s="83" t="s">
        <v>646</v>
      </c>
      <c r="E95" s="83" t="s">
        <v>159</v>
      </c>
      <c r="F95" s="97">
        <v>43920</v>
      </c>
      <c r="G95" s="77">
        <v>121251.42496799999</v>
      </c>
      <c r="H95" s="79">
        <v>2.3115999999999999</v>
      </c>
      <c r="I95" s="77">
        <v>2.8028008209999999</v>
      </c>
      <c r="J95" s="78">
        <f t="shared" si="1"/>
        <v>-6.7214771405465111E-3</v>
      </c>
      <c r="K95" s="78">
        <f>I95/'סכום נכסי הקרן'!$C$42</f>
        <v>7.7250177921134405E-7</v>
      </c>
    </row>
    <row r="96" spans="2:11">
      <c r="B96" s="76" t="s">
        <v>2077</v>
      </c>
      <c r="C96" s="70" t="s">
        <v>2078</v>
      </c>
      <c r="D96" s="83" t="s">
        <v>646</v>
      </c>
      <c r="E96" s="83" t="s">
        <v>159</v>
      </c>
      <c r="F96" s="97">
        <v>43941</v>
      </c>
      <c r="G96" s="77">
        <v>91426.905396000002</v>
      </c>
      <c r="H96" s="79">
        <v>2.5981000000000001</v>
      </c>
      <c r="I96" s="77">
        <v>2.3753296369999997</v>
      </c>
      <c r="J96" s="78">
        <f t="shared" si="1"/>
        <v>-5.6963462179455884E-3</v>
      </c>
      <c r="K96" s="78">
        <f>I96/'סכום נכסי הקרן'!$C$42</f>
        <v>6.5468311449304221E-7</v>
      </c>
    </row>
    <row r="97" spans="2:11">
      <c r="B97" s="76" t="s">
        <v>2079</v>
      </c>
      <c r="C97" s="70" t="s">
        <v>2080</v>
      </c>
      <c r="D97" s="83" t="s">
        <v>646</v>
      </c>
      <c r="E97" s="83" t="s">
        <v>159</v>
      </c>
      <c r="F97" s="97">
        <v>43941</v>
      </c>
      <c r="G97" s="77">
        <v>163038.45818399999</v>
      </c>
      <c r="H97" s="79">
        <v>2.6008</v>
      </c>
      <c r="I97" s="77">
        <v>4.2403071700000003</v>
      </c>
      <c r="J97" s="78">
        <f t="shared" si="1"/>
        <v>-1.0168802398838198E-2</v>
      </c>
      <c r="K97" s="78">
        <f>I97/'סכום נכסי הקרן'!$C$42</f>
        <v>1.1687041079354741E-6</v>
      </c>
    </row>
    <row r="98" spans="2:11">
      <c r="B98" s="76" t="s">
        <v>2081</v>
      </c>
      <c r="C98" s="70" t="s">
        <v>2082</v>
      </c>
      <c r="D98" s="83" t="s">
        <v>646</v>
      </c>
      <c r="E98" s="83" t="s">
        <v>159</v>
      </c>
      <c r="F98" s="97">
        <v>43941</v>
      </c>
      <c r="G98" s="77">
        <v>152592.35840999999</v>
      </c>
      <c r="H98" s="79">
        <v>2.7031999999999998</v>
      </c>
      <c r="I98" s="77">
        <v>4.1248757240000007</v>
      </c>
      <c r="J98" s="78">
        <f t="shared" si="1"/>
        <v>-9.891982933189403E-3</v>
      </c>
      <c r="K98" s="78">
        <f>I98/'סכום נכסי הקרן'!$C$42</f>
        <v>1.136889147434598E-6</v>
      </c>
    </row>
    <row r="99" spans="2:11">
      <c r="B99" s="76" t="s">
        <v>2083</v>
      </c>
      <c r="C99" s="70" t="s">
        <v>2084</v>
      </c>
      <c r="D99" s="83" t="s">
        <v>646</v>
      </c>
      <c r="E99" s="83" t="s">
        <v>159</v>
      </c>
      <c r="F99" s="97">
        <v>43915</v>
      </c>
      <c r="G99" s="77">
        <v>152990.73832500001</v>
      </c>
      <c r="H99" s="79">
        <v>2.9548999999999999</v>
      </c>
      <c r="I99" s="77">
        <v>4.5207143869999999</v>
      </c>
      <c r="J99" s="78">
        <f t="shared" si="1"/>
        <v>-1.0841254998747638E-2</v>
      </c>
      <c r="K99" s="78">
        <f>I99/'סכום נכסי הקרן'!$C$42</f>
        <v>1.2459893264972825E-6</v>
      </c>
    </row>
    <row r="100" spans="2:11">
      <c r="B100" s="76" t="s">
        <v>2085</v>
      </c>
      <c r="C100" s="70" t="s">
        <v>2086</v>
      </c>
      <c r="D100" s="83" t="s">
        <v>646</v>
      </c>
      <c r="E100" s="83" t="s">
        <v>159</v>
      </c>
      <c r="F100" s="97">
        <v>43916</v>
      </c>
      <c r="G100" s="77">
        <v>205270.42829999997</v>
      </c>
      <c r="H100" s="79">
        <v>3.3652000000000002</v>
      </c>
      <c r="I100" s="77">
        <v>6.907782407</v>
      </c>
      <c r="J100" s="78">
        <f t="shared" si="1"/>
        <v>-1.6565751370072063E-2</v>
      </c>
      <c r="K100" s="78">
        <f>I100/'סכום נכסי הקרן'!$C$42</f>
        <v>1.9039077482175179E-6</v>
      </c>
    </row>
    <row r="101" spans="2:11">
      <c r="B101" s="76" t="s">
        <v>2087</v>
      </c>
      <c r="C101" s="70" t="s">
        <v>2088</v>
      </c>
      <c r="D101" s="83" t="s">
        <v>646</v>
      </c>
      <c r="E101" s="83" t="s">
        <v>159</v>
      </c>
      <c r="F101" s="97">
        <v>43909</v>
      </c>
      <c r="G101" s="77">
        <v>5940535</v>
      </c>
      <c r="H101" s="79">
        <v>4.8987999999999996</v>
      </c>
      <c r="I101" s="77">
        <v>291.01665000000003</v>
      </c>
      <c r="J101" s="78">
        <f t="shared" si="1"/>
        <v>-0.69789538587174016</v>
      </c>
      <c r="K101" s="78">
        <f>I101/'סכום נכסי הקרן'!$C$42</f>
        <v>8.0209367080503286E-5</v>
      </c>
    </row>
    <row r="102" spans="2:11">
      <c r="B102" s="76" t="s">
        <v>2089</v>
      </c>
      <c r="C102" s="70" t="s">
        <v>2090</v>
      </c>
      <c r="D102" s="83" t="s">
        <v>646</v>
      </c>
      <c r="E102" s="83" t="s">
        <v>159</v>
      </c>
      <c r="F102" s="97">
        <v>43908</v>
      </c>
      <c r="G102" s="77">
        <v>174161.90400000001</v>
      </c>
      <c r="H102" s="79">
        <v>8.7894000000000005</v>
      </c>
      <c r="I102" s="77">
        <v>15.307717974000001</v>
      </c>
      <c r="J102" s="78">
        <f t="shared" si="1"/>
        <v>-3.6709878085259044E-2</v>
      </c>
      <c r="K102" s="78">
        <f>I102/'סכום נכסי הקרן'!$C$42</f>
        <v>4.219079458654287E-6</v>
      </c>
    </row>
    <row r="103" spans="2:11">
      <c r="B103" s="76" t="s">
        <v>2091</v>
      </c>
      <c r="C103" s="70" t="s">
        <v>2092</v>
      </c>
      <c r="D103" s="83" t="s">
        <v>646</v>
      </c>
      <c r="E103" s="83" t="s">
        <v>159</v>
      </c>
      <c r="F103" s="97">
        <v>44011</v>
      </c>
      <c r="G103" s="77">
        <v>118777.18584000001</v>
      </c>
      <c r="H103" s="79">
        <v>1.0507</v>
      </c>
      <c r="I103" s="77">
        <v>1.2480353359999998</v>
      </c>
      <c r="J103" s="78">
        <f t="shared" si="1"/>
        <v>-2.9929493807288577E-3</v>
      </c>
      <c r="K103" s="78">
        <f>I103/'סכום נכסי הקרן'!$C$42</f>
        <v>3.4398074610048341E-7</v>
      </c>
    </row>
    <row r="104" spans="2:11">
      <c r="B104" s="76" t="s">
        <v>2093</v>
      </c>
      <c r="C104" s="70" t="s">
        <v>2094</v>
      </c>
      <c r="D104" s="83" t="s">
        <v>646</v>
      </c>
      <c r="E104" s="83" t="s">
        <v>159</v>
      </c>
      <c r="F104" s="97">
        <v>43889</v>
      </c>
      <c r="G104" s="77">
        <v>148471.4823</v>
      </c>
      <c r="H104" s="79">
        <v>0.80030000000000001</v>
      </c>
      <c r="I104" s="77">
        <v>1.188213298</v>
      </c>
      <c r="J104" s="78">
        <f t="shared" si="1"/>
        <v>-2.8494884334131498E-3</v>
      </c>
      <c r="K104" s="78">
        <f>I104/'סכום נכסי הקרן'!$C$42</f>
        <v>3.2749272795634696E-7</v>
      </c>
    </row>
    <row r="105" spans="2:11">
      <c r="B105" s="76" t="s">
        <v>2095</v>
      </c>
      <c r="C105" s="70" t="s">
        <v>2096</v>
      </c>
      <c r="D105" s="83" t="s">
        <v>646</v>
      </c>
      <c r="E105" s="83" t="s">
        <v>159</v>
      </c>
      <c r="F105" s="97">
        <v>44004</v>
      </c>
      <c r="G105" s="77">
        <v>296942.96460000001</v>
      </c>
      <c r="H105" s="79">
        <v>0.7661</v>
      </c>
      <c r="I105" s="77">
        <v>2.2748426039999998</v>
      </c>
      <c r="J105" s="78">
        <f t="shared" si="1"/>
        <v>-5.4553653782903966E-3</v>
      </c>
      <c r="K105" s="78">
        <f>I105/'סכום נכסי הקרן'!$C$42</f>
        <v>6.2698710013534951E-7</v>
      </c>
    </row>
    <row r="106" spans="2:11">
      <c r="B106" s="76" t="s">
        <v>2097</v>
      </c>
      <c r="C106" s="70" t="s">
        <v>2098</v>
      </c>
      <c r="D106" s="83" t="s">
        <v>646</v>
      </c>
      <c r="E106" s="83" t="s">
        <v>159</v>
      </c>
      <c r="F106" s="97">
        <v>44004</v>
      </c>
      <c r="G106" s="77">
        <v>237554.37168000001</v>
      </c>
      <c r="H106" s="79">
        <v>0.73719999999999997</v>
      </c>
      <c r="I106" s="77">
        <v>1.751346139</v>
      </c>
      <c r="J106" s="78">
        <f t="shared" si="1"/>
        <v>-4.1999534716394655E-3</v>
      </c>
      <c r="K106" s="78">
        <f>I106/'סכום נכסי הקרן'!$C$42</f>
        <v>4.8270215930282036E-7</v>
      </c>
    </row>
    <row r="107" spans="2:11">
      <c r="B107" s="76" t="s">
        <v>2099</v>
      </c>
      <c r="C107" s="70" t="s">
        <v>2100</v>
      </c>
      <c r="D107" s="83" t="s">
        <v>646</v>
      </c>
      <c r="E107" s="83" t="s">
        <v>159</v>
      </c>
      <c r="F107" s="97">
        <v>43999</v>
      </c>
      <c r="G107" s="77">
        <v>296942.96460000001</v>
      </c>
      <c r="H107" s="79">
        <v>0.4405</v>
      </c>
      <c r="I107" s="77">
        <v>1.308046936</v>
      </c>
      <c r="J107" s="78">
        <f t="shared" si="1"/>
        <v>-3.1368649221206668E-3</v>
      </c>
      <c r="K107" s="78">
        <f>I107/'סכום נכסי הקרן'!$C$42</f>
        <v>3.605210109048798E-7</v>
      </c>
    </row>
    <row r="108" spans="2:11">
      <c r="B108" s="76" t="s">
        <v>2101</v>
      </c>
      <c r="C108" s="70" t="s">
        <v>2102</v>
      </c>
      <c r="D108" s="83" t="s">
        <v>646</v>
      </c>
      <c r="E108" s="83" t="s">
        <v>159</v>
      </c>
      <c r="F108" s="97">
        <v>43985</v>
      </c>
      <c r="G108" s="77">
        <v>296942.96460000001</v>
      </c>
      <c r="H108" s="79">
        <v>0.2238</v>
      </c>
      <c r="I108" s="77">
        <v>0.66460930499999982</v>
      </c>
      <c r="J108" s="78">
        <f t="shared" si="1"/>
        <v>-1.5938186607773949E-3</v>
      </c>
      <c r="K108" s="78">
        <f>I108/'סכום נכסי הקרן'!$C$42</f>
        <v>1.8317815049366815E-7</v>
      </c>
    </row>
    <row r="109" spans="2:11">
      <c r="B109" s="76" t="s">
        <v>2103</v>
      </c>
      <c r="C109" s="70" t="s">
        <v>2104</v>
      </c>
      <c r="D109" s="83" t="s">
        <v>646</v>
      </c>
      <c r="E109" s="83" t="s">
        <v>159</v>
      </c>
      <c r="F109" s="97">
        <v>43984</v>
      </c>
      <c r="G109" s="77">
        <v>222707.22344999999</v>
      </c>
      <c r="H109" s="79">
        <v>2.18E-2</v>
      </c>
      <c r="I109" s="77">
        <v>4.8612321999999993E-2</v>
      </c>
      <c r="J109" s="78">
        <f t="shared" si="1"/>
        <v>-1.1657860545199485E-4</v>
      </c>
      <c r="K109" s="78">
        <f>I109/'סכום נכסי הקרן'!$C$42</f>
        <v>1.3398420949226187E-8</v>
      </c>
    </row>
    <row r="110" spans="2:11">
      <c r="B110" s="76" t="s">
        <v>2105</v>
      </c>
      <c r="C110" s="70" t="s">
        <v>2106</v>
      </c>
      <c r="D110" s="83" t="s">
        <v>646</v>
      </c>
      <c r="E110" s="83" t="s">
        <v>159</v>
      </c>
      <c r="F110" s="97">
        <v>43997</v>
      </c>
      <c r="G110" s="77">
        <v>118777.18584000001</v>
      </c>
      <c r="H110" s="79">
        <v>-0.39290000000000003</v>
      </c>
      <c r="I110" s="77">
        <v>-0.46662223999999991</v>
      </c>
      <c r="J110" s="78">
        <f t="shared" si="1"/>
        <v>1.1190201943467348E-3</v>
      </c>
      <c r="K110" s="78">
        <f>I110/'סכום נכסי הקרן'!$C$42</f>
        <v>-1.2860939240447822E-7</v>
      </c>
    </row>
    <row r="111" spans="2:11">
      <c r="B111" s="76" t="s">
        <v>2107</v>
      </c>
      <c r="C111" s="70" t="s">
        <v>2108</v>
      </c>
      <c r="D111" s="83" t="s">
        <v>646</v>
      </c>
      <c r="E111" s="83" t="s">
        <v>159</v>
      </c>
      <c r="F111" s="97">
        <v>43997</v>
      </c>
      <c r="G111" s="77">
        <v>296942.96460000001</v>
      </c>
      <c r="H111" s="79">
        <v>-0.38869999999999999</v>
      </c>
      <c r="I111" s="77">
        <v>-1.154187729</v>
      </c>
      <c r="J111" s="78">
        <f t="shared" si="1"/>
        <v>2.7678907392373678E-3</v>
      </c>
      <c r="K111" s="78">
        <f>I111/'סכום נכסי הקרן'!$C$42</f>
        <v>-3.1811467569011411E-7</v>
      </c>
    </row>
    <row r="112" spans="2:11">
      <c r="B112" s="76" t="s">
        <v>2109</v>
      </c>
      <c r="C112" s="70" t="s">
        <v>2110</v>
      </c>
      <c r="D112" s="83" t="s">
        <v>646</v>
      </c>
      <c r="E112" s="83" t="s">
        <v>159</v>
      </c>
      <c r="F112" s="97">
        <v>43978</v>
      </c>
      <c r="G112" s="77">
        <v>148471.4823</v>
      </c>
      <c r="H112" s="79">
        <v>-0.62170000000000003</v>
      </c>
      <c r="I112" s="77">
        <v>-0.923048902</v>
      </c>
      <c r="J112" s="78">
        <f t="shared" si="1"/>
        <v>2.2135900802918869E-3</v>
      </c>
      <c r="K112" s="78">
        <f>I112/'סכום נכסי הקרן'!$C$42</f>
        <v>-2.5440870209238373E-7</v>
      </c>
    </row>
    <row r="113" spans="2:11">
      <c r="B113" s="76" t="s">
        <v>2111</v>
      </c>
      <c r="C113" s="70" t="s">
        <v>2112</v>
      </c>
      <c r="D113" s="83" t="s">
        <v>646</v>
      </c>
      <c r="E113" s="83" t="s">
        <v>159</v>
      </c>
      <c r="F113" s="97">
        <v>43978</v>
      </c>
      <c r="G113" s="77">
        <v>296942.96460000001</v>
      </c>
      <c r="H113" s="79">
        <v>-0.7702</v>
      </c>
      <c r="I113" s="77">
        <v>-2.2871765750000002</v>
      </c>
      <c r="J113" s="78">
        <f t="shared" si="1"/>
        <v>5.4849438283563158E-3</v>
      </c>
      <c r="K113" s="78">
        <f>I113/'סכום נכסי הקרן'!$C$42</f>
        <v>-6.3038656201321561E-7</v>
      </c>
    </row>
    <row r="114" spans="2:11">
      <c r="B114" s="76" t="s">
        <v>2113</v>
      </c>
      <c r="C114" s="70" t="s">
        <v>2114</v>
      </c>
      <c r="D114" s="83" t="s">
        <v>646</v>
      </c>
      <c r="E114" s="83" t="s">
        <v>159</v>
      </c>
      <c r="F114" s="97">
        <v>43976</v>
      </c>
      <c r="G114" s="77">
        <v>207860.07522</v>
      </c>
      <c r="H114" s="79">
        <v>-1.3576999999999999</v>
      </c>
      <c r="I114" s="77">
        <v>-2.8221850110000002</v>
      </c>
      <c r="J114" s="78">
        <f t="shared" si="1"/>
        <v>6.7679629232667137E-3</v>
      </c>
      <c r="K114" s="78">
        <f>I114/'סכום נכסי הקרן'!$C$42</f>
        <v>-7.7784440689697033E-7</v>
      </c>
    </row>
    <row r="115" spans="2:11">
      <c r="B115" s="76" t="s">
        <v>2115</v>
      </c>
      <c r="C115" s="70" t="s">
        <v>2116</v>
      </c>
      <c r="D115" s="83" t="s">
        <v>646</v>
      </c>
      <c r="E115" s="83" t="s">
        <v>159</v>
      </c>
      <c r="F115" s="97">
        <v>43934</v>
      </c>
      <c r="G115" s="77">
        <v>8665000</v>
      </c>
      <c r="H115" s="79">
        <v>-2.1116999999999999</v>
      </c>
      <c r="I115" s="77">
        <v>-182.97996000000001</v>
      </c>
      <c r="J115" s="78">
        <f t="shared" si="1"/>
        <v>0.43880949695144789</v>
      </c>
      <c r="K115" s="78">
        <f>I115/'סכום נכסי הקרן'!$C$42</f>
        <v>-5.0432532915267248E-5</v>
      </c>
    </row>
    <row r="116" spans="2:11">
      <c r="B116" s="76" t="s">
        <v>1935</v>
      </c>
      <c r="C116" s="70" t="s">
        <v>2117</v>
      </c>
      <c r="D116" s="83" t="s">
        <v>646</v>
      </c>
      <c r="E116" s="83" t="s">
        <v>159</v>
      </c>
      <c r="F116" s="97">
        <v>44012</v>
      </c>
      <c r="G116" s="77">
        <v>99283.743300000002</v>
      </c>
      <c r="H116" s="79">
        <v>5.7799999999999997E-2</v>
      </c>
      <c r="I116" s="77">
        <v>5.7336494000000002E-2</v>
      </c>
      <c r="J116" s="78">
        <f t="shared" si="1"/>
        <v>-1.3750029286868195E-4</v>
      </c>
      <c r="K116" s="78">
        <f>I116/'סכום נכסי הקרן'!$C$42</f>
        <v>1.5802957990049966E-8</v>
      </c>
    </row>
    <row r="117" spans="2:11">
      <c r="B117" s="73"/>
      <c r="C117" s="70"/>
      <c r="D117" s="70"/>
      <c r="E117" s="70"/>
      <c r="F117" s="70"/>
      <c r="G117" s="77"/>
      <c r="H117" s="79"/>
      <c r="I117" s="70"/>
      <c r="J117" s="78"/>
      <c r="K117" s="70"/>
    </row>
    <row r="118" spans="2:11">
      <c r="B118" s="89" t="s">
        <v>225</v>
      </c>
      <c r="C118" s="72"/>
      <c r="D118" s="72"/>
      <c r="E118" s="72"/>
      <c r="F118" s="72"/>
      <c r="G118" s="80"/>
      <c r="H118" s="82"/>
      <c r="I118" s="80">
        <v>-234.51032846200002</v>
      </c>
      <c r="J118" s="81">
        <f t="shared" ref="J118:J156" si="2">I118/$I$11</f>
        <v>0.5623859534253316</v>
      </c>
      <c r="K118" s="81">
        <f>I118/'סכום נכסי הקרן'!$C$42</f>
        <v>-6.4635219393041447E-5</v>
      </c>
    </row>
    <row r="119" spans="2:11">
      <c r="B119" s="76" t="s">
        <v>2118</v>
      </c>
      <c r="C119" s="70" t="s">
        <v>2119</v>
      </c>
      <c r="D119" s="83" t="s">
        <v>646</v>
      </c>
      <c r="E119" s="83" t="s">
        <v>161</v>
      </c>
      <c r="F119" s="97">
        <v>43899</v>
      </c>
      <c r="G119" s="77">
        <v>61873.181358000002</v>
      </c>
      <c r="H119" s="79">
        <v>-3.0228000000000002</v>
      </c>
      <c r="I119" s="77">
        <v>-1.8703247080000001</v>
      </c>
      <c r="J119" s="78">
        <f t="shared" si="2"/>
        <v>4.4852793948219442E-3</v>
      </c>
      <c r="K119" s="78">
        <f>I119/'סכום נכסי הקרן'!$C$42</f>
        <v>-5.1549477001988416E-7</v>
      </c>
    </row>
    <row r="120" spans="2:11">
      <c r="B120" s="76" t="s">
        <v>2120</v>
      </c>
      <c r="C120" s="70" t="s">
        <v>2121</v>
      </c>
      <c r="D120" s="83" t="s">
        <v>646</v>
      </c>
      <c r="E120" s="83" t="s">
        <v>162</v>
      </c>
      <c r="F120" s="97">
        <v>43943</v>
      </c>
      <c r="G120" s="77">
        <v>149429.39323099999</v>
      </c>
      <c r="H120" s="79">
        <v>-0.83030000000000004</v>
      </c>
      <c r="I120" s="77">
        <v>-1.2407432359999999</v>
      </c>
      <c r="J120" s="78">
        <f t="shared" si="2"/>
        <v>2.97546198630206E-3</v>
      </c>
      <c r="K120" s="78">
        <f>I120/'סכום נכסי הקרן'!$C$42</f>
        <v>-3.4197091358510073E-7</v>
      </c>
    </row>
    <row r="121" spans="2:11">
      <c r="B121" s="76" t="s">
        <v>2122</v>
      </c>
      <c r="C121" s="70" t="s">
        <v>2123</v>
      </c>
      <c r="D121" s="83" t="s">
        <v>646</v>
      </c>
      <c r="E121" s="83" t="s">
        <v>162</v>
      </c>
      <c r="F121" s="97">
        <v>43983</v>
      </c>
      <c r="G121" s="77">
        <v>72892.386941999997</v>
      </c>
      <c r="H121" s="79">
        <v>-1.4549000000000001</v>
      </c>
      <c r="I121" s="77">
        <v>-1.0604958330000001</v>
      </c>
      <c r="J121" s="78">
        <f t="shared" si="2"/>
        <v>2.5432055127667351E-3</v>
      </c>
      <c r="K121" s="78">
        <f>I121/'סכום נכסי הקרן'!$C$42</f>
        <v>-2.9229152200206109E-7</v>
      </c>
    </row>
    <row r="122" spans="2:11">
      <c r="B122" s="76" t="s">
        <v>2124</v>
      </c>
      <c r="C122" s="70" t="s">
        <v>2125</v>
      </c>
      <c r="D122" s="83" t="s">
        <v>646</v>
      </c>
      <c r="E122" s="83" t="s">
        <v>162</v>
      </c>
      <c r="F122" s="97">
        <v>43985</v>
      </c>
      <c r="G122" s="77">
        <v>467951</v>
      </c>
      <c r="H122" s="79">
        <v>-2.3834</v>
      </c>
      <c r="I122" s="77">
        <v>-11.153129999999999</v>
      </c>
      <c r="J122" s="78">
        <f t="shared" si="2"/>
        <v>2.6746641352058998E-2</v>
      </c>
      <c r="K122" s="78">
        <f>I122/'סכום נכסי הקרן'!$C$42</f>
        <v>-3.0740010864209094E-6</v>
      </c>
    </row>
    <row r="123" spans="2:11">
      <c r="B123" s="76" t="s">
        <v>2126</v>
      </c>
      <c r="C123" s="70" t="s">
        <v>2127</v>
      </c>
      <c r="D123" s="83" t="s">
        <v>646</v>
      </c>
      <c r="E123" s="83" t="s">
        <v>159</v>
      </c>
      <c r="F123" s="97">
        <v>43976</v>
      </c>
      <c r="G123" s="77">
        <v>1103708.78</v>
      </c>
      <c r="H123" s="79">
        <v>-2.0642999999999998</v>
      </c>
      <c r="I123" s="77">
        <v>-22.783580000000001</v>
      </c>
      <c r="J123" s="78">
        <f t="shared" si="2"/>
        <v>5.463795750394234E-2</v>
      </c>
      <c r="K123" s="78">
        <f>I123/'סכום נכסי הקרן'!$C$42</f>
        <v>-6.2795600582578798E-6</v>
      </c>
    </row>
    <row r="124" spans="2:11">
      <c r="B124" s="76" t="s">
        <v>2128</v>
      </c>
      <c r="C124" s="70" t="s">
        <v>2129</v>
      </c>
      <c r="D124" s="83" t="s">
        <v>646</v>
      </c>
      <c r="E124" s="83" t="s">
        <v>161</v>
      </c>
      <c r="F124" s="97">
        <v>43958</v>
      </c>
      <c r="G124" s="77">
        <v>96504.384893999988</v>
      </c>
      <c r="H124" s="79">
        <v>-3.5047999999999999</v>
      </c>
      <c r="I124" s="77">
        <v>-3.3822818040000002</v>
      </c>
      <c r="J124" s="78">
        <f t="shared" si="2"/>
        <v>8.1111471275940577E-3</v>
      </c>
      <c r="K124" s="78">
        <f>I124/'סכום נכסי הקרן'!$C$42</f>
        <v>-9.3221704939130758E-7</v>
      </c>
    </row>
    <row r="125" spans="2:11">
      <c r="B125" s="76" t="s">
        <v>2130</v>
      </c>
      <c r="C125" s="70" t="s">
        <v>2131</v>
      </c>
      <c r="D125" s="83" t="s">
        <v>646</v>
      </c>
      <c r="E125" s="83" t="s">
        <v>161</v>
      </c>
      <c r="F125" s="97">
        <v>43962</v>
      </c>
      <c r="G125" s="77">
        <v>193026.586366</v>
      </c>
      <c r="H125" s="79">
        <v>-3.4380000000000002</v>
      </c>
      <c r="I125" s="77">
        <v>-6.6362069699999999</v>
      </c>
      <c r="J125" s="78">
        <f t="shared" si="2"/>
        <v>1.5914478515414433E-2</v>
      </c>
      <c r="K125" s="78">
        <f>I125/'סכום נכסי הקרן'!$C$42</f>
        <v>-1.8290567253761064E-6</v>
      </c>
    </row>
    <row r="126" spans="2:11">
      <c r="B126" s="76" t="s">
        <v>2132</v>
      </c>
      <c r="C126" s="70" t="s">
        <v>2133</v>
      </c>
      <c r="D126" s="83" t="s">
        <v>646</v>
      </c>
      <c r="E126" s="83" t="s">
        <v>161</v>
      </c>
      <c r="F126" s="97">
        <v>43927</v>
      </c>
      <c r="G126" s="77">
        <v>1035030.37</v>
      </c>
      <c r="H126" s="79">
        <v>-3.2711000000000001</v>
      </c>
      <c r="I126" s="77">
        <v>-33.856850000000001</v>
      </c>
      <c r="J126" s="78">
        <f t="shared" si="2"/>
        <v>8.1193084296557E-2</v>
      </c>
      <c r="K126" s="78">
        <f>I126/'סכום נכסי הקרן'!$C$42</f>
        <v>-9.3315503076526296E-6</v>
      </c>
    </row>
    <row r="127" spans="2:11">
      <c r="B127" s="76" t="s">
        <v>2134</v>
      </c>
      <c r="C127" s="70" t="s">
        <v>2135</v>
      </c>
      <c r="D127" s="83" t="s">
        <v>646</v>
      </c>
      <c r="E127" s="83" t="s">
        <v>161</v>
      </c>
      <c r="F127" s="97">
        <v>43948</v>
      </c>
      <c r="G127" s="77">
        <v>180818.31087400002</v>
      </c>
      <c r="H127" s="79">
        <v>-3.16</v>
      </c>
      <c r="I127" s="77">
        <v>-5.7139179200000001</v>
      </c>
      <c r="J127" s="78">
        <f t="shared" si="2"/>
        <v>1.370271065802541E-2</v>
      </c>
      <c r="K127" s="78">
        <f>I127/'סכום נכסי הקרן'!$C$42</f>
        <v>-1.5748574520157035E-6</v>
      </c>
    </row>
    <row r="128" spans="2:11">
      <c r="B128" s="76" t="s">
        <v>2136</v>
      </c>
      <c r="C128" s="70" t="s">
        <v>2137</v>
      </c>
      <c r="D128" s="83" t="s">
        <v>646</v>
      </c>
      <c r="E128" s="83" t="s">
        <v>161</v>
      </c>
      <c r="F128" s="97">
        <v>43942</v>
      </c>
      <c r="G128" s="77">
        <v>96878.533030000006</v>
      </c>
      <c r="H128" s="79">
        <v>-3.1707000000000001</v>
      </c>
      <c r="I128" s="77">
        <v>-3.0717422009999997</v>
      </c>
      <c r="J128" s="78">
        <f t="shared" si="2"/>
        <v>7.366433187466776E-3</v>
      </c>
      <c r="K128" s="78">
        <f>I128/'סכום נכסי הקרן'!$C$42</f>
        <v>-8.4662680907323375E-7</v>
      </c>
    </row>
    <row r="129" spans="2:11">
      <c r="B129" s="76" t="s">
        <v>2138</v>
      </c>
      <c r="C129" s="70" t="s">
        <v>2139</v>
      </c>
      <c r="D129" s="83" t="s">
        <v>646</v>
      </c>
      <c r="E129" s="83" t="s">
        <v>161</v>
      </c>
      <c r="F129" s="97">
        <v>43915</v>
      </c>
      <c r="G129" s="77">
        <v>1433068.51</v>
      </c>
      <c r="H129" s="79">
        <v>-2.7006999999999999</v>
      </c>
      <c r="I129" s="77">
        <v>-38.702469999999998</v>
      </c>
      <c r="J129" s="78">
        <f t="shared" si="2"/>
        <v>9.2813504776580458E-2</v>
      </c>
      <c r="K129" s="78">
        <f>I129/'סכום נכסי הקרן'!$C$42</f>
        <v>-1.0667089402452285E-5</v>
      </c>
    </row>
    <row r="130" spans="2:11">
      <c r="B130" s="76" t="s">
        <v>2140</v>
      </c>
      <c r="C130" s="70" t="s">
        <v>2141</v>
      </c>
      <c r="D130" s="83" t="s">
        <v>646</v>
      </c>
      <c r="E130" s="83" t="s">
        <v>161</v>
      </c>
      <c r="F130" s="97">
        <v>43941</v>
      </c>
      <c r="G130" s="77">
        <v>1419391.99</v>
      </c>
      <c r="H130" s="79">
        <v>-2.5981999999999998</v>
      </c>
      <c r="I130" s="77">
        <v>-36.878019999999999</v>
      </c>
      <c r="J130" s="78">
        <f t="shared" si="2"/>
        <v>8.8438238836457461E-2</v>
      </c>
      <c r="K130" s="78">
        <f>I130/'סכום נכסי הקרן'!$C$42</f>
        <v>-1.0164238518250216E-5</v>
      </c>
    </row>
    <row r="131" spans="2:11">
      <c r="B131" s="76" t="s">
        <v>2142</v>
      </c>
      <c r="C131" s="70" t="s">
        <v>2143</v>
      </c>
      <c r="D131" s="83" t="s">
        <v>646</v>
      </c>
      <c r="E131" s="83" t="s">
        <v>161</v>
      </c>
      <c r="F131" s="97">
        <v>43915</v>
      </c>
      <c r="G131" s="77">
        <v>723274.66</v>
      </c>
      <c r="H131" s="79">
        <v>-2.6301999999999999</v>
      </c>
      <c r="I131" s="77">
        <v>-19.02383</v>
      </c>
      <c r="J131" s="78">
        <f t="shared" si="2"/>
        <v>4.5621593055271532E-2</v>
      </c>
      <c r="K131" s="78">
        <f>I131/'סכום נכסי הקרן'!$C$42</f>
        <v>-5.2433060573925605E-6</v>
      </c>
    </row>
    <row r="132" spans="2:11">
      <c r="B132" s="76" t="s">
        <v>2144</v>
      </c>
      <c r="C132" s="70" t="s">
        <v>2145</v>
      </c>
      <c r="D132" s="83" t="s">
        <v>646</v>
      </c>
      <c r="E132" s="83" t="s">
        <v>161</v>
      </c>
      <c r="F132" s="97">
        <v>43955</v>
      </c>
      <c r="G132" s="77">
        <v>65148.692546999991</v>
      </c>
      <c r="H132" s="79">
        <v>-2.2568000000000001</v>
      </c>
      <c r="I132" s="77">
        <v>-1.470279377</v>
      </c>
      <c r="J132" s="78">
        <f t="shared" si="2"/>
        <v>3.525919197924506E-3</v>
      </c>
      <c r="K132" s="78">
        <f>I132/'סכום נכסי הקרן'!$C$42</f>
        <v>-4.0523515840309028E-7</v>
      </c>
    </row>
    <row r="133" spans="2:11">
      <c r="B133" s="76" t="s">
        <v>2146</v>
      </c>
      <c r="C133" s="70" t="s">
        <v>2147</v>
      </c>
      <c r="D133" s="83" t="s">
        <v>646</v>
      </c>
      <c r="E133" s="83" t="s">
        <v>161</v>
      </c>
      <c r="F133" s="97">
        <v>43874</v>
      </c>
      <c r="G133" s="77">
        <v>114144.05</v>
      </c>
      <c r="H133" s="79">
        <v>-2.1244000000000001</v>
      </c>
      <c r="I133" s="77">
        <v>-2.4249299999999998</v>
      </c>
      <c r="J133" s="78">
        <f t="shared" si="2"/>
        <v>5.8152942728945528E-3</v>
      </c>
      <c r="K133" s="78">
        <f>I133/'סכום נכסי הקרן'!$C$42</f>
        <v>-6.6835385712303687E-7</v>
      </c>
    </row>
    <row r="134" spans="2:11">
      <c r="B134" s="76" t="s">
        <v>2148</v>
      </c>
      <c r="C134" s="70" t="s">
        <v>2149</v>
      </c>
      <c r="D134" s="83" t="s">
        <v>646</v>
      </c>
      <c r="E134" s="83" t="s">
        <v>161</v>
      </c>
      <c r="F134" s="97">
        <v>43955</v>
      </c>
      <c r="G134" s="77">
        <v>97830.829117000016</v>
      </c>
      <c r="H134" s="79">
        <v>-2.0242</v>
      </c>
      <c r="I134" s="77">
        <v>-1.980314541</v>
      </c>
      <c r="J134" s="78">
        <f t="shared" si="2"/>
        <v>4.7490491720615056E-3</v>
      </c>
      <c r="K134" s="78">
        <f>I134/'סכום נכסי הקרן'!$C$42</f>
        <v>-5.4580992515008114E-7</v>
      </c>
    </row>
    <row r="135" spans="2:11">
      <c r="B135" s="76" t="s">
        <v>2150</v>
      </c>
      <c r="C135" s="70" t="s">
        <v>2151</v>
      </c>
      <c r="D135" s="83" t="s">
        <v>646</v>
      </c>
      <c r="E135" s="83" t="s">
        <v>161</v>
      </c>
      <c r="F135" s="97">
        <v>43971</v>
      </c>
      <c r="G135" s="77">
        <v>171333.05</v>
      </c>
      <c r="H135" s="79">
        <v>-2.0547</v>
      </c>
      <c r="I135" s="77">
        <v>-3.5204400000000002</v>
      </c>
      <c r="J135" s="78">
        <f t="shared" si="2"/>
        <v>8.4424682650917366E-3</v>
      </c>
      <c r="K135" s="78">
        <f>I135/'סכום נכסי הקרן'!$C$42</f>
        <v>-9.702959065912106E-7</v>
      </c>
    </row>
    <row r="136" spans="2:11">
      <c r="B136" s="76" t="s">
        <v>2152</v>
      </c>
      <c r="C136" s="70" t="s">
        <v>2153</v>
      </c>
      <c r="D136" s="83" t="s">
        <v>646</v>
      </c>
      <c r="E136" s="83" t="s">
        <v>161</v>
      </c>
      <c r="F136" s="97">
        <v>43978</v>
      </c>
      <c r="G136" s="77">
        <v>2209297.7200000002</v>
      </c>
      <c r="H136" s="79">
        <v>-1.9468000000000001</v>
      </c>
      <c r="I136" s="77">
        <v>-43.010239999999996</v>
      </c>
      <c r="J136" s="78">
        <f t="shared" si="2"/>
        <v>0.1031440917254602</v>
      </c>
      <c r="K136" s="78">
        <f>I136/'סכום נכסי הקרן'!$C$42</f>
        <v>-1.1854387466767091E-5</v>
      </c>
    </row>
    <row r="137" spans="2:11">
      <c r="B137" s="76" t="s">
        <v>2154</v>
      </c>
      <c r="C137" s="70" t="s">
        <v>2155</v>
      </c>
      <c r="D137" s="83" t="s">
        <v>646</v>
      </c>
      <c r="E137" s="83" t="s">
        <v>161</v>
      </c>
      <c r="F137" s="97">
        <v>43977</v>
      </c>
      <c r="G137" s="77">
        <v>81752.109941000002</v>
      </c>
      <c r="H137" s="79">
        <v>-1.8202</v>
      </c>
      <c r="I137" s="77">
        <v>-1.4880537690000002</v>
      </c>
      <c r="J137" s="78">
        <f t="shared" si="2"/>
        <v>3.5685444778302284E-3</v>
      </c>
      <c r="K137" s="78">
        <f>I137/'סכום נכסי הקרן'!$C$42</f>
        <v>-4.1013409711522503E-7</v>
      </c>
    </row>
    <row r="138" spans="2:11">
      <c r="B138" s="76" t="s">
        <v>2156</v>
      </c>
      <c r="C138" s="70" t="s">
        <v>2157</v>
      </c>
      <c r="D138" s="83" t="s">
        <v>646</v>
      </c>
      <c r="E138" s="83" t="s">
        <v>161</v>
      </c>
      <c r="F138" s="97">
        <v>43986</v>
      </c>
      <c r="G138" s="77">
        <v>50064.583832000004</v>
      </c>
      <c r="H138" s="79">
        <v>0.25030000000000002</v>
      </c>
      <c r="I138" s="77">
        <v>0.12529238500000001</v>
      </c>
      <c r="J138" s="78">
        <f t="shared" si="2"/>
        <v>-3.004672666542125E-4</v>
      </c>
      <c r="K138" s="78">
        <f>I138/'סכום נכסי הקרן'!$C$42</f>
        <v>3.4532810754493752E-8</v>
      </c>
    </row>
    <row r="139" spans="2:11">
      <c r="B139" s="76" t="s">
        <v>2158</v>
      </c>
      <c r="C139" s="70" t="s">
        <v>2159</v>
      </c>
      <c r="D139" s="83" t="s">
        <v>646</v>
      </c>
      <c r="E139" s="83" t="s">
        <v>161</v>
      </c>
      <c r="F139" s="97">
        <v>44004</v>
      </c>
      <c r="G139" s="77">
        <v>167066.050743</v>
      </c>
      <c r="H139" s="79">
        <v>0.41949999999999998</v>
      </c>
      <c r="I139" s="77">
        <v>0.70086495199999999</v>
      </c>
      <c r="J139" s="78">
        <f t="shared" si="2"/>
        <v>-1.6807643690490513E-3</v>
      </c>
      <c r="K139" s="78">
        <f>I139/'סכום נכסי הקרן'!$C$42</f>
        <v>1.9317085193863415E-7</v>
      </c>
    </row>
    <row r="140" spans="2:11">
      <c r="B140" s="76" t="s">
        <v>2160</v>
      </c>
      <c r="C140" s="70" t="s">
        <v>2161</v>
      </c>
      <c r="D140" s="83" t="s">
        <v>646</v>
      </c>
      <c r="E140" s="83" t="s">
        <v>161</v>
      </c>
      <c r="F140" s="97">
        <v>43894</v>
      </c>
      <c r="G140" s="77">
        <v>183815.11866199999</v>
      </c>
      <c r="H140" s="79">
        <v>0.3095</v>
      </c>
      <c r="I140" s="77">
        <v>0.56889025400000004</v>
      </c>
      <c r="J140" s="78">
        <f t="shared" si="2"/>
        <v>-1.3642720556847942E-3</v>
      </c>
      <c r="K140" s="78">
        <f>I140/'סכום נכסי הקרן'!$C$42</f>
        <v>1.5679627681648716E-7</v>
      </c>
    </row>
    <row r="141" spans="2:11">
      <c r="B141" s="76" t="s">
        <v>2162</v>
      </c>
      <c r="C141" s="70" t="s">
        <v>2163</v>
      </c>
      <c r="D141" s="83" t="s">
        <v>646</v>
      </c>
      <c r="E141" s="83" t="s">
        <v>161</v>
      </c>
      <c r="F141" s="97">
        <v>43894</v>
      </c>
      <c r="G141" s="77">
        <v>62168.454177</v>
      </c>
      <c r="H141" s="79">
        <v>0.31830000000000003</v>
      </c>
      <c r="I141" s="77">
        <v>0.19790786800000001</v>
      </c>
      <c r="J141" s="78">
        <f t="shared" si="2"/>
        <v>-4.746085418305565E-4</v>
      </c>
      <c r="K141" s="78">
        <f>I141/'סכום נכסי הקרן'!$C$42</f>
        <v>5.4546929986761209E-8</v>
      </c>
    </row>
    <row r="142" spans="2:11">
      <c r="B142" s="76" t="s">
        <v>2164</v>
      </c>
      <c r="C142" s="70" t="s">
        <v>2165</v>
      </c>
      <c r="D142" s="83" t="s">
        <v>646</v>
      </c>
      <c r="E142" s="83" t="s">
        <v>161</v>
      </c>
      <c r="F142" s="97">
        <v>44004</v>
      </c>
      <c r="G142" s="77">
        <v>100274.372773</v>
      </c>
      <c r="H142" s="79">
        <v>0.45400000000000001</v>
      </c>
      <c r="I142" s="77">
        <v>0.455210275</v>
      </c>
      <c r="J142" s="78">
        <f t="shared" si="2"/>
        <v>-1.0916528333478719E-3</v>
      </c>
      <c r="K142" s="78">
        <f>I142/'סכום נכסי הקרן'!$C$42</f>
        <v>1.2546405178635602E-7</v>
      </c>
    </row>
    <row r="143" spans="2:11">
      <c r="B143" s="76" t="s">
        <v>2166</v>
      </c>
      <c r="C143" s="70" t="s">
        <v>2167</v>
      </c>
      <c r="D143" s="83" t="s">
        <v>646</v>
      </c>
      <c r="E143" s="83" t="s">
        <v>161</v>
      </c>
      <c r="F143" s="97">
        <v>43894</v>
      </c>
      <c r="G143" s="77">
        <v>111989.96049799999</v>
      </c>
      <c r="H143" s="79">
        <v>0.33600000000000002</v>
      </c>
      <c r="I143" s="77">
        <v>0.37632914099999998</v>
      </c>
      <c r="J143" s="78">
        <f t="shared" si="2"/>
        <v>-9.0248572056951201E-4</v>
      </c>
      <c r="K143" s="78">
        <f>I143/'סכום נכסי הקרן'!$C$42</f>
        <v>1.0372300764770495E-7</v>
      </c>
    </row>
    <row r="144" spans="2:11">
      <c r="B144" s="76" t="s">
        <v>2168</v>
      </c>
      <c r="C144" s="70" t="s">
        <v>2169</v>
      </c>
      <c r="D144" s="83" t="s">
        <v>646</v>
      </c>
      <c r="E144" s="83" t="s">
        <v>161</v>
      </c>
      <c r="F144" s="97">
        <v>43895</v>
      </c>
      <c r="G144" s="77">
        <v>133842.88409199999</v>
      </c>
      <c r="H144" s="79">
        <v>0.4899</v>
      </c>
      <c r="I144" s="77">
        <v>0.65571273599999991</v>
      </c>
      <c r="J144" s="78">
        <f t="shared" si="2"/>
        <v>-1.5724835431640573E-3</v>
      </c>
      <c r="K144" s="78">
        <f>I144/'סכום נכסי הקרן'!$C$42</f>
        <v>1.8072609777201797E-7</v>
      </c>
    </row>
    <row r="145" spans="2:11">
      <c r="B145" s="76" t="s">
        <v>2170</v>
      </c>
      <c r="C145" s="70" t="s">
        <v>2171</v>
      </c>
      <c r="D145" s="83" t="s">
        <v>646</v>
      </c>
      <c r="E145" s="83" t="s">
        <v>161</v>
      </c>
      <c r="F145" s="97">
        <v>44007</v>
      </c>
      <c r="G145" s="77">
        <v>2181815.67</v>
      </c>
      <c r="H145" s="79">
        <v>0.55179999999999996</v>
      </c>
      <c r="I145" s="77">
        <v>12.03852</v>
      </c>
      <c r="J145" s="78">
        <f t="shared" si="2"/>
        <v>-2.8869920537964618E-2</v>
      </c>
      <c r="K145" s="78">
        <f>I145/'סכום נכסי הקרן'!$C$42</f>
        <v>3.3180303250208548E-6</v>
      </c>
    </row>
    <row r="146" spans="2:11">
      <c r="B146" s="76" t="s">
        <v>2172</v>
      </c>
      <c r="C146" s="70" t="s">
        <v>2173</v>
      </c>
      <c r="D146" s="83" t="s">
        <v>646</v>
      </c>
      <c r="E146" s="83" t="s">
        <v>161</v>
      </c>
      <c r="F146" s="97">
        <v>43895</v>
      </c>
      <c r="G146" s="77">
        <v>134087.565095</v>
      </c>
      <c r="H146" s="79">
        <v>0.68279999999999996</v>
      </c>
      <c r="I146" s="77">
        <v>0.91555130599999979</v>
      </c>
      <c r="J146" s="78">
        <f t="shared" si="2"/>
        <v>-2.1956098800059911E-3</v>
      </c>
      <c r="K146" s="78">
        <f>I146/'סכום נכסי הקרן'!$C$42</f>
        <v>2.5234223122281206E-7</v>
      </c>
    </row>
    <row r="147" spans="2:11">
      <c r="B147" s="76" t="s">
        <v>2174</v>
      </c>
      <c r="C147" s="70" t="s">
        <v>2175</v>
      </c>
      <c r="D147" s="83" t="s">
        <v>646</v>
      </c>
      <c r="E147" s="83" t="s">
        <v>161</v>
      </c>
      <c r="F147" s="97">
        <v>43895</v>
      </c>
      <c r="G147" s="77">
        <v>252408.67623500002</v>
      </c>
      <c r="H147" s="79">
        <v>0.69159999999999999</v>
      </c>
      <c r="I147" s="77">
        <v>1.7456313919999999</v>
      </c>
      <c r="J147" s="78">
        <f t="shared" si="2"/>
        <v>-4.1862487727408818E-3</v>
      </c>
      <c r="K147" s="78">
        <f>I147/'סכום נכסי הקרן'!$C$42</f>
        <v>4.8112707334160404E-7</v>
      </c>
    </row>
    <row r="148" spans="2:11">
      <c r="B148" s="76" t="s">
        <v>2176</v>
      </c>
      <c r="C148" s="70" t="s">
        <v>2177</v>
      </c>
      <c r="D148" s="83" t="s">
        <v>646</v>
      </c>
      <c r="E148" s="83" t="s">
        <v>161</v>
      </c>
      <c r="F148" s="97">
        <v>43846</v>
      </c>
      <c r="G148" s="77">
        <v>274024.73</v>
      </c>
      <c r="H148" s="79">
        <v>0.74039999999999995</v>
      </c>
      <c r="I148" s="77">
        <v>2.0287700000000002</v>
      </c>
      <c r="J148" s="78">
        <f t="shared" si="2"/>
        <v>-4.8652515998483603E-3</v>
      </c>
      <c r="K148" s="78">
        <f>I148/'סכום נכסי הקרן'!$C$42</f>
        <v>5.5916511186529249E-7</v>
      </c>
    </row>
    <row r="149" spans="2:11">
      <c r="B149" s="76" t="s">
        <v>2178</v>
      </c>
      <c r="C149" s="70" t="s">
        <v>2179</v>
      </c>
      <c r="D149" s="83" t="s">
        <v>646</v>
      </c>
      <c r="E149" s="83" t="s">
        <v>161</v>
      </c>
      <c r="F149" s="97">
        <v>43990</v>
      </c>
      <c r="G149" s="77">
        <v>121071.12963</v>
      </c>
      <c r="H149" s="79">
        <v>1.048</v>
      </c>
      <c r="I149" s="77">
        <v>1.2687804089999999</v>
      </c>
      <c r="J149" s="78">
        <f t="shared" si="2"/>
        <v>-3.0426987360536216E-3</v>
      </c>
      <c r="K149" s="78">
        <f>I149/'סכום נכסי הקרן'!$C$42</f>
        <v>3.4969845735641614E-7</v>
      </c>
    </row>
    <row r="150" spans="2:11">
      <c r="B150" s="76" t="s">
        <v>2180</v>
      </c>
      <c r="C150" s="70" t="s">
        <v>2181</v>
      </c>
      <c r="D150" s="83" t="s">
        <v>646</v>
      </c>
      <c r="E150" s="83" t="s">
        <v>161</v>
      </c>
      <c r="F150" s="97">
        <v>44005</v>
      </c>
      <c r="G150" s="77">
        <v>50579.482931999999</v>
      </c>
      <c r="H150" s="79">
        <v>1.331</v>
      </c>
      <c r="I150" s="77">
        <v>0.67319669599999998</v>
      </c>
      <c r="J150" s="78">
        <f t="shared" si="2"/>
        <v>-1.614412329749863E-3</v>
      </c>
      <c r="K150" s="78">
        <f>I150/'סכום נכסי הקרן'!$C$42</f>
        <v>1.8554498825701544E-7</v>
      </c>
    </row>
    <row r="151" spans="2:11">
      <c r="B151" s="76" t="s">
        <v>2182</v>
      </c>
      <c r="C151" s="70" t="s">
        <v>2183</v>
      </c>
      <c r="D151" s="83" t="s">
        <v>646</v>
      </c>
      <c r="E151" s="83" t="s">
        <v>162</v>
      </c>
      <c r="F151" s="97">
        <v>43908</v>
      </c>
      <c r="G151" s="77">
        <v>143575.783643</v>
      </c>
      <c r="H151" s="79">
        <v>-4.0777000000000001</v>
      </c>
      <c r="I151" s="77">
        <v>-5.8545299320000002</v>
      </c>
      <c r="J151" s="78">
        <f t="shared" si="2"/>
        <v>1.403991636214214E-2</v>
      </c>
      <c r="K151" s="78">
        <f>I151/'סכום נכסי הקרן'!$C$42</f>
        <v>-1.613612624568326E-6</v>
      </c>
    </row>
    <row r="152" spans="2:11">
      <c r="B152" s="76" t="s">
        <v>2184</v>
      </c>
      <c r="C152" s="70" t="s">
        <v>2185</v>
      </c>
      <c r="D152" s="83" t="s">
        <v>646</v>
      </c>
      <c r="E152" s="83" t="s">
        <v>162</v>
      </c>
      <c r="F152" s="97">
        <v>43969</v>
      </c>
      <c r="G152" s="77">
        <v>71961.158041000002</v>
      </c>
      <c r="H152" s="79">
        <v>-1.3412999999999999</v>
      </c>
      <c r="I152" s="77">
        <v>-0.9651966230000002</v>
      </c>
      <c r="J152" s="78">
        <f t="shared" si="2"/>
        <v>2.3146657404333588E-3</v>
      </c>
      <c r="K152" s="78">
        <f>I152/'סכום נכסי הקרן'!$C$42</f>
        <v>-2.6602536397511674E-7</v>
      </c>
    </row>
    <row r="153" spans="2:11">
      <c r="B153" s="76" t="s">
        <v>2186</v>
      </c>
      <c r="C153" s="70" t="s">
        <v>2187</v>
      </c>
      <c r="D153" s="83" t="s">
        <v>646</v>
      </c>
      <c r="E153" s="83" t="s">
        <v>162</v>
      </c>
      <c r="F153" s="97">
        <v>43965</v>
      </c>
      <c r="G153" s="77">
        <v>1947096.21</v>
      </c>
      <c r="H153" s="79">
        <v>-0.55059999999999998</v>
      </c>
      <c r="I153" s="77">
        <v>-10.71991</v>
      </c>
      <c r="J153" s="78">
        <f t="shared" si="2"/>
        <v>2.570772402871219E-2</v>
      </c>
      <c r="K153" s="78">
        <f>I153/'סכום נכסי הקרן'!$C$42</f>
        <v>-2.954597945718769E-6</v>
      </c>
    </row>
    <row r="154" spans="2:11">
      <c r="B154" s="76" t="s">
        <v>2188</v>
      </c>
      <c r="C154" s="70" t="s">
        <v>2189</v>
      </c>
      <c r="D154" s="83" t="s">
        <v>646</v>
      </c>
      <c r="E154" s="83" t="s">
        <v>162</v>
      </c>
      <c r="F154" s="97">
        <v>43965</v>
      </c>
      <c r="G154" s="77">
        <v>3493390.07</v>
      </c>
      <c r="H154" s="79">
        <v>-0.51270000000000004</v>
      </c>
      <c r="I154" s="77">
        <v>-17.91215</v>
      </c>
      <c r="J154" s="78">
        <f t="shared" si="2"/>
        <v>4.2955641321699253E-2</v>
      </c>
      <c r="K154" s="78">
        <f>I154/'סכום נכסי הקרן'!$C$42</f>
        <v>-4.9369072681959499E-6</v>
      </c>
    </row>
    <row r="155" spans="2:11">
      <c r="B155" s="76" t="s">
        <v>2190</v>
      </c>
      <c r="C155" s="70" t="s">
        <v>2191</v>
      </c>
      <c r="D155" s="83" t="s">
        <v>646</v>
      </c>
      <c r="E155" s="83" t="s">
        <v>162</v>
      </c>
      <c r="F155" s="97">
        <v>43928</v>
      </c>
      <c r="G155" s="77">
        <v>3406237.56</v>
      </c>
      <c r="H155" s="79">
        <v>0.5413</v>
      </c>
      <c r="I155" s="77">
        <v>18.439360000000001</v>
      </c>
      <c r="J155" s="78">
        <f t="shared" si="2"/>
        <v>-4.4219958763280144E-2</v>
      </c>
      <c r="K155" s="78">
        <f>I155/'סכום נכסי הקרן'!$C$42</f>
        <v>5.0822157253529963E-6</v>
      </c>
    </row>
    <row r="156" spans="2:11">
      <c r="B156" s="76" t="s">
        <v>2192</v>
      </c>
      <c r="C156" s="70" t="s">
        <v>2193</v>
      </c>
      <c r="D156" s="83" t="s">
        <v>646</v>
      </c>
      <c r="E156" s="83" t="s">
        <v>159</v>
      </c>
      <c r="F156" s="97">
        <v>43972</v>
      </c>
      <c r="G156" s="77">
        <v>57905.656636</v>
      </c>
      <c r="H156" s="79">
        <v>3.3300000000000003E-2</v>
      </c>
      <c r="I156" s="77">
        <v>1.9291038E-2</v>
      </c>
      <c r="J156" s="78">
        <f t="shared" si="2"/>
        <v>-4.6262392233834047E-5</v>
      </c>
      <c r="K156" s="78">
        <f>I156/'סכום נכסי הקרן'!$C$42</f>
        <v>5.316953336882745E-9</v>
      </c>
    </row>
    <row r="157" spans="2:11">
      <c r="B157" s="73"/>
      <c r="C157" s="70"/>
      <c r="D157" s="70"/>
      <c r="E157" s="70"/>
      <c r="F157" s="70"/>
      <c r="G157" s="77"/>
      <c r="H157" s="79"/>
      <c r="I157" s="70"/>
      <c r="J157" s="78"/>
      <c r="K157" s="70"/>
    </row>
    <row r="158" spans="2:11">
      <c r="B158" s="71" t="s">
        <v>232</v>
      </c>
      <c r="C158" s="72"/>
      <c r="D158" s="72"/>
      <c r="E158" s="72"/>
      <c r="F158" s="72"/>
      <c r="G158" s="80"/>
      <c r="H158" s="82"/>
      <c r="I158" s="80">
        <v>282.78964978899995</v>
      </c>
      <c r="J158" s="81">
        <f t="shared" ref="J158:J169" si="3">I158/$I$11</f>
        <v>-0.67816598040018794</v>
      </c>
      <c r="K158" s="81">
        <f>I158/'סכום נכסי הקרן'!$C$42</f>
        <v>7.7941859431386021E-5</v>
      </c>
    </row>
    <row r="159" spans="2:11">
      <c r="B159" s="89" t="s">
        <v>223</v>
      </c>
      <c r="C159" s="72"/>
      <c r="D159" s="72"/>
      <c r="E159" s="72"/>
      <c r="F159" s="72"/>
      <c r="G159" s="80"/>
      <c r="H159" s="82"/>
      <c r="I159" s="80">
        <v>282.78964978899995</v>
      </c>
      <c r="J159" s="81">
        <f t="shared" si="3"/>
        <v>-0.67816598040018794</v>
      </c>
      <c r="K159" s="81">
        <f>I159/'סכום נכסי הקרן'!$C$42</f>
        <v>7.7941859431386021E-5</v>
      </c>
    </row>
    <row r="160" spans="2:11">
      <c r="B160" s="76" t="s">
        <v>2194</v>
      </c>
      <c r="C160" s="70" t="s">
        <v>2195</v>
      </c>
      <c r="D160" s="83" t="s">
        <v>646</v>
      </c>
      <c r="E160" s="83" t="s">
        <v>159</v>
      </c>
      <c r="F160" s="97">
        <v>43916</v>
      </c>
      <c r="G160" s="77">
        <v>118355.17347199999</v>
      </c>
      <c r="H160" s="79">
        <v>15.3485</v>
      </c>
      <c r="I160" s="77">
        <v>18.165774337999999</v>
      </c>
      <c r="J160" s="78">
        <f t="shared" si="3"/>
        <v>-4.3563865130319734E-2</v>
      </c>
      <c r="K160" s="78">
        <f>I160/'סכום נכסי הקרן'!$C$42</f>
        <v>5.0068106487317083E-6</v>
      </c>
    </row>
    <row r="161" spans="2:11">
      <c r="B161" s="76" t="s">
        <v>2194</v>
      </c>
      <c r="C161" s="70" t="s">
        <v>2196</v>
      </c>
      <c r="D161" s="83" t="s">
        <v>646</v>
      </c>
      <c r="E161" s="83" t="s">
        <v>159</v>
      </c>
      <c r="F161" s="97">
        <v>43923</v>
      </c>
      <c r="G161" s="77">
        <v>165626.64941700001</v>
      </c>
      <c r="H161" s="79">
        <v>19.453700000000001</v>
      </c>
      <c r="I161" s="77">
        <v>32.220534096000002</v>
      </c>
      <c r="J161" s="78">
        <f t="shared" si="3"/>
        <v>-7.7268988134945135E-2</v>
      </c>
      <c r="K161" s="78">
        <f>I161/'סכום נכסי הקרן'!$C$42</f>
        <v>8.8805525279599505E-6</v>
      </c>
    </row>
    <row r="162" spans="2:11">
      <c r="B162" s="76" t="s">
        <v>2194</v>
      </c>
      <c r="C162" s="70" t="s">
        <v>2197</v>
      </c>
      <c r="D162" s="83" t="s">
        <v>646</v>
      </c>
      <c r="E162" s="83" t="s">
        <v>159</v>
      </c>
      <c r="F162" s="97">
        <v>43937</v>
      </c>
      <c r="G162" s="77">
        <v>174321.33540599997</v>
      </c>
      <c r="H162" s="79">
        <v>10.391500000000001</v>
      </c>
      <c r="I162" s="77">
        <v>18.114599482000003</v>
      </c>
      <c r="J162" s="78">
        <f t="shared" si="3"/>
        <v>-4.3441141238490702E-2</v>
      </c>
      <c r="K162" s="78">
        <f>I162/'סכום נכסי הקרן'!$C$42</f>
        <v>4.9927059478144393E-6</v>
      </c>
    </row>
    <row r="163" spans="2:11">
      <c r="B163" s="76" t="s">
        <v>2194</v>
      </c>
      <c r="C163" s="70" t="s">
        <v>2198</v>
      </c>
      <c r="D163" s="83" t="s">
        <v>646</v>
      </c>
      <c r="E163" s="83" t="s">
        <v>161</v>
      </c>
      <c r="F163" s="97">
        <v>43955</v>
      </c>
      <c r="G163" s="77">
        <v>332651.51267999999</v>
      </c>
      <c r="H163" s="79">
        <v>10.423299999999999</v>
      </c>
      <c r="I163" s="77">
        <v>34.673332846000001</v>
      </c>
      <c r="J163" s="78">
        <f t="shared" si="3"/>
        <v>-8.3151115257558125E-2</v>
      </c>
      <c r="K163" s="78">
        <f>I163/'סכום נכסי הקרן'!$C$42</f>
        <v>9.5565875084785898E-6</v>
      </c>
    </row>
    <row r="164" spans="2:11">
      <c r="B164" s="76" t="s">
        <v>2194</v>
      </c>
      <c r="C164" s="70" t="s">
        <v>2199</v>
      </c>
      <c r="D164" s="83" t="s">
        <v>646</v>
      </c>
      <c r="E164" s="83" t="s">
        <v>159</v>
      </c>
      <c r="F164" s="97">
        <v>43956</v>
      </c>
      <c r="G164" s="77">
        <v>59388.592980000001</v>
      </c>
      <c r="H164" s="79">
        <v>8.4291999999999998</v>
      </c>
      <c r="I164" s="77">
        <v>5.006006792</v>
      </c>
      <c r="J164" s="78">
        <f t="shared" si="3"/>
        <v>-1.2005048651956483E-2</v>
      </c>
      <c r="K164" s="78">
        <f>I164/'סכום נכסי הקרן'!$C$42</f>
        <v>1.3797445485920501E-6</v>
      </c>
    </row>
    <row r="165" spans="2:11">
      <c r="B165" s="76" t="s">
        <v>2194</v>
      </c>
      <c r="C165" s="70" t="s">
        <v>2200</v>
      </c>
      <c r="D165" s="83" t="s">
        <v>646</v>
      </c>
      <c r="E165" s="83" t="s">
        <v>161</v>
      </c>
      <c r="F165" s="97">
        <v>43962</v>
      </c>
      <c r="G165" s="77">
        <v>504461.02920699999</v>
      </c>
      <c r="H165" s="79">
        <v>6.5860000000000003</v>
      </c>
      <c r="I165" s="77">
        <v>33.223569828999999</v>
      </c>
      <c r="J165" s="78">
        <f t="shared" si="3"/>
        <v>-7.9674396931744815E-2</v>
      </c>
      <c r="K165" s="78">
        <f>I165/'סכום נכסי הקרן'!$C$42</f>
        <v>9.1570070239589196E-6</v>
      </c>
    </row>
    <row r="166" spans="2:11">
      <c r="B166" s="76" t="s">
        <v>2194</v>
      </c>
      <c r="C166" s="70" t="s">
        <v>2201</v>
      </c>
      <c r="D166" s="83" t="s">
        <v>646</v>
      </c>
      <c r="E166" s="83" t="s">
        <v>159</v>
      </c>
      <c r="F166" s="97">
        <v>43969</v>
      </c>
      <c r="G166" s="77">
        <v>595695.18489799998</v>
      </c>
      <c r="H166" s="79">
        <v>5.1536999999999997</v>
      </c>
      <c r="I166" s="77">
        <v>30.70031796</v>
      </c>
      <c r="J166" s="78">
        <f t="shared" si="3"/>
        <v>-7.3623314161163328E-2</v>
      </c>
      <c r="K166" s="78">
        <f>I166/'סכום נכסי הקרן'!$C$42</f>
        <v>8.4615539102034466E-6</v>
      </c>
    </row>
    <row r="167" spans="2:11">
      <c r="B167" s="76" t="s">
        <v>2194</v>
      </c>
      <c r="C167" s="70" t="s">
        <v>2202</v>
      </c>
      <c r="D167" s="83" t="s">
        <v>646</v>
      </c>
      <c r="E167" s="83" t="s">
        <v>159</v>
      </c>
      <c r="F167" s="97">
        <v>43971</v>
      </c>
      <c r="G167" s="77">
        <v>1039301.572808</v>
      </c>
      <c r="H167" s="79">
        <v>4.5023</v>
      </c>
      <c r="I167" s="77">
        <v>46.792224821999994</v>
      </c>
      <c r="J167" s="78">
        <f t="shared" si="3"/>
        <v>-0.11221377813931574</v>
      </c>
      <c r="K167" s="78">
        <f>I167/'סכום נכסי הקרן'!$C$42</f>
        <v>1.2896769780221286E-5</v>
      </c>
    </row>
    <row r="168" spans="2:11">
      <c r="B168" s="76" t="s">
        <v>2194</v>
      </c>
      <c r="C168" s="70" t="s">
        <v>2203</v>
      </c>
      <c r="D168" s="83" t="s">
        <v>646</v>
      </c>
      <c r="E168" s="83" t="s">
        <v>161</v>
      </c>
      <c r="F168" s="97">
        <v>43956</v>
      </c>
      <c r="G168" s="77">
        <v>503472.72156199999</v>
      </c>
      <c r="H168" s="79">
        <v>8.0516000000000005</v>
      </c>
      <c r="I168" s="77">
        <v>40.537578637999999</v>
      </c>
      <c r="J168" s="78">
        <f t="shared" si="3"/>
        <v>-9.7214331502589346E-2</v>
      </c>
      <c r="K168" s="78">
        <f>I168/'סכום נכסי הקרן'!$C$42</f>
        <v>1.1172877996946601E-5</v>
      </c>
    </row>
    <row r="169" spans="2:11">
      <c r="B169" s="76" t="s">
        <v>2194</v>
      </c>
      <c r="C169" s="70" t="s">
        <v>2204</v>
      </c>
      <c r="D169" s="83" t="s">
        <v>646</v>
      </c>
      <c r="E169" s="83" t="s">
        <v>159</v>
      </c>
      <c r="F169" s="97">
        <v>43983</v>
      </c>
      <c r="G169" s="77">
        <v>1490355.998932</v>
      </c>
      <c r="H169" s="79">
        <v>1.5670999999999999</v>
      </c>
      <c r="I169" s="77">
        <v>23.355710985999998</v>
      </c>
      <c r="J169" s="78">
        <f t="shared" si="3"/>
        <v>-5.6010001252104674E-2</v>
      </c>
      <c r="K169" s="78">
        <f>I169/'סכום נכסי הקרן'!$C$42</f>
        <v>6.4372495384790428E-6</v>
      </c>
    </row>
    <row r="170" spans="2:11">
      <c r="C170" s="1"/>
      <c r="D170" s="1"/>
    </row>
    <row r="171" spans="2:11">
      <c r="C171" s="1"/>
      <c r="D171" s="1"/>
    </row>
    <row r="172" spans="2:11">
      <c r="C172" s="1"/>
      <c r="D172" s="1"/>
    </row>
    <row r="173" spans="2:11">
      <c r="B173" s="85" t="s">
        <v>251</v>
      </c>
      <c r="C173" s="1"/>
      <c r="D173" s="1"/>
    </row>
    <row r="174" spans="2:11">
      <c r="B174" s="85" t="s">
        <v>108</v>
      </c>
      <c r="C174" s="1"/>
      <c r="D174" s="1"/>
    </row>
    <row r="175" spans="2:11">
      <c r="B175" s="85" t="s">
        <v>234</v>
      </c>
      <c r="C175" s="1"/>
      <c r="D175" s="1"/>
    </row>
    <row r="176" spans="2:11">
      <c r="B176" s="85" t="s">
        <v>242</v>
      </c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D1:XFD40 D41:AF44 AH41:XFD44 C5:C1048576 A1:B1048576 D45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>
      <selection activeCell="N11" sqref="N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47" t="s">
        <v>175</v>
      </c>
      <c r="C1" s="68" t="s" vm="1">
        <v>259</v>
      </c>
    </row>
    <row r="2" spans="2:78">
      <c r="B2" s="47" t="s">
        <v>174</v>
      </c>
      <c r="C2" s="68" t="s">
        <v>260</v>
      </c>
    </row>
    <row r="3" spans="2:78">
      <c r="B3" s="47" t="s">
        <v>176</v>
      </c>
      <c r="C3" s="68" t="s">
        <v>261</v>
      </c>
    </row>
    <row r="4" spans="2:78">
      <c r="B4" s="47" t="s">
        <v>177</v>
      </c>
      <c r="C4" s="68">
        <v>2207</v>
      </c>
    </row>
    <row r="6" spans="2:78" ht="26.25" customHeight="1">
      <c r="B6" s="126" t="s">
        <v>206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8"/>
    </row>
    <row r="7" spans="2:78" ht="26.25" customHeight="1">
      <c r="B7" s="126" t="s">
        <v>98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8"/>
    </row>
    <row r="8" spans="2:78" s="3" customFormat="1" ht="47.25">
      <c r="B8" s="22" t="s">
        <v>112</v>
      </c>
      <c r="C8" s="30" t="s">
        <v>43</v>
      </c>
      <c r="D8" s="30" t="s">
        <v>49</v>
      </c>
      <c r="E8" s="30" t="s">
        <v>14</v>
      </c>
      <c r="F8" s="30" t="s">
        <v>64</v>
      </c>
      <c r="G8" s="30" t="s">
        <v>100</v>
      </c>
      <c r="H8" s="30" t="s">
        <v>17</v>
      </c>
      <c r="I8" s="30" t="s">
        <v>99</v>
      </c>
      <c r="J8" s="30" t="s">
        <v>16</v>
      </c>
      <c r="K8" s="30" t="s">
        <v>18</v>
      </c>
      <c r="L8" s="30" t="s">
        <v>236</v>
      </c>
      <c r="M8" s="30" t="s">
        <v>235</v>
      </c>
      <c r="N8" s="30" t="s">
        <v>107</v>
      </c>
      <c r="O8" s="30" t="s">
        <v>57</v>
      </c>
      <c r="P8" s="30" t="s">
        <v>178</v>
      </c>
      <c r="Q8" s="31" t="s">
        <v>180</v>
      </c>
      <c r="R8" s="1"/>
      <c r="S8" s="1"/>
      <c r="T8" s="1"/>
      <c r="U8" s="1"/>
      <c r="V8" s="1"/>
    </row>
    <row r="9" spans="2:78" s="3" customFormat="1" ht="18.75" customHeight="1">
      <c r="B9" s="15"/>
      <c r="C9" s="16"/>
      <c r="D9" s="16"/>
      <c r="E9" s="16"/>
      <c r="F9" s="16"/>
      <c r="G9" s="16" t="s">
        <v>21</v>
      </c>
      <c r="H9" s="16" t="s">
        <v>20</v>
      </c>
      <c r="I9" s="16"/>
      <c r="J9" s="16" t="s">
        <v>19</v>
      </c>
      <c r="K9" s="16" t="s">
        <v>19</v>
      </c>
      <c r="L9" s="16" t="s">
        <v>243</v>
      </c>
      <c r="M9" s="16"/>
      <c r="N9" s="16" t="s">
        <v>239</v>
      </c>
      <c r="O9" s="16" t="s">
        <v>19</v>
      </c>
      <c r="P9" s="32" t="s">
        <v>19</v>
      </c>
      <c r="Q9" s="17" t="s">
        <v>19</v>
      </c>
      <c r="R9" s="1"/>
      <c r="S9" s="1"/>
      <c r="T9" s="1"/>
      <c r="U9" s="1"/>
      <c r="V9" s="1"/>
    </row>
    <row r="10" spans="2:78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109</v>
      </c>
      <c r="R10" s="1"/>
      <c r="S10" s="1"/>
      <c r="T10" s="1"/>
      <c r="U10" s="1"/>
      <c r="V10" s="1"/>
    </row>
    <row r="11" spans="2:78" s="4" customFormat="1" ht="18" customHeight="1"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109">
        <v>0</v>
      </c>
      <c r="O11" s="69"/>
      <c r="P11" s="69"/>
      <c r="Q11" s="69"/>
      <c r="R11" s="1"/>
      <c r="S11" s="1"/>
      <c r="T11" s="1"/>
      <c r="U11" s="1"/>
      <c r="V11" s="1"/>
      <c r="BZ11" s="1"/>
    </row>
    <row r="12" spans="2:78" ht="18" customHeight="1">
      <c r="B12" s="85" t="s">
        <v>251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2:78">
      <c r="B13" s="85" t="s">
        <v>108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2:78">
      <c r="B14" s="85" t="s">
        <v>234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2:78">
      <c r="B15" s="85" t="s">
        <v>242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2:78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2:17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2:17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2:17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2:17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2:17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2:17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2:17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2:17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2:17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2:17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2:17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2:17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2:17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2:17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2:17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2:17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2:17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2:17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2:17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2:17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2:17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2:17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2:17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2:17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2:17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2:17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2:17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2:17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2:17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2:17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2:17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2:17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2:17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2:17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2:17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2:17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2:17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2:17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2:17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2:17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2:17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2:17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2:17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2:17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2:17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2:17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2:17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2:17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2:17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2:17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2:17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2:17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2:17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2:17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2:17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2:17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2:17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2:17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2:17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2:17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2:17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2:17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2:17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2:17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2:17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2:17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2:17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2:17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2:17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2:17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2:17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2:17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2:17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2:17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2:17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2:17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2:17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2:17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2:17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2:17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2:17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2:17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2:17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2:17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2:17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2:17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2:17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2:17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2:17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2:17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2:17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2:17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2:17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2:17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14" priority="1" operator="equal">
      <formula>"NR3"</formula>
    </cfRule>
  </conditionalFormatting>
  <dataValidations count="1">
    <dataValidation allowBlank="1" showInputMessage="1" showErrorMessage="1" sqref="C5:C1048576 A1:B1048576 AH36:XFD39 D40:XFD1048576 D36:AF39 D1:M35 O1:XFD35 N1:N10 N12:N35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F192"/>
  <sheetViews>
    <sheetView rightToLeft="1" zoomScale="90" zoomScaleNormal="90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21.7109375" style="2" customWidth="1"/>
    <col min="4" max="4" width="10.140625" style="2" bestFit="1" customWidth="1"/>
    <col min="5" max="5" width="11.28515625" style="2" bestFit="1" customWidth="1"/>
    <col min="6" max="6" width="7.425781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6.140625" style="1" bestFit="1" customWidth="1"/>
    <col min="11" max="11" width="12" style="1" bestFit="1" customWidth="1"/>
    <col min="12" max="12" width="6.85546875" style="1" bestFit="1" customWidth="1"/>
    <col min="13" max="13" width="8" style="1" bestFit="1" customWidth="1"/>
    <col min="14" max="14" width="13.140625" style="1" bestFit="1" customWidth="1"/>
    <col min="15" max="15" width="7.28515625" style="1" bestFit="1" customWidth="1"/>
    <col min="16" max="16" width="10.140625" style="1" bestFit="1" customWidth="1"/>
    <col min="17" max="17" width="10" style="1" bestFit="1" customWidth="1"/>
    <col min="18" max="18" width="9" style="1" customWidth="1"/>
    <col min="19" max="19" width="6.71093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58">
      <c r="B1" s="47" t="s">
        <v>175</v>
      </c>
      <c r="C1" s="68" t="s" vm="1">
        <v>259</v>
      </c>
    </row>
    <row r="2" spans="2:58">
      <c r="B2" s="47" t="s">
        <v>174</v>
      </c>
      <c r="C2" s="68" t="s">
        <v>260</v>
      </c>
    </row>
    <row r="3" spans="2:58">
      <c r="B3" s="47" t="s">
        <v>176</v>
      </c>
      <c r="C3" s="68" t="s">
        <v>261</v>
      </c>
    </row>
    <row r="4" spans="2:58">
      <c r="B4" s="47" t="s">
        <v>177</v>
      </c>
      <c r="C4" s="68">
        <v>2207</v>
      </c>
    </row>
    <row r="6" spans="2:58" ht="26.25" customHeight="1">
      <c r="B6" s="126" t="s">
        <v>207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8"/>
    </row>
    <row r="7" spans="2:58" s="3" customFormat="1" ht="78.75">
      <c r="B7" s="48" t="s">
        <v>112</v>
      </c>
      <c r="C7" s="49" t="s">
        <v>219</v>
      </c>
      <c r="D7" s="49" t="s">
        <v>43</v>
      </c>
      <c r="E7" s="49" t="s">
        <v>113</v>
      </c>
      <c r="F7" s="49" t="s">
        <v>14</v>
      </c>
      <c r="G7" s="49" t="s">
        <v>100</v>
      </c>
      <c r="H7" s="49" t="s">
        <v>64</v>
      </c>
      <c r="I7" s="49" t="s">
        <v>17</v>
      </c>
      <c r="J7" s="49" t="s">
        <v>258</v>
      </c>
      <c r="K7" s="49" t="s">
        <v>99</v>
      </c>
      <c r="L7" s="49" t="s">
        <v>33</v>
      </c>
      <c r="M7" s="49" t="s">
        <v>18</v>
      </c>
      <c r="N7" s="49" t="s">
        <v>236</v>
      </c>
      <c r="O7" s="49" t="s">
        <v>235</v>
      </c>
      <c r="P7" s="49" t="s">
        <v>107</v>
      </c>
      <c r="Q7" s="49" t="s">
        <v>178</v>
      </c>
      <c r="R7" s="51" t="s">
        <v>180</v>
      </c>
      <c r="S7" s="1"/>
      <c r="T7" s="1"/>
      <c r="BE7" s="3" t="s">
        <v>158</v>
      </c>
      <c r="BF7" s="3" t="s">
        <v>160</v>
      </c>
    </row>
    <row r="8" spans="2:58" s="3" customFormat="1" ht="24" customHeight="1">
      <c r="B8" s="15"/>
      <c r="C8" s="58"/>
      <c r="D8" s="16"/>
      <c r="E8" s="16"/>
      <c r="F8" s="16"/>
      <c r="G8" s="16" t="s">
        <v>21</v>
      </c>
      <c r="H8" s="16"/>
      <c r="I8" s="16" t="s">
        <v>20</v>
      </c>
      <c r="J8" s="16"/>
      <c r="K8" s="16"/>
      <c r="L8" s="16" t="s">
        <v>19</v>
      </c>
      <c r="M8" s="16" t="s">
        <v>19</v>
      </c>
      <c r="N8" s="16" t="s">
        <v>243</v>
      </c>
      <c r="O8" s="16"/>
      <c r="P8" s="16" t="s">
        <v>239</v>
      </c>
      <c r="Q8" s="16" t="s">
        <v>19</v>
      </c>
      <c r="R8" s="17" t="s">
        <v>19</v>
      </c>
      <c r="S8" s="1"/>
      <c r="T8" s="1"/>
      <c r="BE8" s="3" t="s">
        <v>156</v>
      </c>
      <c r="BF8" s="3" t="s">
        <v>159</v>
      </c>
    </row>
    <row r="9" spans="2:58" s="4" customFormat="1" ht="18" customHeight="1">
      <c r="B9" s="18"/>
      <c r="C9" s="13" t="s">
        <v>0</v>
      </c>
      <c r="D9" s="13" t="s">
        <v>1</v>
      </c>
      <c r="E9" s="13" t="s">
        <v>2</v>
      </c>
      <c r="F9" s="13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19" t="s">
        <v>13</v>
      </c>
      <c r="Q9" s="19" t="s">
        <v>109</v>
      </c>
      <c r="R9" s="20" t="s">
        <v>110</v>
      </c>
      <c r="S9" s="1"/>
      <c r="T9" s="1"/>
      <c r="BE9" s="4" t="s">
        <v>157</v>
      </c>
      <c r="BF9" s="4" t="s">
        <v>161</v>
      </c>
    </row>
    <row r="10" spans="2:58" s="4" customFormat="1" ht="18" customHeight="1">
      <c r="B10" s="87" t="s">
        <v>38</v>
      </c>
      <c r="C10" s="88"/>
      <c r="D10" s="88"/>
      <c r="E10" s="88"/>
      <c r="F10" s="88"/>
      <c r="G10" s="88"/>
      <c r="H10" s="88"/>
      <c r="I10" s="90">
        <v>5.9337245900128242</v>
      </c>
      <c r="J10" s="88"/>
      <c r="K10" s="88"/>
      <c r="L10" s="88"/>
      <c r="M10" s="91">
        <v>2.8943356616668216E-2</v>
      </c>
      <c r="N10" s="90"/>
      <c r="O10" s="92"/>
      <c r="P10" s="90">
        <f>P11+P178</f>
        <v>86377.276959999988</v>
      </c>
      <c r="Q10" s="93">
        <f>P10/$P$10</f>
        <v>1</v>
      </c>
      <c r="R10" s="93">
        <f>P10/'סכום נכסי הקרן'!$C$42</f>
        <v>2.3807114524543312E-2</v>
      </c>
      <c r="S10" s="1"/>
      <c r="T10" s="1"/>
      <c r="BE10" s="1" t="s">
        <v>26</v>
      </c>
      <c r="BF10" s="4" t="s">
        <v>162</v>
      </c>
    </row>
    <row r="11" spans="2:58" ht="21.75" customHeight="1">
      <c r="B11" s="71" t="s">
        <v>36</v>
      </c>
      <c r="C11" s="72"/>
      <c r="D11" s="72"/>
      <c r="E11" s="72"/>
      <c r="F11" s="72"/>
      <c r="G11" s="72"/>
      <c r="H11" s="72"/>
      <c r="I11" s="80">
        <v>6.2276728775593782</v>
      </c>
      <c r="J11" s="72"/>
      <c r="K11" s="72"/>
      <c r="L11" s="72"/>
      <c r="M11" s="94">
        <v>2.7931397679096213E-2</v>
      </c>
      <c r="N11" s="80"/>
      <c r="O11" s="82"/>
      <c r="P11" s="80">
        <f>P12+P22</f>
        <v>79895.699879999986</v>
      </c>
      <c r="Q11" s="81">
        <f t="shared" ref="Q11:Q20" si="0">P11/$P$10</f>
        <v>0.92496201190735006</v>
      </c>
      <c r="R11" s="81">
        <f>P11/'סכום נכסי הקרן'!$C$42</f>
        <v>2.202067654833028E-2</v>
      </c>
      <c r="BF11" s="1" t="s">
        <v>168</v>
      </c>
    </row>
    <row r="12" spans="2:58">
      <c r="B12" s="89" t="s">
        <v>34</v>
      </c>
      <c r="C12" s="72"/>
      <c r="D12" s="72"/>
      <c r="E12" s="72"/>
      <c r="F12" s="72"/>
      <c r="G12" s="72"/>
      <c r="H12" s="72"/>
      <c r="I12" s="80">
        <v>8.003682680023898</v>
      </c>
      <c r="J12" s="72"/>
      <c r="K12" s="72"/>
      <c r="L12" s="72"/>
      <c r="M12" s="94">
        <v>1.9230966454438371E-2</v>
      </c>
      <c r="N12" s="80"/>
      <c r="O12" s="82"/>
      <c r="P12" s="80">
        <f>SUM(P13:P20)</f>
        <v>17263.607039999999</v>
      </c>
      <c r="Q12" s="81">
        <f t="shared" si="0"/>
        <v>0.19986283022089843</v>
      </c>
      <c r="R12" s="81">
        <f>P12/'סכום נכסי הקרן'!$C$42</f>
        <v>4.7581572882682849E-3</v>
      </c>
      <c r="S12" s="76"/>
      <c r="BF12" s="1" t="s">
        <v>163</v>
      </c>
    </row>
    <row r="13" spans="2:58">
      <c r="B13" s="76" t="s">
        <v>2323</v>
      </c>
      <c r="C13" s="83" t="s">
        <v>2255</v>
      </c>
      <c r="D13" s="70">
        <v>5212</v>
      </c>
      <c r="E13" s="70"/>
      <c r="F13" s="70" t="s">
        <v>647</v>
      </c>
      <c r="G13" s="97">
        <v>42643</v>
      </c>
      <c r="H13" s="70"/>
      <c r="I13" s="77">
        <v>8.5599999999999987</v>
      </c>
      <c r="J13" s="83" t="s">
        <v>26</v>
      </c>
      <c r="K13" s="83" t="s">
        <v>160</v>
      </c>
      <c r="L13" s="84">
        <v>1.7000000000000001E-2</v>
      </c>
      <c r="M13" s="84">
        <v>1.7000000000000001E-2</v>
      </c>
      <c r="N13" s="77">
        <v>2633197.25</v>
      </c>
      <c r="O13" s="79">
        <v>99.09</v>
      </c>
      <c r="P13" s="77">
        <f>2609.23516-0.00873</f>
        <v>2609.2264300000002</v>
      </c>
      <c r="Q13" s="78">
        <f t="shared" si="0"/>
        <v>3.0207324447241994E-2</v>
      </c>
      <c r="R13" s="78">
        <f>P13/'סכום נכסי הקרן'!$C$42</f>
        <v>7.1914923259552713E-4</v>
      </c>
      <c r="S13" s="76"/>
      <c r="BF13" s="1" t="s">
        <v>164</v>
      </c>
    </row>
    <row r="14" spans="2:58">
      <c r="B14" s="76" t="s">
        <v>2323</v>
      </c>
      <c r="C14" s="83" t="s">
        <v>2255</v>
      </c>
      <c r="D14" s="70">
        <v>5211</v>
      </c>
      <c r="E14" s="70"/>
      <c r="F14" s="70" t="s">
        <v>647</v>
      </c>
      <c r="G14" s="97">
        <v>42643</v>
      </c>
      <c r="H14" s="70"/>
      <c r="I14" s="77">
        <v>5.63</v>
      </c>
      <c r="J14" s="83" t="s">
        <v>26</v>
      </c>
      <c r="K14" s="83" t="s">
        <v>160</v>
      </c>
      <c r="L14" s="84">
        <v>2.7999999999999997E-2</v>
      </c>
      <c r="M14" s="84">
        <v>2.7999999999999997E-2</v>
      </c>
      <c r="N14" s="77">
        <v>2436475.56</v>
      </c>
      <c r="O14" s="79">
        <v>106.05</v>
      </c>
      <c r="P14" s="77">
        <v>2583.8823299999999</v>
      </c>
      <c r="Q14" s="78">
        <f t="shared" si="0"/>
        <v>2.9913912789778691E-2</v>
      </c>
      <c r="R14" s="78">
        <f>P14/'סכום נכסי הקרן'!$C$42</f>
        <v>7.1216394766346228E-4</v>
      </c>
      <c r="S14" s="76"/>
      <c r="BF14" s="1" t="s">
        <v>165</v>
      </c>
    </row>
    <row r="15" spans="2:58">
      <c r="B15" s="76" t="s">
        <v>2323</v>
      </c>
      <c r="C15" s="83" t="s">
        <v>2255</v>
      </c>
      <c r="D15" s="70">
        <v>5025</v>
      </c>
      <c r="E15" s="70"/>
      <c r="F15" s="70" t="s">
        <v>647</v>
      </c>
      <c r="G15" s="97">
        <v>42551</v>
      </c>
      <c r="H15" s="70"/>
      <c r="I15" s="77">
        <v>9.5499999999999989</v>
      </c>
      <c r="J15" s="83" t="s">
        <v>26</v>
      </c>
      <c r="K15" s="83" t="s">
        <v>160</v>
      </c>
      <c r="L15" s="84">
        <v>1.95E-2</v>
      </c>
      <c r="M15" s="84">
        <v>1.95E-2</v>
      </c>
      <c r="N15" s="77">
        <v>2513934.42</v>
      </c>
      <c r="O15" s="79">
        <v>97.49</v>
      </c>
      <c r="P15" s="77">
        <f>2450.83467-0.41169</f>
        <v>2450.4229800000003</v>
      </c>
      <c r="Q15" s="78">
        <f t="shared" si="0"/>
        <v>2.8368838035201713E-2</v>
      </c>
      <c r="R15" s="78">
        <f>P15/'סכום נכסי הקרן'!$C$42</f>
        <v>6.7538017603226749E-4</v>
      </c>
      <c r="S15" s="76"/>
      <c r="BF15" s="1" t="s">
        <v>167</v>
      </c>
    </row>
    <row r="16" spans="2:58">
      <c r="B16" s="76" t="s">
        <v>2323</v>
      </c>
      <c r="C16" s="83" t="s">
        <v>2255</v>
      </c>
      <c r="D16" s="70">
        <v>5024</v>
      </c>
      <c r="E16" s="70"/>
      <c r="F16" s="70" t="s">
        <v>647</v>
      </c>
      <c r="G16" s="97">
        <v>42551</v>
      </c>
      <c r="H16" s="70"/>
      <c r="I16" s="77">
        <v>6.8</v>
      </c>
      <c r="J16" s="83" t="s">
        <v>26</v>
      </c>
      <c r="K16" s="83" t="s">
        <v>160</v>
      </c>
      <c r="L16" s="84">
        <v>2.9100000000000001E-2</v>
      </c>
      <c r="M16" s="84">
        <v>2.9100000000000001E-2</v>
      </c>
      <c r="N16" s="77">
        <v>1880305.34</v>
      </c>
      <c r="O16" s="79">
        <v>110.08</v>
      </c>
      <c r="P16" s="77">
        <f>2069.84012-0.42687</f>
        <v>2069.4132500000001</v>
      </c>
      <c r="Q16" s="78">
        <f t="shared" si="0"/>
        <v>2.3957843113742914E-2</v>
      </c>
      <c r="R16" s="78">
        <f>P16/'סכום נכסי הקרן'!$C$42</f>
        <v>5.7036711476991895E-4</v>
      </c>
      <c r="S16" s="76"/>
      <c r="BF16" s="1" t="s">
        <v>166</v>
      </c>
    </row>
    <row r="17" spans="2:58">
      <c r="B17" s="76" t="s">
        <v>2323</v>
      </c>
      <c r="C17" s="83" t="s">
        <v>2255</v>
      </c>
      <c r="D17" s="70">
        <v>5023</v>
      </c>
      <c r="E17" s="70"/>
      <c r="F17" s="70" t="s">
        <v>647</v>
      </c>
      <c r="G17" s="97">
        <v>42551</v>
      </c>
      <c r="H17" s="70"/>
      <c r="I17" s="77">
        <v>9.6499999999999986</v>
      </c>
      <c r="J17" s="83" t="s">
        <v>26</v>
      </c>
      <c r="K17" s="83" t="s">
        <v>160</v>
      </c>
      <c r="L17" s="84">
        <v>1.3300000000000001E-2</v>
      </c>
      <c r="M17" s="84">
        <v>1.3300000000000001E-2</v>
      </c>
      <c r="N17" s="77">
        <v>2261707.91</v>
      </c>
      <c r="O17" s="79">
        <v>100.49</v>
      </c>
      <c r="P17" s="77">
        <f>2272.78924-0.31104</f>
        <v>2272.4782</v>
      </c>
      <c r="Q17" s="78">
        <f t="shared" si="0"/>
        <v>2.6308750171093614E-2</v>
      </c>
      <c r="R17" s="78">
        <f>P17/'סכום נכסי הקרן'!$C$42</f>
        <v>6.2633542832082412E-4</v>
      </c>
      <c r="S17" s="76"/>
      <c r="BF17" s="1" t="s">
        <v>169</v>
      </c>
    </row>
    <row r="18" spans="2:58">
      <c r="B18" s="76" t="s">
        <v>2323</v>
      </c>
      <c r="C18" s="83" t="s">
        <v>2255</v>
      </c>
      <c r="D18" s="70">
        <v>5210</v>
      </c>
      <c r="E18" s="70"/>
      <c r="F18" s="70" t="s">
        <v>647</v>
      </c>
      <c r="G18" s="97">
        <v>42643</v>
      </c>
      <c r="H18" s="70"/>
      <c r="I18" s="77">
        <v>8.7900000000000009</v>
      </c>
      <c r="J18" s="83" t="s">
        <v>26</v>
      </c>
      <c r="K18" s="83" t="s">
        <v>160</v>
      </c>
      <c r="L18" s="84">
        <v>6.4000000000000003E-3</v>
      </c>
      <c r="M18" s="84">
        <v>6.4000000000000003E-3</v>
      </c>
      <c r="N18" s="77">
        <v>1917665.71</v>
      </c>
      <c r="O18" s="79">
        <v>106.3</v>
      </c>
      <c r="P18" s="77">
        <f>2038.47778-0.14752</f>
        <v>2038.33026</v>
      </c>
      <c r="Q18" s="78">
        <f t="shared" si="0"/>
        <v>2.3597991644769258E-2</v>
      </c>
      <c r="R18" s="78">
        <f>P18/'סכום נכסי הקרן'!$C$42</f>
        <v>5.6180008963623799E-4</v>
      </c>
      <c r="BF18" s="1" t="s">
        <v>170</v>
      </c>
    </row>
    <row r="19" spans="2:58">
      <c r="B19" s="76" t="s">
        <v>2323</v>
      </c>
      <c r="C19" s="83" t="s">
        <v>2255</v>
      </c>
      <c r="D19" s="70">
        <v>5022</v>
      </c>
      <c r="E19" s="70"/>
      <c r="F19" s="70" t="s">
        <v>647</v>
      </c>
      <c r="G19" s="97">
        <v>42551</v>
      </c>
      <c r="H19" s="70"/>
      <c r="I19" s="77">
        <v>7.9300000000000006</v>
      </c>
      <c r="J19" s="83" t="s">
        <v>26</v>
      </c>
      <c r="K19" s="83" t="s">
        <v>160</v>
      </c>
      <c r="L19" s="84">
        <v>2.1099999999999997E-2</v>
      </c>
      <c r="M19" s="84">
        <v>2.1099999999999997E-2</v>
      </c>
      <c r="N19" s="77">
        <v>1650298.13</v>
      </c>
      <c r="O19" s="79">
        <v>105.56</v>
      </c>
      <c r="P19" s="77">
        <v>1742.0542499999999</v>
      </c>
      <c r="Q19" s="78">
        <f t="shared" si="0"/>
        <v>2.0167969069072634E-2</v>
      </c>
      <c r="R19" s="78">
        <f>P19/'סכום נכסי הקרן'!$C$42</f>
        <v>4.8014114935485938E-4</v>
      </c>
      <c r="BF19" s="1" t="s">
        <v>171</v>
      </c>
    </row>
    <row r="20" spans="2:58">
      <c r="B20" s="76" t="s">
        <v>2323</v>
      </c>
      <c r="C20" s="83" t="s">
        <v>2255</v>
      </c>
      <c r="D20" s="70">
        <v>5209</v>
      </c>
      <c r="E20" s="70"/>
      <c r="F20" s="70" t="s">
        <v>647</v>
      </c>
      <c r="G20" s="97">
        <v>42643</v>
      </c>
      <c r="H20" s="70"/>
      <c r="I20" s="77">
        <v>6.78</v>
      </c>
      <c r="J20" s="83" t="s">
        <v>26</v>
      </c>
      <c r="K20" s="83" t="s">
        <v>160</v>
      </c>
      <c r="L20" s="84">
        <v>1.8200000000000001E-2</v>
      </c>
      <c r="M20" s="84">
        <v>1.8200000000000001E-2</v>
      </c>
      <c r="N20" s="77">
        <v>1411831.21</v>
      </c>
      <c r="O20" s="79">
        <v>106.09</v>
      </c>
      <c r="P20" s="77">
        <f>1497.81218-0.01284</f>
        <v>1497.7993399999998</v>
      </c>
      <c r="Q20" s="78">
        <f t="shared" si="0"/>
        <v>1.7340200949997626E-2</v>
      </c>
      <c r="R20" s="78">
        <f>P20/'סכום נכסי הקרן'!$C$42</f>
        <v>4.1282014989518822E-4</v>
      </c>
      <c r="BF20" s="1" t="s">
        <v>172</v>
      </c>
    </row>
    <row r="21" spans="2:58">
      <c r="B21" s="73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7"/>
      <c r="O21" s="79"/>
      <c r="P21" s="70"/>
      <c r="Q21" s="78"/>
      <c r="R21" s="70"/>
      <c r="BF21" s="1" t="s">
        <v>173</v>
      </c>
    </row>
    <row r="22" spans="2:58">
      <c r="B22" s="89" t="s">
        <v>35</v>
      </c>
      <c r="C22" s="72"/>
      <c r="D22" s="72"/>
      <c r="E22" s="72"/>
      <c r="F22" s="72"/>
      <c r="G22" s="72"/>
      <c r="H22" s="72"/>
      <c r="I22" s="80">
        <v>5.738094427485211</v>
      </c>
      <c r="J22" s="72"/>
      <c r="K22" s="72"/>
      <c r="L22" s="72"/>
      <c r="M22" s="94">
        <v>3.0329776127252267E-2</v>
      </c>
      <c r="N22" s="80"/>
      <c r="O22" s="82"/>
      <c r="P22" s="80">
        <f>SUM(P23:P176)</f>
        <v>62632.092839999983</v>
      </c>
      <c r="Q22" s="81">
        <f t="shared" ref="Q22:Q88" si="1">P22/$P$10</f>
        <v>0.7250991816864516</v>
      </c>
      <c r="R22" s="81">
        <f>P22/'סכום נכסי הקרן'!$C$42</f>
        <v>1.7262519260061993E-2</v>
      </c>
      <c r="BF22" s="1" t="s">
        <v>26</v>
      </c>
    </row>
    <row r="23" spans="2:58">
      <c r="B23" s="76" t="s">
        <v>2324</v>
      </c>
      <c r="C23" s="83" t="s">
        <v>2254</v>
      </c>
      <c r="D23" s="70">
        <v>90148620</v>
      </c>
      <c r="E23" s="70"/>
      <c r="F23" s="70" t="s">
        <v>353</v>
      </c>
      <c r="G23" s="97">
        <v>42368</v>
      </c>
      <c r="H23" s="70" t="s">
        <v>291</v>
      </c>
      <c r="I23" s="77">
        <v>9.0500000000000007</v>
      </c>
      <c r="J23" s="83" t="s">
        <v>152</v>
      </c>
      <c r="K23" s="83" t="s">
        <v>160</v>
      </c>
      <c r="L23" s="84">
        <v>3.1699999999999999E-2</v>
      </c>
      <c r="M23" s="84">
        <v>7.4000000000000003E-3</v>
      </c>
      <c r="N23" s="77">
        <v>177041.48</v>
      </c>
      <c r="O23" s="79">
        <v>124.8</v>
      </c>
      <c r="P23" s="77">
        <v>220.94776999999999</v>
      </c>
      <c r="Q23" s="78">
        <f t="shared" si="1"/>
        <v>2.5579385895936214E-3</v>
      </c>
      <c r="R23" s="78">
        <f>P23/'סכום נכסי הקרן'!$C$42</f>
        <v>6.0897136949204144E-5</v>
      </c>
    </row>
    <row r="24" spans="2:58">
      <c r="B24" s="76" t="s">
        <v>2324</v>
      </c>
      <c r="C24" s="83" t="s">
        <v>2254</v>
      </c>
      <c r="D24" s="70">
        <v>90148621</v>
      </c>
      <c r="E24" s="70"/>
      <c r="F24" s="70" t="s">
        <v>353</v>
      </c>
      <c r="G24" s="97">
        <v>42388</v>
      </c>
      <c r="H24" s="70" t="s">
        <v>291</v>
      </c>
      <c r="I24" s="77">
        <v>9.0400000000000027</v>
      </c>
      <c r="J24" s="83" t="s">
        <v>152</v>
      </c>
      <c r="K24" s="83" t="s">
        <v>160</v>
      </c>
      <c r="L24" s="84">
        <v>3.1899999999999998E-2</v>
      </c>
      <c r="M24" s="84">
        <v>7.6E-3</v>
      </c>
      <c r="N24" s="77">
        <v>247858.03</v>
      </c>
      <c r="O24" s="79">
        <v>124.88</v>
      </c>
      <c r="P24" s="77">
        <v>309.52509999999995</v>
      </c>
      <c r="Q24" s="78">
        <f t="shared" si="1"/>
        <v>3.5834088650807589E-3</v>
      </c>
      <c r="R24" s="78">
        <f>P24/'סכום נכסי הקרן'!$C$42</f>
        <v>8.5310625239241411E-5</v>
      </c>
    </row>
    <row r="25" spans="2:58">
      <c r="B25" s="76" t="s">
        <v>2324</v>
      </c>
      <c r="C25" s="83" t="s">
        <v>2254</v>
      </c>
      <c r="D25" s="70">
        <v>90148622</v>
      </c>
      <c r="E25" s="70"/>
      <c r="F25" s="70" t="s">
        <v>353</v>
      </c>
      <c r="G25" s="97">
        <v>42509</v>
      </c>
      <c r="H25" s="70" t="s">
        <v>291</v>
      </c>
      <c r="I25" s="77">
        <v>9.1100000000000012</v>
      </c>
      <c r="J25" s="83" t="s">
        <v>152</v>
      </c>
      <c r="K25" s="83" t="s">
        <v>160</v>
      </c>
      <c r="L25" s="84">
        <v>2.7400000000000001E-2</v>
      </c>
      <c r="M25" s="84">
        <v>1.0200000000000002E-2</v>
      </c>
      <c r="N25" s="77">
        <v>247858.03</v>
      </c>
      <c r="O25" s="79">
        <v>118.42</v>
      </c>
      <c r="P25" s="77">
        <v>293.51346999999998</v>
      </c>
      <c r="Q25" s="78">
        <f t="shared" si="1"/>
        <v>3.398040321830493E-3</v>
      </c>
      <c r="R25" s="78">
        <f>P25/'סכום נכסי הקרן'!$C$42</f>
        <v>8.0897535100834568E-5</v>
      </c>
    </row>
    <row r="26" spans="2:58">
      <c r="B26" s="76" t="s">
        <v>2324</v>
      </c>
      <c r="C26" s="83" t="s">
        <v>2254</v>
      </c>
      <c r="D26" s="70">
        <v>90148623</v>
      </c>
      <c r="E26" s="70"/>
      <c r="F26" s="70" t="s">
        <v>353</v>
      </c>
      <c r="G26" s="97">
        <v>42723</v>
      </c>
      <c r="H26" s="70" t="s">
        <v>291</v>
      </c>
      <c r="I26" s="77">
        <v>8.9</v>
      </c>
      <c r="J26" s="83" t="s">
        <v>152</v>
      </c>
      <c r="K26" s="83" t="s">
        <v>160</v>
      </c>
      <c r="L26" s="84">
        <v>3.15E-2</v>
      </c>
      <c r="M26" s="84">
        <v>1.5900000000000001E-2</v>
      </c>
      <c r="N26" s="77">
        <v>35408.28</v>
      </c>
      <c r="O26" s="79">
        <v>115.86</v>
      </c>
      <c r="P26" s="77">
        <v>41.024029999999996</v>
      </c>
      <c r="Q26" s="78">
        <f t="shared" si="1"/>
        <v>4.7494007039603257E-4</v>
      </c>
      <c r="R26" s="78">
        <f>P26/'סכום נכסי הקרן'!$C$42</f>
        <v>1.1306952648213011E-5</v>
      </c>
    </row>
    <row r="27" spans="2:58">
      <c r="B27" s="76" t="s">
        <v>2324</v>
      </c>
      <c r="C27" s="83" t="s">
        <v>2254</v>
      </c>
      <c r="D27" s="70">
        <v>90148624</v>
      </c>
      <c r="E27" s="70"/>
      <c r="F27" s="70" t="s">
        <v>353</v>
      </c>
      <c r="G27" s="97">
        <v>42918</v>
      </c>
      <c r="H27" s="70" t="s">
        <v>291</v>
      </c>
      <c r="I27" s="77">
        <v>8.7999999999999989</v>
      </c>
      <c r="J27" s="83" t="s">
        <v>152</v>
      </c>
      <c r="K27" s="83" t="s">
        <v>160</v>
      </c>
      <c r="L27" s="84">
        <v>3.1899999999999998E-2</v>
      </c>
      <c r="M27" s="84">
        <v>2.0300000000000002E-2</v>
      </c>
      <c r="N27" s="77">
        <v>177041.48</v>
      </c>
      <c r="O27" s="79">
        <v>111.11</v>
      </c>
      <c r="P27" s="77">
        <v>196.71077</v>
      </c>
      <c r="Q27" s="78">
        <f t="shared" si="1"/>
        <v>2.2773439603924282E-3</v>
      </c>
      <c r="R27" s="78">
        <f>P27/'סכום נכסי הקרן'!$C$42</f>
        <v>5.4216988476839563E-5</v>
      </c>
    </row>
    <row r="28" spans="2:58">
      <c r="B28" s="76" t="s">
        <v>2325</v>
      </c>
      <c r="C28" s="83" t="s">
        <v>2254</v>
      </c>
      <c r="D28" s="70">
        <v>90148625</v>
      </c>
      <c r="E28" s="70"/>
      <c r="F28" s="70" t="s">
        <v>353</v>
      </c>
      <c r="G28" s="97">
        <v>43915</v>
      </c>
      <c r="H28" s="70" t="s">
        <v>291</v>
      </c>
      <c r="I28" s="77">
        <v>9</v>
      </c>
      <c r="J28" s="83" t="s">
        <v>152</v>
      </c>
      <c r="K28" s="83" t="s">
        <v>160</v>
      </c>
      <c r="L28" s="84">
        <v>2.6600000000000002E-2</v>
      </c>
      <c r="M28" s="84">
        <v>1.6899999999999998E-2</v>
      </c>
      <c r="N28" s="77">
        <v>372718.86</v>
      </c>
      <c r="O28" s="79">
        <v>109.07</v>
      </c>
      <c r="P28" s="77">
        <v>406.52445</v>
      </c>
      <c r="Q28" s="78">
        <f t="shared" si="1"/>
        <v>4.7063818669377056E-3</v>
      </c>
      <c r="R28" s="78">
        <f>P28/'סכום נכסי הקרן'!$C$42</f>
        <v>1.1204537210241992E-4</v>
      </c>
    </row>
    <row r="29" spans="2:58">
      <c r="B29" s="76" t="s">
        <v>2326</v>
      </c>
      <c r="C29" s="83" t="s">
        <v>2254</v>
      </c>
      <c r="D29" s="70">
        <v>91102700</v>
      </c>
      <c r="E29" s="70"/>
      <c r="F29" s="70" t="s">
        <v>388</v>
      </c>
      <c r="G29" s="97">
        <v>43093</v>
      </c>
      <c r="H29" s="70" t="s">
        <v>156</v>
      </c>
      <c r="I29" s="77">
        <v>3.4499999999999997</v>
      </c>
      <c r="J29" s="83" t="s">
        <v>642</v>
      </c>
      <c r="K29" s="83" t="s">
        <v>160</v>
      </c>
      <c r="L29" s="84">
        <v>2.6089999999999999E-2</v>
      </c>
      <c r="M29" s="84">
        <v>3.3300000000000003E-2</v>
      </c>
      <c r="N29" s="77">
        <v>824527.8</v>
      </c>
      <c r="O29" s="79">
        <v>99.68</v>
      </c>
      <c r="P29" s="77">
        <v>821.88931000000002</v>
      </c>
      <c r="Q29" s="78">
        <f t="shared" si="1"/>
        <v>9.5151102109945485E-3</v>
      </c>
      <c r="R29" s="78">
        <f>P29/'סכום נכסי הקרן'!$C$42</f>
        <v>2.265273185067987E-4</v>
      </c>
    </row>
    <row r="30" spans="2:58">
      <c r="B30" s="76" t="s">
        <v>2326</v>
      </c>
      <c r="C30" s="83" t="s">
        <v>2254</v>
      </c>
      <c r="D30" s="70">
        <v>91102701</v>
      </c>
      <c r="E30" s="70"/>
      <c r="F30" s="70" t="s">
        <v>388</v>
      </c>
      <c r="G30" s="97">
        <v>43363</v>
      </c>
      <c r="H30" s="70" t="s">
        <v>156</v>
      </c>
      <c r="I30" s="77">
        <v>3.45</v>
      </c>
      <c r="J30" s="83" t="s">
        <v>642</v>
      </c>
      <c r="K30" s="83" t="s">
        <v>160</v>
      </c>
      <c r="L30" s="84">
        <v>2.6849999999999999E-2</v>
      </c>
      <c r="M30" s="84">
        <v>3.1300000000000001E-2</v>
      </c>
      <c r="N30" s="77">
        <v>1154338.92</v>
      </c>
      <c r="O30" s="79">
        <v>99.87</v>
      </c>
      <c r="P30" s="77">
        <v>1152.83824</v>
      </c>
      <c r="Q30" s="78">
        <f t="shared" si="1"/>
        <v>1.3346545301883759E-2</v>
      </c>
      <c r="R30" s="78">
        <f>P30/'סכום נכסי הקרן'!$C$42</f>
        <v>3.1774273250895213E-4</v>
      </c>
    </row>
    <row r="31" spans="2:58">
      <c r="B31" s="76" t="s">
        <v>2327</v>
      </c>
      <c r="C31" s="83" t="s">
        <v>2254</v>
      </c>
      <c r="D31" s="70">
        <v>90150400</v>
      </c>
      <c r="E31" s="70"/>
      <c r="F31" s="70" t="s">
        <v>388</v>
      </c>
      <c r="G31" s="97">
        <v>42186</v>
      </c>
      <c r="H31" s="70" t="s">
        <v>156</v>
      </c>
      <c r="I31" s="77">
        <v>3.6899999999999995</v>
      </c>
      <c r="J31" s="83" t="s">
        <v>152</v>
      </c>
      <c r="K31" s="83" t="s">
        <v>159</v>
      </c>
      <c r="L31" s="84">
        <v>9.8519999999999996E-2</v>
      </c>
      <c r="M31" s="84">
        <v>1.5900000000000001E-2</v>
      </c>
      <c r="N31" s="77">
        <v>356074.02</v>
      </c>
      <c r="O31" s="79">
        <v>132.72999999999999</v>
      </c>
      <c r="P31" s="77">
        <v>1638.09069</v>
      </c>
      <c r="Q31" s="78">
        <f t="shared" si="1"/>
        <v>1.8964370580454568E-2</v>
      </c>
      <c r="R31" s="78">
        <f>P31/'סכום נכסי הקרן'!$C$42</f>
        <v>4.5148694229476188E-4</v>
      </c>
    </row>
    <row r="32" spans="2:58">
      <c r="B32" s="76" t="s">
        <v>2327</v>
      </c>
      <c r="C32" s="83" t="s">
        <v>2254</v>
      </c>
      <c r="D32" s="70">
        <v>90150520</v>
      </c>
      <c r="E32" s="70"/>
      <c r="F32" s="70" t="s">
        <v>388</v>
      </c>
      <c r="G32" s="97">
        <v>38533</v>
      </c>
      <c r="H32" s="70" t="s">
        <v>156</v>
      </c>
      <c r="I32" s="77">
        <v>3.5999999999999996</v>
      </c>
      <c r="J32" s="83" t="s">
        <v>152</v>
      </c>
      <c r="K32" s="83" t="s">
        <v>160</v>
      </c>
      <c r="L32" s="84">
        <v>3.8452E-2</v>
      </c>
      <c r="M32" s="84">
        <v>3.9000000000000003E-3</v>
      </c>
      <c r="N32" s="77">
        <v>110748.13</v>
      </c>
      <c r="O32" s="79">
        <v>144.38</v>
      </c>
      <c r="P32" s="77">
        <v>159.89822000000001</v>
      </c>
      <c r="Q32" s="78">
        <f t="shared" si="1"/>
        <v>1.851160694427152E-3</v>
      </c>
      <c r="R32" s="78">
        <f>P32/'סכום נכסי הקרן'!$C$42</f>
        <v>4.4070794655560331E-5</v>
      </c>
    </row>
    <row r="33" spans="2:18">
      <c r="B33" s="76" t="s">
        <v>2326</v>
      </c>
      <c r="C33" s="83" t="s">
        <v>2254</v>
      </c>
      <c r="D33" s="70">
        <v>91102799</v>
      </c>
      <c r="E33" s="70"/>
      <c r="F33" s="70" t="s">
        <v>388</v>
      </c>
      <c r="G33" s="97">
        <v>41339</v>
      </c>
      <c r="H33" s="70" t="s">
        <v>156</v>
      </c>
      <c r="I33" s="77">
        <v>1.4900000000000002</v>
      </c>
      <c r="J33" s="83" t="s">
        <v>642</v>
      </c>
      <c r="K33" s="83" t="s">
        <v>160</v>
      </c>
      <c r="L33" s="84">
        <v>4.7500000000000001E-2</v>
      </c>
      <c r="M33" s="84">
        <v>9.5000000000000015E-3</v>
      </c>
      <c r="N33" s="77">
        <v>222728.64</v>
      </c>
      <c r="O33" s="79">
        <v>109.97</v>
      </c>
      <c r="P33" s="77">
        <v>244.93467999999999</v>
      </c>
      <c r="Q33" s="78">
        <f t="shared" si="1"/>
        <v>2.8356378971453977E-3</v>
      </c>
      <c r="R33" s="78">
        <f>P33/'סכום נכסי הקרן'!$C$42</f>
        <v>6.7508356167475658E-5</v>
      </c>
    </row>
    <row r="34" spans="2:18">
      <c r="B34" s="76" t="s">
        <v>2326</v>
      </c>
      <c r="C34" s="83" t="s">
        <v>2254</v>
      </c>
      <c r="D34" s="70">
        <v>91102798</v>
      </c>
      <c r="E34" s="70"/>
      <c r="F34" s="70" t="s">
        <v>388</v>
      </c>
      <c r="G34" s="97">
        <v>41339</v>
      </c>
      <c r="H34" s="70" t="s">
        <v>156</v>
      </c>
      <c r="I34" s="77">
        <v>1.49</v>
      </c>
      <c r="J34" s="83" t="s">
        <v>642</v>
      </c>
      <c r="K34" s="83" t="s">
        <v>160</v>
      </c>
      <c r="L34" s="84">
        <v>4.4999999999999998E-2</v>
      </c>
      <c r="M34" s="84">
        <v>9.0000000000000011E-3</v>
      </c>
      <c r="N34" s="77">
        <v>378834.23</v>
      </c>
      <c r="O34" s="79">
        <v>109.54</v>
      </c>
      <c r="P34" s="77">
        <v>414.97500000000002</v>
      </c>
      <c r="Q34" s="78">
        <f t="shared" si="1"/>
        <v>4.8042148885078734E-3</v>
      </c>
      <c r="R34" s="78">
        <f>P34/'סכום נכסי הקרן'!$C$42</f>
        <v>1.1437449405122303E-4</v>
      </c>
    </row>
    <row r="35" spans="2:18">
      <c r="B35" s="76" t="s">
        <v>2328</v>
      </c>
      <c r="C35" s="83" t="s">
        <v>2255</v>
      </c>
      <c r="D35" s="70">
        <v>14811160</v>
      </c>
      <c r="E35" s="70"/>
      <c r="F35" s="70" t="s">
        <v>2256</v>
      </c>
      <c r="G35" s="97">
        <v>42201</v>
      </c>
      <c r="H35" s="70" t="s">
        <v>2252</v>
      </c>
      <c r="I35" s="77">
        <v>6.61</v>
      </c>
      <c r="J35" s="83" t="s">
        <v>352</v>
      </c>
      <c r="K35" s="83" t="s">
        <v>160</v>
      </c>
      <c r="L35" s="84">
        <v>4.2030000000000005E-2</v>
      </c>
      <c r="M35" s="84">
        <v>1.7899999999999999E-2</v>
      </c>
      <c r="N35" s="77">
        <v>72655.5</v>
      </c>
      <c r="O35" s="79">
        <v>117.89</v>
      </c>
      <c r="P35" s="77">
        <v>85.653570000000002</v>
      </c>
      <c r="Q35" s="78">
        <f t="shared" si="1"/>
        <v>9.9162155852244426E-4</v>
      </c>
      <c r="R35" s="78">
        <f>P35/'סכום נכסי הקרן'!$C$42</f>
        <v>2.3607648008749961E-5</v>
      </c>
    </row>
    <row r="36" spans="2:18">
      <c r="B36" s="76" t="s">
        <v>2328</v>
      </c>
      <c r="C36" s="83" t="s">
        <v>2254</v>
      </c>
      <c r="D36" s="70">
        <v>14760843</v>
      </c>
      <c r="E36" s="70"/>
      <c r="F36" s="70" t="s">
        <v>2256</v>
      </c>
      <c r="G36" s="97">
        <v>40742</v>
      </c>
      <c r="H36" s="70" t="s">
        <v>2252</v>
      </c>
      <c r="I36" s="77">
        <v>4.6899999999999995</v>
      </c>
      <c r="J36" s="83" t="s">
        <v>352</v>
      </c>
      <c r="K36" s="83" t="s">
        <v>160</v>
      </c>
      <c r="L36" s="84">
        <v>4.4999999999999998E-2</v>
      </c>
      <c r="M36" s="84">
        <v>1.2999999999999997E-3</v>
      </c>
      <c r="N36" s="77">
        <v>872165.19</v>
      </c>
      <c r="O36" s="79">
        <v>126.67</v>
      </c>
      <c r="P36" s="77">
        <v>1104.77161</v>
      </c>
      <c r="Q36" s="78">
        <f t="shared" si="1"/>
        <v>1.2790072214381139E-2</v>
      </c>
      <c r="R36" s="78">
        <f>P36/'סכום נכסי הקרן'!$C$42</f>
        <v>3.0449471398495107E-4</v>
      </c>
    </row>
    <row r="37" spans="2:18">
      <c r="B37" s="76" t="s">
        <v>2329</v>
      </c>
      <c r="C37" s="83" t="s">
        <v>2254</v>
      </c>
      <c r="D37" s="70">
        <v>11898602</v>
      </c>
      <c r="E37" s="70"/>
      <c r="F37" s="70" t="s">
        <v>473</v>
      </c>
      <c r="G37" s="97">
        <v>43431</v>
      </c>
      <c r="H37" s="70" t="s">
        <v>291</v>
      </c>
      <c r="I37" s="77">
        <v>9.5200000000000014</v>
      </c>
      <c r="J37" s="83" t="s">
        <v>2257</v>
      </c>
      <c r="K37" s="83" t="s">
        <v>160</v>
      </c>
      <c r="L37" s="84">
        <v>3.9599999999999996E-2</v>
      </c>
      <c r="M37" s="84">
        <v>3.0100000000000002E-2</v>
      </c>
      <c r="N37" s="77">
        <v>191100.84</v>
      </c>
      <c r="O37" s="79">
        <v>109.56</v>
      </c>
      <c r="P37" s="77">
        <v>209.37007999999997</v>
      </c>
      <c r="Q37" s="78">
        <f t="shared" si="1"/>
        <v>2.4239022966301206E-3</v>
      </c>
      <c r="R37" s="78">
        <f>P37/'סכום נכסי הקרן'!$C$42</f>
        <v>5.7706119572176839E-5</v>
      </c>
    </row>
    <row r="38" spans="2:18">
      <c r="B38" s="76" t="s">
        <v>2329</v>
      </c>
      <c r="C38" s="83" t="s">
        <v>2254</v>
      </c>
      <c r="D38" s="70">
        <v>11898601</v>
      </c>
      <c r="E38" s="70"/>
      <c r="F38" s="70" t="s">
        <v>473</v>
      </c>
      <c r="G38" s="97">
        <v>43276</v>
      </c>
      <c r="H38" s="70" t="s">
        <v>291</v>
      </c>
      <c r="I38" s="77">
        <v>9.58</v>
      </c>
      <c r="J38" s="83" t="s">
        <v>2257</v>
      </c>
      <c r="K38" s="83" t="s">
        <v>160</v>
      </c>
      <c r="L38" s="84">
        <v>3.56E-2</v>
      </c>
      <c r="M38" s="84">
        <v>3.1300000000000001E-2</v>
      </c>
      <c r="N38" s="77">
        <v>190768.78</v>
      </c>
      <c r="O38" s="79">
        <v>104.5</v>
      </c>
      <c r="P38" s="77">
        <v>199.35336999999998</v>
      </c>
      <c r="Q38" s="78">
        <f t="shared" si="1"/>
        <v>2.3079376546255043E-3</v>
      </c>
      <c r="R38" s="78">
        <f>P38/'סכום נכסי הקרן'!$C$42</f>
        <v>5.4945336059175276E-5</v>
      </c>
    </row>
    <row r="39" spans="2:18">
      <c r="B39" s="76" t="s">
        <v>2329</v>
      </c>
      <c r="C39" s="83" t="s">
        <v>2254</v>
      </c>
      <c r="D39" s="70">
        <v>11898600</v>
      </c>
      <c r="E39" s="70"/>
      <c r="F39" s="70" t="s">
        <v>473</v>
      </c>
      <c r="G39" s="97">
        <v>43222</v>
      </c>
      <c r="H39" s="70" t="s">
        <v>291</v>
      </c>
      <c r="I39" s="77">
        <v>9.5899999999999981</v>
      </c>
      <c r="J39" s="83" t="s">
        <v>2257</v>
      </c>
      <c r="K39" s="83" t="s">
        <v>160</v>
      </c>
      <c r="L39" s="84">
        <v>3.5200000000000002E-2</v>
      </c>
      <c r="M39" s="84">
        <v>3.139999999999999E-2</v>
      </c>
      <c r="N39" s="77">
        <v>911802.55</v>
      </c>
      <c r="O39" s="79">
        <v>104.87</v>
      </c>
      <c r="P39" s="77">
        <v>956.20728000000008</v>
      </c>
      <c r="Q39" s="78">
        <f t="shared" si="1"/>
        <v>1.1070125311345543E-2</v>
      </c>
      <c r="R39" s="78">
        <f>P39/'סכום נכסי הקרן'!$C$42</f>
        <v>2.6354774108824903E-4</v>
      </c>
    </row>
    <row r="40" spans="2:18">
      <c r="B40" s="76" t="s">
        <v>2329</v>
      </c>
      <c r="C40" s="83" t="s">
        <v>2254</v>
      </c>
      <c r="D40" s="70">
        <v>11898611</v>
      </c>
      <c r="E40" s="70"/>
      <c r="F40" s="70" t="s">
        <v>473</v>
      </c>
      <c r="G40" s="97">
        <v>43922</v>
      </c>
      <c r="H40" s="70" t="s">
        <v>291</v>
      </c>
      <c r="I40" s="77">
        <v>9.9600000000000009</v>
      </c>
      <c r="J40" s="83" t="s">
        <v>2257</v>
      </c>
      <c r="K40" s="83" t="s">
        <v>160</v>
      </c>
      <c r="L40" s="84">
        <v>3.0699999999999998E-2</v>
      </c>
      <c r="M40" s="84">
        <v>2.23E-2</v>
      </c>
      <c r="N40" s="77">
        <v>219871.7</v>
      </c>
      <c r="O40" s="79">
        <v>108.73</v>
      </c>
      <c r="P40" s="77">
        <v>239.06648999999999</v>
      </c>
      <c r="Q40" s="78">
        <f t="shared" si="1"/>
        <v>2.767701164169693E-3</v>
      </c>
      <c r="R40" s="78">
        <f>P40/'סכום נכסי הקרן'!$C$42</f>
        <v>6.5890978585099734E-5</v>
      </c>
    </row>
    <row r="41" spans="2:18">
      <c r="B41" s="76" t="s">
        <v>2329</v>
      </c>
      <c r="C41" s="83" t="s">
        <v>2254</v>
      </c>
      <c r="D41" s="70">
        <v>11898603</v>
      </c>
      <c r="E41" s="70"/>
      <c r="F41" s="70" t="s">
        <v>473</v>
      </c>
      <c r="G41" s="97">
        <v>43500</v>
      </c>
      <c r="H41" s="70" t="s">
        <v>291</v>
      </c>
      <c r="I41" s="77">
        <v>9.65</v>
      </c>
      <c r="J41" s="83" t="s">
        <v>2257</v>
      </c>
      <c r="K41" s="83" t="s">
        <v>160</v>
      </c>
      <c r="L41" s="84">
        <v>3.7499999999999999E-2</v>
      </c>
      <c r="M41" s="84">
        <v>2.7099999999999996E-2</v>
      </c>
      <c r="N41" s="77">
        <v>359052.61</v>
      </c>
      <c r="O41" s="79">
        <v>110.53</v>
      </c>
      <c r="P41" s="77">
        <v>396.86084000000005</v>
      </c>
      <c r="Q41" s="78">
        <f t="shared" si="1"/>
        <v>4.5945051055936888E-3</v>
      </c>
      <c r="R41" s="78">
        <f>P41/'סכום נכסי הקרן'!$C$42</f>
        <v>1.0938190923246792E-4</v>
      </c>
    </row>
    <row r="42" spans="2:18">
      <c r="B42" s="76" t="s">
        <v>2329</v>
      </c>
      <c r="C42" s="83" t="s">
        <v>2254</v>
      </c>
      <c r="D42" s="70">
        <v>11898604</v>
      </c>
      <c r="E42" s="70"/>
      <c r="F42" s="70" t="s">
        <v>473</v>
      </c>
      <c r="G42" s="97">
        <v>43556</v>
      </c>
      <c r="H42" s="70" t="s">
        <v>291</v>
      </c>
      <c r="I42" s="77">
        <v>9.75</v>
      </c>
      <c r="J42" s="83" t="s">
        <v>2257</v>
      </c>
      <c r="K42" s="83" t="s">
        <v>160</v>
      </c>
      <c r="L42" s="84">
        <v>3.3500000000000002E-2</v>
      </c>
      <c r="M42" s="84">
        <v>2.7199999999999998E-2</v>
      </c>
      <c r="N42" s="77">
        <v>362800.31</v>
      </c>
      <c r="O42" s="79">
        <v>106.44</v>
      </c>
      <c r="P42" s="77">
        <v>386.16465999999997</v>
      </c>
      <c r="Q42" s="78">
        <f t="shared" si="1"/>
        <v>4.4706741586543301E-3</v>
      </c>
      <c r="R42" s="78">
        <f>P42/'סכום נכסי הקרן'!$C$42</f>
        <v>1.0643385169699996E-4</v>
      </c>
    </row>
    <row r="43" spans="2:18">
      <c r="B43" s="76" t="s">
        <v>2329</v>
      </c>
      <c r="C43" s="83" t="s">
        <v>2254</v>
      </c>
      <c r="D43" s="70">
        <v>11898606</v>
      </c>
      <c r="E43" s="70"/>
      <c r="F43" s="70" t="s">
        <v>473</v>
      </c>
      <c r="G43" s="97">
        <v>43647</v>
      </c>
      <c r="H43" s="70" t="s">
        <v>291</v>
      </c>
      <c r="I43" s="77">
        <v>9.65</v>
      </c>
      <c r="J43" s="83" t="s">
        <v>2257</v>
      </c>
      <c r="K43" s="83" t="s">
        <v>160</v>
      </c>
      <c r="L43" s="84">
        <v>3.2000000000000001E-2</v>
      </c>
      <c r="M43" s="84">
        <v>3.2000000000000001E-2</v>
      </c>
      <c r="N43" s="77">
        <v>337040.78</v>
      </c>
      <c r="O43" s="79">
        <v>100.37</v>
      </c>
      <c r="P43" s="77">
        <v>338.28784000000002</v>
      </c>
      <c r="Q43" s="78">
        <f t="shared" si="1"/>
        <v>3.9163985240777618E-3</v>
      </c>
      <c r="R43" s="78">
        <f>P43/'סכום נכסי הקרן'!$C$42</f>
        <v>9.3238148186471683E-5</v>
      </c>
    </row>
    <row r="44" spans="2:18">
      <c r="B44" s="76" t="s">
        <v>2329</v>
      </c>
      <c r="C44" s="83" t="s">
        <v>2254</v>
      </c>
      <c r="D44" s="70">
        <v>11898607</v>
      </c>
      <c r="E44" s="70"/>
      <c r="F44" s="70" t="s">
        <v>473</v>
      </c>
      <c r="G44" s="97">
        <v>43703</v>
      </c>
      <c r="H44" s="70" t="s">
        <v>291</v>
      </c>
      <c r="I44" s="77">
        <v>9.8500000000000014</v>
      </c>
      <c r="J44" s="83" t="s">
        <v>2257</v>
      </c>
      <c r="K44" s="83" t="s">
        <v>160</v>
      </c>
      <c r="L44" s="84">
        <v>2.6800000000000001E-2</v>
      </c>
      <c r="M44" s="84">
        <v>3.0200000000000001E-2</v>
      </c>
      <c r="N44" s="77">
        <v>23995.84</v>
      </c>
      <c r="O44" s="79">
        <v>96.98</v>
      </c>
      <c r="P44" s="77">
        <v>23.271169999999998</v>
      </c>
      <c r="Q44" s="78">
        <f t="shared" si="1"/>
        <v>2.6941310051689318E-4</v>
      </c>
      <c r="R44" s="78">
        <f>P44/'סכום נכסי הקרן'!$C$42</f>
        <v>6.4139485384179754E-6</v>
      </c>
    </row>
    <row r="45" spans="2:18">
      <c r="B45" s="76" t="s">
        <v>2329</v>
      </c>
      <c r="C45" s="83" t="s">
        <v>2254</v>
      </c>
      <c r="D45" s="70">
        <v>11898608</v>
      </c>
      <c r="E45" s="70"/>
      <c r="F45" s="70" t="s">
        <v>473</v>
      </c>
      <c r="G45" s="97">
        <v>43740</v>
      </c>
      <c r="H45" s="70" t="s">
        <v>291</v>
      </c>
      <c r="I45" s="77">
        <v>9.7099999999999991</v>
      </c>
      <c r="J45" s="83" t="s">
        <v>2257</v>
      </c>
      <c r="K45" s="83" t="s">
        <v>160</v>
      </c>
      <c r="L45" s="84">
        <v>2.7300000000000001E-2</v>
      </c>
      <c r="M45" s="84">
        <v>3.4500000000000003E-2</v>
      </c>
      <c r="N45" s="77">
        <v>354523.25</v>
      </c>
      <c r="O45" s="79">
        <v>93.6</v>
      </c>
      <c r="P45" s="77">
        <v>331.83375000000001</v>
      </c>
      <c r="Q45" s="78">
        <f t="shared" si="1"/>
        <v>3.8416787571766958E-3</v>
      </c>
      <c r="R45" s="78">
        <f>P45/'סכום נכסי הקרן'!$C$42</f>
        <v>9.1459286138610818E-5</v>
      </c>
    </row>
    <row r="46" spans="2:18">
      <c r="B46" s="76" t="s">
        <v>2329</v>
      </c>
      <c r="C46" s="83" t="s">
        <v>2254</v>
      </c>
      <c r="D46" s="70">
        <v>11898609</v>
      </c>
      <c r="E46" s="70"/>
      <c r="F46" s="70" t="s">
        <v>473</v>
      </c>
      <c r="G46" s="97">
        <v>43831</v>
      </c>
      <c r="H46" s="70" t="s">
        <v>291</v>
      </c>
      <c r="I46" s="77">
        <v>9.59</v>
      </c>
      <c r="J46" s="83" t="s">
        <v>2257</v>
      </c>
      <c r="K46" s="83" t="s">
        <v>160</v>
      </c>
      <c r="L46" s="84">
        <v>2.6800000000000001E-2</v>
      </c>
      <c r="M46" s="84">
        <v>3.8999999999999993E-2</v>
      </c>
      <c r="N46" s="77">
        <v>368050.85</v>
      </c>
      <c r="O46" s="79">
        <v>89.34</v>
      </c>
      <c r="P46" s="77">
        <v>328.81664000000001</v>
      </c>
      <c r="Q46" s="78">
        <f t="shared" si="1"/>
        <v>3.8067493161687655E-3</v>
      </c>
      <c r="R46" s="78">
        <f>P46/'סכום נכסי הקרן'!$C$42</f>
        <v>9.0627716936256738E-5</v>
      </c>
    </row>
    <row r="47" spans="2:18">
      <c r="B47" s="76" t="s">
        <v>2329</v>
      </c>
      <c r="C47" s="83" t="s">
        <v>2254</v>
      </c>
      <c r="D47" s="70">
        <v>11898612</v>
      </c>
      <c r="E47" s="70"/>
      <c r="F47" s="70" t="s">
        <v>473</v>
      </c>
      <c r="G47" s="97">
        <v>43978</v>
      </c>
      <c r="H47" s="70" t="s">
        <v>291</v>
      </c>
      <c r="I47" s="77">
        <v>9.86</v>
      </c>
      <c r="J47" s="83" t="s">
        <v>2257</v>
      </c>
      <c r="K47" s="83" t="s">
        <v>160</v>
      </c>
      <c r="L47" s="84">
        <v>2.6000000000000002E-2</v>
      </c>
      <c r="M47" s="84">
        <v>3.0200000000000001E-2</v>
      </c>
      <c r="N47" s="77">
        <v>92451.59</v>
      </c>
      <c r="O47" s="79">
        <v>96.25</v>
      </c>
      <c r="P47" s="77">
        <v>88.984660000000005</v>
      </c>
      <c r="Q47" s="78">
        <f>P47/$P$10</f>
        <v>1.0301859833021531E-3</v>
      </c>
      <c r="R47" s="78">
        <f>P47/'סכום נכסי הקרן'!$C$42</f>
        <v>2.4525755686053626E-5</v>
      </c>
    </row>
    <row r="48" spans="2:18">
      <c r="B48" s="76" t="s">
        <v>2329</v>
      </c>
      <c r="C48" s="83" t="s">
        <v>2254</v>
      </c>
      <c r="D48" s="70">
        <v>11898613</v>
      </c>
      <c r="E48" s="70"/>
      <c r="F48" s="70" t="s">
        <v>473</v>
      </c>
      <c r="G48" s="97">
        <v>44010</v>
      </c>
      <c r="H48" s="70" t="s">
        <v>291</v>
      </c>
      <c r="I48" s="77">
        <v>9.9999999999999982</v>
      </c>
      <c r="J48" s="83" t="s">
        <v>2257</v>
      </c>
      <c r="K48" s="83" t="s">
        <v>160</v>
      </c>
      <c r="L48" s="84">
        <v>2.5000000000000001E-2</v>
      </c>
      <c r="M48" s="84">
        <v>2.6599999999999992E-2</v>
      </c>
      <c r="N48" s="77">
        <v>145016.35</v>
      </c>
      <c r="O48" s="79">
        <v>98.65</v>
      </c>
      <c r="P48" s="77">
        <v>143.05864000000003</v>
      </c>
      <c r="Q48" s="78">
        <f>P48/$P$10</f>
        <v>1.6562068756375398E-3</v>
      </c>
      <c r="R48" s="78">
        <f>P48/'סכום נכסי הקרן'!$C$42</f>
        <v>3.9429506764638972E-5</v>
      </c>
    </row>
    <row r="49" spans="2:18">
      <c r="B49" s="76" t="s">
        <v>2330</v>
      </c>
      <c r="C49" s="83" t="s">
        <v>2255</v>
      </c>
      <c r="D49" s="70">
        <v>472710</v>
      </c>
      <c r="E49" s="70"/>
      <c r="F49" s="70" t="s">
        <v>2258</v>
      </c>
      <c r="G49" s="97">
        <v>42901</v>
      </c>
      <c r="H49" s="70" t="s">
        <v>2252</v>
      </c>
      <c r="I49" s="77">
        <v>2.2800000000000002</v>
      </c>
      <c r="J49" s="83" t="s">
        <v>187</v>
      </c>
      <c r="K49" s="83" t="s">
        <v>160</v>
      </c>
      <c r="L49" s="84">
        <v>0.04</v>
      </c>
      <c r="M49" s="84">
        <v>2.2499999999999999E-2</v>
      </c>
      <c r="N49" s="77">
        <v>1925144</v>
      </c>
      <c r="O49" s="79">
        <v>104.18</v>
      </c>
      <c r="P49" s="77">
        <v>2005.6149800000001</v>
      </c>
      <c r="Q49" s="78">
        <f t="shared" si="1"/>
        <v>2.3219242960492607E-2</v>
      </c>
      <c r="R49" s="78">
        <f>P49/'סכום נכסי הקרן'!$C$42</f>
        <v>5.527831763336437E-4</v>
      </c>
    </row>
    <row r="50" spans="2:18">
      <c r="B50" s="76" t="s">
        <v>2331</v>
      </c>
      <c r="C50" s="83" t="s">
        <v>2255</v>
      </c>
      <c r="D50" s="70">
        <v>4069</v>
      </c>
      <c r="E50" s="70"/>
      <c r="F50" s="70" t="s">
        <v>477</v>
      </c>
      <c r="G50" s="97">
        <v>42052</v>
      </c>
      <c r="H50" s="70" t="s">
        <v>156</v>
      </c>
      <c r="I50" s="77">
        <v>5.34</v>
      </c>
      <c r="J50" s="83" t="s">
        <v>416</v>
      </c>
      <c r="K50" s="83" t="s">
        <v>160</v>
      </c>
      <c r="L50" s="84">
        <v>2.9779E-2</v>
      </c>
      <c r="M50" s="84">
        <v>7.4000000000000012E-3</v>
      </c>
      <c r="N50" s="77">
        <v>592603.48</v>
      </c>
      <c r="O50" s="79">
        <v>113.98</v>
      </c>
      <c r="P50" s="77">
        <v>675.44947999999999</v>
      </c>
      <c r="Q50" s="78">
        <f t="shared" si="1"/>
        <v>7.8197588969236721E-3</v>
      </c>
      <c r="R50" s="78">
        <f>P50/'סכום נכסי הקרן'!$C$42</f>
        <v>1.8616589561337835E-4</v>
      </c>
    </row>
    <row r="51" spans="2:18">
      <c r="B51" s="76" t="s">
        <v>2332</v>
      </c>
      <c r="C51" s="83" t="s">
        <v>2254</v>
      </c>
      <c r="D51" s="70">
        <v>90145563</v>
      </c>
      <c r="E51" s="70"/>
      <c r="F51" s="70" t="s">
        <v>477</v>
      </c>
      <c r="G51" s="97">
        <v>42122</v>
      </c>
      <c r="H51" s="70" t="s">
        <v>156</v>
      </c>
      <c r="I51" s="77">
        <v>5.54</v>
      </c>
      <c r="J51" s="83" t="s">
        <v>416</v>
      </c>
      <c r="K51" s="83" t="s">
        <v>160</v>
      </c>
      <c r="L51" s="84">
        <v>2.4799999999999999E-2</v>
      </c>
      <c r="M51" s="84">
        <v>1.3600000000000001E-2</v>
      </c>
      <c r="N51" s="77">
        <v>4518793.03</v>
      </c>
      <c r="O51" s="79">
        <v>107.63</v>
      </c>
      <c r="P51" s="77">
        <v>4863.5767000000005</v>
      </c>
      <c r="Q51" s="78">
        <f t="shared" si="1"/>
        <v>5.630620541849507E-2</v>
      </c>
      <c r="R51" s="78">
        <f>P51/'סכום נכסי הקרן'!$C$42</f>
        <v>1.3404882808405734E-3</v>
      </c>
    </row>
    <row r="52" spans="2:18">
      <c r="B52" s="76" t="s">
        <v>2333</v>
      </c>
      <c r="C52" s="83" t="s">
        <v>2255</v>
      </c>
      <c r="D52" s="70">
        <v>7699</v>
      </c>
      <c r="E52" s="70"/>
      <c r="F52" s="70" t="s">
        <v>2258</v>
      </c>
      <c r="G52" s="97">
        <v>43977</v>
      </c>
      <c r="H52" s="70" t="s">
        <v>2252</v>
      </c>
      <c r="I52" s="77">
        <v>10.29</v>
      </c>
      <c r="J52" s="83" t="s">
        <v>352</v>
      </c>
      <c r="K52" s="83" t="s">
        <v>160</v>
      </c>
      <c r="L52" s="84">
        <v>1.908E-2</v>
      </c>
      <c r="M52" s="84">
        <v>2.5000000000000001E-2</v>
      </c>
      <c r="N52" s="77">
        <v>426282.59</v>
      </c>
      <c r="O52" s="79">
        <v>94.31</v>
      </c>
      <c r="P52" s="77">
        <v>402.02711999999997</v>
      </c>
      <c r="Q52" s="78">
        <f t="shared" si="1"/>
        <v>4.6543157430879957E-3</v>
      </c>
      <c r="R52" s="78">
        <f>P52/'סכום נכסי הקרן'!$C$42</f>
        <v>1.1080582792908082E-4</v>
      </c>
    </row>
    <row r="53" spans="2:18">
      <c r="B53" s="76" t="s">
        <v>2333</v>
      </c>
      <c r="C53" s="83" t="s">
        <v>2255</v>
      </c>
      <c r="D53" s="70">
        <v>7567</v>
      </c>
      <c r="E53" s="70"/>
      <c r="F53" s="70" t="s">
        <v>2258</v>
      </c>
      <c r="G53" s="97">
        <v>43919</v>
      </c>
      <c r="H53" s="70" t="s">
        <v>2252</v>
      </c>
      <c r="I53" s="77">
        <v>10.01</v>
      </c>
      <c r="J53" s="83" t="s">
        <v>352</v>
      </c>
      <c r="K53" s="83" t="s">
        <v>160</v>
      </c>
      <c r="L53" s="84">
        <v>2.69E-2</v>
      </c>
      <c r="M53" s="84">
        <v>1.8699999999999998E-2</v>
      </c>
      <c r="N53" s="77">
        <v>236823.66</v>
      </c>
      <c r="O53" s="79">
        <v>108.53</v>
      </c>
      <c r="P53" s="77">
        <v>257.02472</v>
      </c>
      <c r="Q53" s="78">
        <f t="shared" si="1"/>
        <v>2.9756057269439539E-3</v>
      </c>
      <c r="R53" s="78">
        <f>P53/'סכום נכסי הקרן'!$C$42</f>
        <v>7.0840586321241673E-5</v>
      </c>
    </row>
    <row r="54" spans="2:18">
      <c r="B54" s="76" t="s">
        <v>2333</v>
      </c>
      <c r="C54" s="83" t="s">
        <v>2255</v>
      </c>
      <c r="D54" s="70">
        <v>7566</v>
      </c>
      <c r="E54" s="70"/>
      <c r="F54" s="70" t="s">
        <v>2258</v>
      </c>
      <c r="G54" s="97">
        <v>43919</v>
      </c>
      <c r="H54" s="70" t="s">
        <v>2252</v>
      </c>
      <c r="I54" s="77">
        <v>9.629999999999999</v>
      </c>
      <c r="J54" s="83" t="s">
        <v>352</v>
      </c>
      <c r="K54" s="83" t="s">
        <v>160</v>
      </c>
      <c r="L54" s="84">
        <v>2.69E-2</v>
      </c>
      <c r="M54" s="84">
        <v>1.8600000000000002E-2</v>
      </c>
      <c r="N54" s="77">
        <v>236823.66</v>
      </c>
      <c r="O54" s="79">
        <v>108.33</v>
      </c>
      <c r="P54" s="77">
        <v>256.55106999999998</v>
      </c>
      <c r="Q54" s="78">
        <f t="shared" si="1"/>
        <v>2.9701222246078089E-3</v>
      </c>
      <c r="R54" s="78">
        <f>P54/'סכום נכסי הקרן'!$C$42</f>
        <v>7.0710039953129461E-5</v>
      </c>
    </row>
    <row r="55" spans="2:18">
      <c r="B55" s="76" t="s">
        <v>2333</v>
      </c>
      <c r="C55" s="83" t="s">
        <v>2255</v>
      </c>
      <c r="D55" s="70">
        <v>7700</v>
      </c>
      <c r="E55" s="70"/>
      <c r="F55" s="70" t="s">
        <v>2258</v>
      </c>
      <c r="G55" s="97">
        <v>43977</v>
      </c>
      <c r="H55" s="70" t="s">
        <v>2252</v>
      </c>
      <c r="I55" s="77">
        <v>9.91</v>
      </c>
      <c r="J55" s="83" t="s">
        <v>352</v>
      </c>
      <c r="K55" s="83" t="s">
        <v>160</v>
      </c>
      <c r="L55" s="84">
        <v>1.8769999999999998E-2</v>
      </c>
      <c r="M55" s="84">
        <v>2.4899999999999999E-2</v>
      </c>
      <c r="N55" s="77">
        <v>284188.39</v>
      </c>
      <c r="O55" s="79">
        <v>94.33</v>
      </c>
      <c r="P55" s="77">
        <v>268.07490000000001</v>
      </c>
      <c r="Q55" s="78">
        <f t="shared" si="1"/>
        <v>3.1035349739508625E-3</v>
      </c>
      <c r="R55" s="78">
        <f>P55/'סכום נכסי הקרן'!$C$42</f>
        <v>7.388621255577374E-5</v>
      </c>
    </row>
    <row r="56" spans="2:18">
      <c r="B56" s="76" t="s">
        <v>2334</v>
      </c>
      <c r="C56" s="83" t="s">
        <v>2255</v>
      </c>
      <c r="D56" s="70">
        <v>4100</v>
      </c>
      <c r="E56" s="70"/>
      <c r="F56" s="70" t="s">
        <v>477</v>
      </c>
      <c r="G56" s="97">
        <v>42052</v>
      </c>
      <c r="H56" s="70" t="s">
        <v>156</v>
      </c>
      <c r="I56" s="77">
        <v>5.35</v>
      </c>
      <c r="J56" s="83" t="s">
        <v>416</v>
      </c>
      <c r="K56" s="83" t="s">
        <v>160</v>
      </c>
      <c r="L56" s="84">
        <v>2.9779E-2</v>
      </c>
      <c r="M56" s="84">
        <v>6.8999999999999999E-3</v>
      </c>
      <c r="N56" s="77">
        <v>491256.74</v>
      </c>
      <c r="O56" s="79">
        <v>114.26</v>
      </c>
      <c r="P56" s="77">
        <v>561.30997000000002</v>
      </c>
      <c r="Q56" s="78">
        <f t="shared" si="1"/>
        <v>6.498352225897723E-3</v>
      </c>
      <c r="R56" s="78">
        <f>P56/'סכום נכסי הקרן'!$C$42</f>
        <v>1.5470701566276806E-4</v>
      </c>
    </row>
    <row r="57" spans="2:18">
      <c r="B57" s="76" t="s">
        <v>2335</v>
      </c>
      <c r="C57" s="83" t="s">
        <v>2254</v>
      </c>
      <c r="D57" s="70">
        <v>95350502</v>
      </c>
      <c r="E57" s="70"/>
      <c r="F57" s="70" t="s">
        <v>477</v>
      </c>
      <c r="G57" s="97">
        <v>41767</v>
      </c>
      <c r="H57" s="70" t="s">
        <v>156</v>
      </c>
      <c r="I57" s="77">
        <v>5.91</v>
      </c>
      <c r="J57" s="83" t="s">
        <v>416</v>
      </c>
      <c r="K57" s="83" t="s">
        <v>160</v>
      </c>
      <c r="L57" s="84">
        <v>5.3499999999999999E-2</v>
      </c>
      <c r="M57" s="84">
        <v>1.5400000000000002E-2</v>
      </c>
      <c r="N57" s="77">
        <v>20571.560000000001</v>
      </c>
      <c r="O57" s="79">
        <v>125.69</v>
      </c>
      <c r="P57" s="77">
        <v>25.856390000000001</v>
      </c>
      <c r="Q57" s="78">
        <f t="shared" si="1"/>
        <v>2.9934249967122374E-4</v>
      </c>
      <c r="R57" s="78">
        <f>P57/'סכום נכסי הקרן'!$C$42</f>
        <v>7.1264811717358936E-6</v>
      </c>
    </row>
    <row r="58" spans="2:18">
      <c r="B58" s="76" t="s">
        <v>2335</v>
      </c>
      <c r="C58" s="83" t="s">
        <v>2254</v>
      </c>
      <c r="D58" s="70">
        <v>95350101</v>
      </c>
      <c r="E58" s="70"/>
      <c r="F58" s="70" t="s">
        <v>477</v>
      </c>
      <c r="G58" s="97">
        <v>41269</v>
      </c>
      <c r="H58" s="70" t="s">
        <v>156</v>
      </c>
      <c r="I58" s="77">
        <v>6.0500000000000007</v>
      </c>
      <c r="J58" s="83" t="s">
        <v>416</v>
      </c>
      <c r="K58" s="83" t="s">
        <v>160</v>
      </c>
      <c r="L58" s="84">
        <v>5.3499999999999999E-2</v>
      </c>
      <c r="M58" s="84">
        <v>4.3E-3</v>
      </c>
      <c r="N58" s="77">
        <v>102169.84</v>
      </c>
      <c r="O58" s="79">
        <v>136.26</v>
      </c>
      <c r="P58" s="77">
        <v>139.21660999999997</v>
      </c>
      <c r="Q58" s="78">
        <f t="shared" si="1"/>
        <v>1.6117272377603323E-3</v>
      </c>
      <c r="R58" s="78">
        <f>P58/'סכום נכסי הקרן'!$C$42</f>
        <v>3.8370574931686081E-5</v>
      </c>
    </row>
    <row r="59" spans="2:18">
      <c r="B59" s="76" t="s">
        <v>2335</v>
      </c>
      <c r="C59" s="83" t="s">
        <v>2254</v>
      </c>
      <c r="D59" s="70">
        <v>95350102</v>
      </c>
      <c r="E59" s="70"/>
      <c r="F59" s="70" t="s">
        <v>477</v>
      </c>
      <c r="G59" s="97">
        <v>41767</v>
      </c>
      <c r="H59" s="70" t="s">
        <v>156</v>
      </c>
      <c r="I59" s="77">
        <v>6.42</v>
      </c>
      <c r="J59" s="83" t="s">
        <v>416</v>
      </c>
      <c r="K59" s="83" t="s">
        <v>160</v>
      </c>
      <c r="L59" s="84">
        <v>5.3499999999999999E-2</v>
      </c>
      <c r="M59" s="84">
        <v>1.8500000000000003E-2</v>
      </c>
      <c r="N59" s="77">
        <v>16099.48</v>
      </c>
      <c r="O59" s="79">
        <v>125.69</v>
      </c>
      <c r="P59" s="77">
        <v>20.235430000000001</v>
      </c>
      <c r="Q59" s="78">
        <f t="shared" si="1"/>
        <v>2.3426797778506868E-4</v>
      </c>
      <c r="R59" s="78">
        <f>P59/'סכום נכסי הקרן'!$C$42</f>
        <v>5.5772445765622982E-6</v>
      </c>
    </row>
    <row r="60" spans="2:18">
      <c r="B60" s="76" t="s">
        <v>2335</v>
      </c>
      <c r="C60" s="83" t="s">
        <v>2254</v>
      </c>
      <c r="D60" s="70">
        <v>95350202</v>
      </c>
      <c r="E60" s="70"/>
      <c r="F60" s="70" t="s">
        <v>477</v>
      </c>
      <c r="G60" s="97">
        <v>41767</v>
      </c>
      <c r="H60" s="70" t="s">
        <v>156</v>
      </c>
      <c r="I60" s="77">
        <v>5.91</v>
      </c>
      <c r="J60" s="83" t="s">
        <v>416</v>
      </c>
      <c r="K60" s="83" t="s">
        <v>160</v>
      </c>
      <c r="L60" s="84">
        <v>5.3499999999999999E-2</v>
      </c>
      <c r="M60" s="84">
        <v>1.54E-2</v>
      </c>
      <c r="N60" s="77">
        <v>20571.669999999998</v>
      </c>
      <c r="O60" s="79">
        <v>125.69</v>
      </c>
      <c r="P60" s="77">
        <v>25.856529999999999</v>
      </c>
      <c r="Q60" s="78">
        <f t="shared" si="1"/>
        <v>2.9934412046786062E-4</v>
      </c>
      <c r="R60" s="78">
        <f>P60/'סכום נכסי הקרן'!$C$42</f>
        <v>7.1265197582270482E-6</v>
      </c>
    </row>
    <row r="61" spans="2:18">
      <c r="B61" s="76" t="s">
        <v>2335</v>
      </c>
      <c r="C61" s="83" t="s">
        <v>2254</v>
      </c>
      <c r="D61" s="70">
        <v>95350201</v>
      </c>
      <c r="E61" s="70"/>
      <c r="F61" s="70" t="s">
        <v>477</v>
      </c>
      <c r="G61" s="97">
        <v>41269</v>
      </c>
      <c r="H61" s="70" t="s">
        <v>156</v>
      </c>
      <c r="I61" s="77">
        <v>6.0500000000000007</v>
      </c>
      <c r="J61" s="83" t="s">
        <v>416</v>
      </c>
      <c r="K61" s="83" t="s">
        <v>160</v>
      </c>
      <c r="L61" s="84">
        <v>5.3499999999999999E-2</v>
      </c>
      <c r="M61" s="84">
        <v>4.3000000000000009E-3</v>
      </c>
      <c r="N61" s="77">
        <v>108556.07</v>
      </c>
      <c r="O61" s="79">
        <v>136.26</v>
      </c>
      <c r="P61" s="77">
        <v>147.91848999999999</v>
      </c>
      <c r="Q61" s="78">
        <f t="shared" si="1"/>
        <v>1.7124699366072723E-3</v>
      </c>
      <c r="R61" s="78">
        <f>P61/'סכום נכסי הקרן'!$C$42</f>
        <v>4.0768967900646764E-5</v>
      </c>
    </row>
    <row r="62" spans="2:18">
      <c r="B62" s="76" t="s">
        <v>2335</v>
      </c>
      <c r="C62" s="83" t="s">
        <v>2254</v>
      </c>
      <c r="D62" s="70">
        <v>95350301</v>
      </c>
      <c r="E62" s="70"/>
      <c r="F62" s="70" t="s">
        <v>477</v>
      </c>
      <c r="G62" s="97">
        <v>41281</v>
      </c>
      <c r="H62" s="70" t="s">
        <v>156</v>
      </c>
      <c r="I62" s="77">
        <v>6.0500000000000007</v>
      </c>
      <c r="J62" s="83" t="s">
        <v>416</v>
      </c>
      <c r="K62" s="83" t="s">
        <v>160</v>
      </c>
      <c r="L62" s="84">
        <v>5.3499999999999999E-2</v>
      </c>
      <c r="M62" s="84">
        <v>4.5999999999999999E-3</v>
      </c>
      <c r="N62" s="77">
        <v>136764.19</v>
      </c>
      <c r="O62" s="79">
        <v>136.07</v>
      </c>
      <c r="P62" s="77">
        <v>186.09501999999998</v>
      </c>
      <c r="Q62" s="78">
        <f t="shared" si="1"/>
        <v>2.1544441611209596E-3</v>
      </c>
      <c r="R62" s="78">
        <f>P62/'סכום נכסי הקרן'!$C$42</f>
        <v>5.1291098880540333E-5</v>
      </c>
    </row>
    <row r="63" spans="2:18">
      <c r="B63" s="76" t="s">
        <v>2335</v>
      </c>
      <c r="C63" s="83" t="s">
        <v>2254</v>
      </c>
      <c r="D63" s="70">
        <v>95350302</v>
      </c>
      <c r="E63" s="70"/>
      <c r="F63" s="70" t="s">
        <v>477</v>
      </c>
      <c r="G63" s="97">
        <v>41767</v>
      </c>
      <c r="H63" s="70" t="s">
        <v>156</v>
      </c>
      <c r="I63" s="77">
        <v>5.91</v>
      </c>
      <c r="J63" s="83" t="s">
        <v>416</v>
      </c>
      <c r="K63" s="83" t="s">
        <v>160</v>
      </c>
      <c r="L63" s="84">
        <v>5.3499999999999999E-2</v>
      </c>
      <c r="M63" s="84">
        <v>1.54E-2</v>
      </c>
      <c r="N63" s="77">
        <v>24149.200000000001</v>
      </c>
      <c r="O63" s="79">
        <v>125.69</v>
      </c>
      <c r="P63" s="77">
        <v>30.35313</v>
      </c>
      <c r="Q63" s="78">
        <f t="shared" si="1"/>
        <v>3.5140179302082044E-4</v>
      </c>
      <c r="R63" s="78">
        <f>P63/'סכום נכסי הקרן'!$C$42</f>
        <v>8.3658627305765388E-6</v>
      </c>
    </row>
    <row r="64" spans="2:18">
      <c r="B64" s="76" t="s">
        <v>2335</v>
      </c>
      <c r="C64" s="83" t="s">
        <v>2254</v>
      </c>
      <c r="D64" s="70">
        <v>95350401</v>
      </c>
      <c r="E64" s="70"/>
      <c r="F64" s="70" t="s">
        <v>477</v>
      </c>
      <c r="G64" s="97">
        <v>41281</v>
      </c>
      <c r="H64" s="70" t="s">
        <v>156</v>
      </c>
      <c r="I64" s="77">
        <v>6.0500000000000007</v>
      </c>
      <c r="J64" s="83" t="s">
        <v>416</v>
      </c>
      <c r="K64" s="83" t="s">
        <v>160</v>
      </c>
      <c r="L64" s="84">
        <v>5.3499999999999999E-2</v>
      </c>
      <c r="M64" s="84">
        <v>4.6000000000000008E-3</v>
      </c>
      <c r="N64" s="77">
        <v>98516.58</v>
      </c>
      <c r="O64" s="79">
        <v>136.07</v>
      </c>
      <c r="P64" s="77">
        <v>134.05151999999998</v>
      </c>
      <c r="Q64" s="78">
        <f t="shared" si="1"/>
        <v>1.5519303770374379E-3</v>
      </c>
      <c r="R64" s="78">
        <f>P64/'סכום נכסי הקרן'!$C$42</f>
        <v>3.6946984220247967E-5</v>
      </c>
    </row>
    <row r="65" spans="2:18">
      <c r="B65" s="76" t="s">
        <v>2335</v>
      </c>
      <c r="C65" s="83" t="s">
        <v>2254</v>
      </c>
      <c r="D65" s="70">
        <v>95350402</v>
      </c>
      <c r="E65" s="70"/>
      <c r="F65" s="70" t="s">
        <v>477</v>
      </c>
      <c r="G65" s="97">
        <v>41767</v>
      </c>
      <c r="H65" s="70" t="s">
        <v>156</v>
      </c>
      <c r="I65" s="77">
        <v>5.91</v>
      </c>
      <c r="J65" s="83" t="s">
        <v>416</v>
      </c>
      <c r="K65" s="83" t="s">
        <v>160</v>
      </c>
      <c r="L65" s="84">
        <v>5.3499999999999999E-2</v>
      </c>
      <c r="M65" s="84">
        <v>1.5400000000000002E-2</v>
      </c>
      <c r="N65" s="77">
        <v>19672.61</v>
      </c>
      <c r="O65" s="79">
        <v>125.69</v>
      </c>
      <c r="P65" s="77">
        <v>24.726509999999998</v>
      </c>
      <c r="Q65" s="78">
        <f t="shared" si="1"/>
        <v>2.8626174464205988E-4</v>
      </c>
      <c r="R65" s="78">
        <f>P65/'סכום נכסי הקרן'!$C$42</f>
        <v>6.8150661386890926E-6</v>
      </c>
    </row>
    <row r="66" spans="2:18">
      <c r="B66" s="76" t="s">
        <v>2335</v>
      </c>
      <c r="C66" s="83" t="s">
        <v>2254</v>
      </c>
      <c r="D66" s="70">
        <v>95350501</v>
      </c>
      <c r="E66" s="70"/>
      <c r="F66" s="70" t="s">
        <v>477</v>
      </c>
      <c r="G66" s="97">
        <v>41281</v>
      </c>
      <c r="H66" s="70" t="s">
        <v>156</v>
      </c>
      <c r="I66" s="77">
        <v>6.0500000000000007</v>
      </c>
      <c r="J66" s="83" t="s">
        <v>416</v>
      </c>
      <c r="K66" s="83" t="s">
        <v>160</v>
      </c>
      <c r="L66" s="84">
        <v>5.3499999999999999E-2</v>
      </c>
      <c r="M66" s="84">
        <v>4.5999999999999999E-3</v>
      </c>
      <c r="N66" s="77">
        <v>118316.47</v>
      </c>
      <c r="O66" s="79">
        <v>136.07</v>
      </c>
      <c r="P66" s="77">
        <v>160.99321</v>
      </c>
      <c r="Q66" s="78">
        <f t="shared" si="1"/>
        <v>1.8638375237801665E-3</v>
      </c>
      <c r="R66" s="78">
        <f>P66/'סכום נכסי הקרן'!$C$42</f>
        <v>4.4372593383775643E-5</v>
      </c>
    </row>
    <row r="67" spans="2:18">
      <c r="B67" s="76" t="s">
        <v>2336</v>
      </c>
      <c r="C67" s="83" t="s">
        <v>2255</v>
      </c>
      <c r="D67" s="70">
        <v>22333</v>
      </c>
      <c r="E67" s="70"/>
      <c r="F67" s="70" t="s">
        <v>2258</v>
      </c>
      <c r="G67" s="97">
        <v>41639</v>
      </c>
      <c r="H67" s="70" t="s">
        <v>2252</v>
      </c>
      <c r="I67" s="77">
        <v>1.7</v>
      </c>
      <c r="J67" s="83" t="s">
        <v>147</v>
      </c>
      <c r="K67" s="83" t="s">
        <v>160</v>
      </c>
      <c r="L67" s="84">
        <v>3.7000000000000005E-2</v>
      </c>
      <c r="M67" s="84">
        <v>1.1500000000000002E-2</v>
      </c>
      <c r="N67" s="77">
        <v>1287254.68</v>
      </c>
      <c r="O67" s="79">
        <v>106.25</v>
      </c>
      <c r="P67" s="77">
        <v>1367.70812</v>
      </c>
      <c r="Q67" s="78">
        <f t="shared" si="1"/>
        <v>1.5834119436682E-2</v>
      </c>
      <c r="R67" s="78">
        <f>P67/'סכום נכסי הקרן'!$C$42</f>
        <v>3.7696469482438561E-4</v>
      </c>
    </row>
    <row r="68" spans="2:18">
      <c r="B68" s="76" t="s">
        <v>2336</v>
      </c>
      <c r="C68" s="83" t="s">
        <v>2255</v>
      </c>
      <c r="D68" s="70">
        <v>22334</v>
      </c>
      <c r="E68" s="70"/>
      <c r="F68" s="70" t="s">
        <v>2258</v>
      </c>
      <c r="G68" s="97">
        <v>42004</v>
      </c>
      <c r="H68" s="70" t="s">
        <v>2252</v>
      </c>
      <c r="I68" s="77">
        <v>2.16</v>
      </c>
      <c r="J68" s="83" t="s">
        <v>147</v>
      </c>
      <c r="K68" s="83" t="s">
        <v>160</v>
      </c>
      <c r="L68" s="84">
        <v>3.7000000000000005E-2</v>
      </c>
      <c r="M68" s="84">
        <v>1.1900000000000001E-2</v>
      </c>
      <c r="N68" s="77">
        <v>536356.14</v>
      </c>
      <c r="O68" s="79">
        <v>107.38</v>
      </c>
      <c r="P68" s="77">
        <v>575.93922999999995</v>
      </c>
      <c r="Q68" s="78">
        <f t="shared" si="1"/>
        <v>6.667716907384204E-3</v>
      </c>
      <c r="R68" s="78">
        <f>P68/'סכום נכסי הקרן'!$C$42</f>
        <v>1.5873910003132949E-4</v>
      </c>
    </row>
    <row r="69" spans="2:18">
      <c r="B69" s="76" t="s">
        <v>2336</v>
      </c>
      <c r="C69" s="83" t="s">
        <v>2255</v>
      </c>
      <c r="D69" s="70">
        <v>458870</v>
      </c>
      <c r="E69" s="70"/>
      <c r="F69" s="70" t="s">
        <v>2258</v>
      </c>
      <c r="G69" s="97">
        <v>42759</v>
      </c>
      <c r="H69" s="70" t="s">
        <v>2252</v>
      </c>
      <c r="I69" s="77">
        <v>3.1700000000000004</v>
      </c>
      <c r="J69" s="83" t="s">
        <v>147</v>
      </c>
      <c r="K69" s="83" t="s">
        <v>160</v>
      </c>
      <c r="L69" s="84">
        <v>2.5499999999999998E-2</v>
      </c>
      <c r="M69" s="84">
        <v>1.4499999999999999E-2</v>
      </c>
      <c r="N69" s="77">
        <v>800749.09</v>
      </c>
      <c r="O69" s="79">
        <v>104.16</v>
      </c>
      <c r="P69" s="77">
        <v>834.06021999999996</v>
      </c>
      <c r="Q69" s="78">
        <f t="shared" si="1"/>
        <v>9.6560142823932816E-3</v>
      </c>
      <c r="R69" s="78">
        <f>P69/'סכום נכסי הקרן'!$C$42</f>
        <v>2.2988183787156274E-4</v>
      </c>
    </row>
    <row r="70" spans="2:18">
      <c r="B70" s="76" t="s">
        <v>2336</v>
      </c>
      <c r="C70" s="83" t="s">
        <v>2255</v>
      </c>
      <c r="D70" s="70">
        <v>458869</v>
      </c>
      <c r="E70" s="70"/>
      <c r="F70" s="70" t="s">
        <v>2258</v>
      </c>
      <c r="G70" s="97">
        <v>42759</v>
      </c>
      <c r="H70" s="70" t="s">
        <v>2252</v>
      </c>
      <c r="I70" s="77">
        <v>3.08</v>
      </c>
      <c r="J70" s="83" t="s">
        <v>147</v>
      </c>
      <c r="K70" s="83" t="s">
        <v>160</v>
      </c>
      <c r="L70" s="84">
        <v>3.8800000000000001E-2</v>
      </c>
      <c r="M70" s="84">
        <v>2.5300000000000003E-2</v>
      </c>
      <c r="N70" s="77">
        <v>800749.09</v>
      </c>
      <c r="O70" s="79">
        <v>105.94</v>
      </c>
      <c r="P70" s="77">
        <v>848.31361000000004</v>
      </c>
      <c r="Q70" s="78">
        <f t="shared" si="1"/>
        <v>9.821027472223293E-3</v>
      </c>
      <c r="R70" s="78">
        <f>P70/'סכום נכסי הקרן'!$C$42</f>
        <v>2.3381032577990608E-4</v>
      </c>
    </row>
    <row r="71" spans="2:18">
      <c r="B71" s="76" t="s">
        <v>2337</v>
      </c>
      <c r="C71" s="83" t="s">
        <v>2255</v>
      </c>
      <c r="D71" s="70">
        <v>2963</v>
      </c>
      <c r="E71" s="70"/>
      <c r="F71" s="70" t="s">
        <v>588</v>
      </c>
      <c r="G71" s="97">
        <v>41423</v>
      </c>
      <c r="H71" s="70" t="s">
        <v>156</v>
      </c>
      <c r="I71" s="77">
        <v>4.42</v>
      </c>
      <c r="J71" s="83" t="s">
        <v>352</v>
      </c>
      <c r="K71" s="83" t="s">
        <v>160</v>
      </c>
      <c r="L71" s="84">
        <v>0.05</v>
      </c>
      <c r="M71" s="84">
        <v>9.5000000000000015E-3</v>
      </c>
      <c r="N71" s="77">
        <v>236424.06</v>
      </c>
      <c r="O71" s="79">
        <v>119.93</v>
      </c>
      <c r="P71" s="77">
        <v>283.54338000000001</v>
      </c>
      <c r="Q71" s="78">
        <f t="shared" si="1"/>
        <v>3.2826154051059592E-3</v>
      </c>
      <c r="R71" s="78">
        <f>P71/'סכום נכסי הקרן'!$C$42</f>
        <v>7.8149600889387713E-5</v>
      </c>
    </row>
    <row r="72" spans="2:18">
      <c r="B72" s="76" t="s">
        <v>2337</v>
      </c>
      <c r="C72" s="83" t="s">
        <v>2255</v>
      </c>
      <c r="D72" s="70">
        <v>2968</v>
      </c>
      <c r="E72" s="70"/>
      <c r="F72" s="70" t="s">
        <v>588</v>
      </c>
      <c r="G72" s="97">
        <v>41423</v>
      </c>
      <c r="H72" s="70" t="s">
        <v>156</v>
      </c>
      <c r="I72" s="77">
        <v>4.42</v>
      </c>
      <c r="J72" s="83" t="s">
        <v>352</v>
      </c>
      <c r="K72" s="83" t="s">
        <v>160</v>
      </c>
      <c r="L72" s="84">
        <v>0.05</v>
      </c>
      <c r="M72" s="84">
        <v>9.499999999999998E-3</v>
      </c>
      <c r="N72" s="77">
        <v>76038.66</v>
      </c>
      <c r="O72" s="79">
        <v>119.93</v>
      </c>
      <c r="P72" s="77">
        <v>91.193169999999995</v>
      </c>
      <c r="Q72" s="78">
        <f t="shared" si="1"/>
        <v>1.0557541660201927E-3</v>
      </c>
      <c r="R72" s="78">
        <f>P72/'סכום נכסי הקרן'!$C$42</f>
        <v>2.5134460340206442E-5</v>
      </c>
    </row>
    <row r="73" spans="2:18">
      <c r="B73" s="76" t="s">
        <v>2337</v>
      </c>
      <c r="C73" s="83" t="s">
        <v>2255</v>
      </c>
      <c r="D73" s="70">
        <v>4605</v>
      </c>
      <c r="E73" s="70"/>
      <c r="F73" s="70" t="s">
        <v>588</v>
      </c>
      <c r="G73" s="97">
        <v>42352</v>
      </c>
      <c r="H73" s="70" t="s">
        <v>156</v>
      </c>
      <c r="I73" s="77">
        <v>6.58</v>
      </c>
      <c r="J73" s="83" t="s">
        <v>352</v>
      </c>
      <c r="K73" s="83" t="s">
        <v>160</v>
      </c>
      <c r="L73" s="84">
        <v>0.05</v>
      </c>
      <c r="M73" s="84">
        <v>1.7399999999999999E-2</v>
      </c>
      <c r="N73" s="77">
        <v>244264.76</v>
      </c>
      <c r="O73" s="79">
        <v>122.96</v>
      </c>
      <c r="P73" s="77">
        <v>300.34796</v>
      </c>
      <c r="Q73" s="78">
        <f t="shared" si="1"/>
        <v>3.4771640247363506E-3</v>
      </c>
      <c r="R73" s="78">
        <f>P73/'סכום נכסי הקרן'!$C$42</f>
        <v>8.2781242157520252E-5</v>
      </c>
    </row>
    <row r="74" spans="2:18">
      <c r="B74" s="76" t="s">
        <v>2337</v>
      </c>
      <c r="C74" s="83" t="s">
        <v>2255</v>
      </c>
      <c r="D74" s="70">
        <v>4606</v>
      </c>
      <c r="E74" s="70"/>
      <c r="F74" s="70" t="s">
        <v>588</v>
      </c>
      <c r="G74" s="97">
        <v>42352</v>
      </c>
      <c r="H74" s="70" t="s">
        <v>156</v>
      </c>
      <c r="I74" s="77">
        <v>8.6000000000000014</v>
      </c>
      <c r="J74" s="83" t="s">
        <v>352</v>
      </c>
      <c r="K74" s="83" t="s">
        <v>160</v>
      </c>
      <c r="L74" s="84">
        <v>4.0999999999999995E-2</v>
      </c>
      <c r="M74" s="84">
        <v>1.61E-2</v>
      </c>
      <c r="N74" s="77">
        <v>677129.05</v>
      </c>
      <c r="O74" s="79">
        <v>123.04</v>
      </c>
      <c r="P74" s="77">
        <v>833.13960999999995</v>
      </c>
      <c r="Q74" s="78">
        <f t="shared" si="1"/>
        <v>9.6453562710226946E-3</v>
      </c>
      <c r="R74" s="78">
        <f>P74/'סכום נכסי הקרן'!$C$42</f>
        <v>2.2962810137425931E-4</v>
      </c>
    </row>
    <row r="75" spans="2:18">
      <c r="B75" s="76" t="s">
        <v>2337</v>
      </c>
      <c r="C75" s="83" t="s">
        <v>2255</v>
      </c>
      <c r="D75" s="70">
        <v>5150</v>
      </c>
      <c r="E75" s="70"/>
      <c r="F75" s="70" t="s">
        <v>588</v>
      </c>
      <c r="G75" s="97">
        <v>42631</v>
      </c>
      <c r="H75" s="70" t="s">
        <v>156</v>
      </c>
      <c r="I75" s="77">
        <v>8.44</v>
      </c>
      <c r="J75" s="83" t="s">
        <v>352</v>
      </c>
      <c r="K75" s="83" t="s">
        <v>160</v>
      </c>
      <c r="L75" s="84">
        <v>4.0999999999999995E-2</v>
      </c>
      <c r="M75" s="84">
        <v>2.23E-2</v>
      </c>
      <c r="N75" s="77">
        <v>200938.58</v>
      </c>
      <c r="O75" s="79">
        <v>117.3</v>
      </c>
      <c r="P75" s="77">
        <v>235.70095000000001</v>
      </c>
      <c r="Q75" s="78">
        <f t="shared" si="1"/>
        <v>2.7287379076461225E-3</v>
      </c>
      <c r="R75" s="78">
        <f>P75/'סכום נכסי הקרן'!$C$42</f>
        <v>6.4963375874793931E-5</v>
      </c>
    </row>
    <row r="76" spans="2:18">
      <c r="B76" s="76" t="s">
        <v>2338</v>
      </c>
      <c r="C76" s="83" t="s">
        <v>2254</v>
      </c>
      <c r="D76" s="70">
        <v>90840002</v>
      </c>
      <c r="E76" s="70"/>
      <c r="F76" s="70" t="s">
        <v>588</v>
      </c>
      <c r="G76" s="97">
        <v>43011</v>
      </c>
      <c r="H76" s="70" t="s">
        <v>156</v>
      </c>
      <c r="I76" s="77">
        <v>7.9600000000000009</v>
      </c>
      <c r="J76" s="83" t="s">
        <v>2257</v>
      </c>
      <c r="K76" s="83" t="s">
        <v>160</v>
      </c>
      <c r="L76" s="84">
        <v>3.9E-2</v>
      </c>
      <c r="M76" s="84">
        <v>3.32E-2</v>
      </c>
      <c r="N76" s="77">
        <v>159026.96</v>
      </c>
      <c r="O76" s="79">
        <v>106</v>
      </c>
      <c r="P76" s="77">
        <v>168.56858</v>
      </c>
      <c r="Q76" s="78">
        <f t="shared" si="1"/>
        <v>1.951538482488416E-3</v>
      </c>
      <c r="R76" s="78">
        <f>P76/'סכום נכסי הקרן'!$C$42</f>
        <v>4.6460500151655185E-5</v>
      </c>
    </row>
    <row r="77" spans="2:18">
      <c r="B77" s="76" t="s">
        <v>2338</v>
      </c>
      <c r="C77" s="83" t="s">
        <v>2254</v>
      </c>
      <c r="D77" s="70">
        <v>90840004</v>
      </c>
      <c r="E77" s="70"/>
      <c r="F77" s="70" t="s">
        <v>588</v>
      </c>
      <c r="G77" s="97">
        <v>43104</v>
      </c>
      <c r="H77" s="70" t="s">
        <v>156</v>
      </c>
      <c r="I77" s="77">
        <v>7.9399999999999986</v>
      </c>
      <c r="J77" s="83" t="s">
        <v>2257</v>
      </c>
      <c r="K77" s="83" t="s">
        <v>160</v>
      </c>
      <c r="L77" s="84">
        <v>3.8199999999999998E-2</v>
      </c>
      <c r="M77" s="84">
        <v>3.8199999999999991E-2</v>
      </c>
      <c r="N77" s="77">
        <v>282909.68</v>
      </c>
      <c r="O77" s="79">
        <v>99.27</v>
      </c>
      <c r="P77" s="77">
        <v>280.84446000000003</v>
      </c>
      <c r="Q77" s="78">
        <f t="shared" si="1"/>
        <v>3.2513696875401022E-3</v>
      </c>
      <c r="R77" s="78">
        <f>P77/'סכום נכסי הקרן'!$C$42</f>
        <v>7.7405730512895816E-5</v>
      </c>
    </row>
    <row r="78" spans="2:18">
      <c r="B78" s="76" t="s">
        <v>2338</v>
      </c>
      <c r="C78" s="83" t="s">
        <v>2254</v>
      </c>
      <c r="D78" s="70">
        <v>90840006</v>
      </c>
      <c r="E78" s="70"/>
      <c r="F78" s="70" t="s">
        <v>588</v>
      </c>
      <c r="G78" s="97">
        <v>43194</v>
      </c>
      <c r="H78" s="70" t="s">
        <v>156</v>
      </c>
      <c r="I78" s="77">
        <v>8</v>
      </c>
      <c r="J78" s="83" t="s">
        <v>2257</v>
      </c>
      <c r="K78" s="83" t="s">
        <v>160</v>
      </c>
      <c r="L78" s="84">
        <v>3.7900000000000003E-2</v>
      </c>
      <c r="M78" s="84">
        <v>3.2899999999999999E-2</v>
      </c>
      <c r="N78" s="77">
        <v>182613.96</v>
      </c>
      <c r="O78" s="79">
        <v>103.49</v>
      </c>
      <c r="P78" s="77">
        <v>188.9872</v>
      </c>
      <c r="Q78" s="78">
        <f t="shared" si="1"/>
        <v>2.1879272726728479E-3</v>
      </c>
      <c r="R78" s="78">
        <f>P78/'סכום נכסי הקרן'!$C$42</f>
        <v>5.20882351518942E-5</v>
      </c>
    </row>
    <row r="79" spans="2:18">
      <c r="B79" s="76" t="s">
        <v>2338</v>
      </c>
      <c r="C79" s="83" t="s">
        <v>2254</v>
      </c>
      <c r="D79" s="70">
        <v>90840008</v>
      </c>
      <c r="E79" s="70"/>
      <c r="F79" s="70" t="s">
        <v>588</v>
      </c>
      <c r="G79" s="97">
        <v>43285</v>
      </c>
      <c r="H79" s="70" t="s">
        <v>156</v>
      </c>
      <c r="I79" s="77">
        <v>7.9799999999999995</v>
      </c>
      <c r="J79" s="83" t="s">
        <v>2257</v>
      </c>
      <c r="K79" s="83" t="s">
        <v>160</v>
      </c>
      <c r="L79" s="84">
        <v>4.0099999999999997E-2</v>
      </c>
      <c r="M79" s="84">
        <v>3.2799999999999996E-2</v>
      </c>
      <c r="N79" s="77">
        <v>242824.56</v>
      </c>
      <c r="O79" s="79">
        <v>104.16</v>
      </c>
      <c r="P79" s="77">
        <v>252.92606000000001</v>
      </c>
      <c r="Q79" s="78">
        <f t="shared" si="1"/>
        <v>2.9281550530601496E-3</v>
      </c>
      <c r="R79" s="78">
        <f>P79/'סכום נכסי הקרן'!$C$42</f>
        <v>6.9710922693823183E-5</v>
      </c>
    </row>
    <row r="80" spans="2:18">
      <c r="B80" s="76" t="s">
        <v>2338</v>
      </c>
      <c r="C80" s="83" t="s">
        <v>2254</v>
      </c>
      <c r="D80" s="70">
        <v>90840010</v>
      </c>
      <c r="E80" s="70"/>
      <c r="F80" s="70" t="s">
        <v>588</v>
      </c>
      <c r="G80" s="97">
        <v>43377</v>
      </c>
      <c r="H80" s="70" t="s">
        <v>156</v>
      </c>
      <c r="I80" s="77">
        <v>7.96</v>
      </c>
      <c r="J80" s="83" t="s">
        <v>2257</v>
      </c>
      <c r="K80" s="83" t="s">
        <v>160</v>
      </c>
      <c r="L80" s="84">
        <v>3.9699999999999999E-2</v>
      </c>
      <c r="M80" s="84">
        <v>3.4800000000000005E-2</v>
      </c>
      <c r="N80" s="77">
        <v>485773.3</v>
      </c>
      <c r="O80" s="79">
        <v>102.28</v>
      </c>
      <c r="P80" s="77">
        <v>496.84894000000003</v>
      </c>
      <c r="Q80" s="78">
        <f t="shared" si="1"/>
        <v>5.7520792213684073E-3</v>
      </c>
      <c r="R80" s="78">
        <f>P80/'סכום נכסי הקרן'!$C$42</f>
        <v>1.369404087773636E-4</v>
      </c>
    </row>
    <row r="81" spans="2:18">
      <c r="B81" s="76" t="s">
        <v>2338</v>
      </c>
      <c r="C81" s="83" t="s">
        <v>2254</v>
      </c>
      <c r="D81" s="70">
        <v>90840012</v>
      </c>
      <c r="E81" s="70"/>
      <c r="F81" s="70" t="s">
        <v>588</v>
      </c>
      <c r="G81" s="97">
        <v>43469</v>
      </c>
      <c r="H81" s="70" t="s">
        <v>156</v>
      </c>
      <c r="I81" s="77">
        <v>9.6399999999999988</v>
      </c>
      <c r="J81" s="83" t="s">
        <v>2257</v>
      </c>
      <c r="K81" s="83" t="s">
        <v>160</v>
      </c>
      <c r="L81" s="84">
        <v>4.1700000000000001E-2</v>
      </c>
      <c r="M81" s="84">
        <v>2.5099999999999997E-2</v>
      </c>
      <c r="N81" s="77">
        <v>342135.82</v>
      </c>
      <c r="O81" s="79">
        <v>114.26</v>
      </c>
      <c r="P81" s="77">
        <v>390.92439000000002</v>
      </c>
      <c r="Q81" s="78">
        <f t="shared" si="1"/>
        <v>4.5257781184863139E-3</v>
      </c>
      <c r="R81" s="78">
        <f>P81/'סכום נכסי הקרן'!$C$42</f>
        <v>1.0774571797947585E-4</v>
      </c>
    </row>
    <row r="82" spans="2:18">
      <c r="B82" s="76" t="s">
        <v>2338</v>
      </c>
      <c r="C82" s="83" t="s">
        <v>2254</v>
      </c>
      <c r="D82" s="70">
        <v>90840013</v>
      </c>
      <c r="E82" s="70"/>
      <c r="F82" s="70" t="s">
        <v>588</v>
      </c>
      <c r="G82" s="97">
        <v>43559</v>
      </c>
      <c r="H82" s="70" t="s">
        <v>156</v>
      </c>
      <c r="I82" s="77">
        <v>9.58</v>
      </c>
      <c r="J82" s="83" t="s">
        <v>2257</v>
      </c>
      <c r="K82" s="83" t="s">
        <v>160</v>
      </c>
      <c r="L82" s="84">
        <v>3.7200000000000004E-2</v>
      </c>
      <c r="M82" s="84">
        <v>3.0700000000000002E-2</v>
      </c>
      <c r="N82" s="77">
        <v>817854.39</v>
      </c>
      <c r="O82" s="79">
        <v>104.01</v>
      </c>
      <c r="P82" s="77">
        <v>850.65038000000004</v>
      </c>
      <c r="Q82" s="78">
        <f t="shared" si="1"/>
        <v>9.8480805362030962E-3</v>
      </c>
      <c r="R82" s="78">
        <f>P82/'סכום נכסי הקרן'!$C$42</f>
        <v>2.3445438117231305E-4</v>
      </c>
    </row>
    <row r="83" spans="2:18">
      <c r="B83" s="76" t="s">
        <v>2338</v>
      </c>
      <c r="C83" s="83" t="s">
        <v>2254</v>
      </c>
      <c r="D83" s="70">
        <v>90840014</v>
      </c>
      <c r="E83" s="70"/>
      <c r="F83" s="70" t="s">
        <v>588</v>
      </c>
      <c r="G83" s="97">
        <v>43742</v>
      </c>
      <c r="H83" s="70" t="s">
        <v>156</v>
      </c>
      <c r="I83" s="77">
        <v>9.3899999999999988</v>
      </c>
      <c r="J83" s="83" t="s">
        <v>2257</v>
      </c>
      <c r="K83" s="83" t="s">
        <v>160</v>
      </c>
      <c r="L83" s="84">
        <v>3.1E-2</v>
      </c>
      <c r="M83" s="84">
        <v>4.1100000000000005E-2</v>
      </c>
      <c r="N83" s="77">
        <v>960976.94</v>
      </c>
      <c r="O83" s="79">
        <v>91.47</v>
      </c>
      <c r="P83" s="77">
        <v>879.00560999999993</v>
      </c>
      <c r="Q83" s="78">
        <f t="shared" si="1"/>
        <v>1.0176352403503692E-2</v>
      </c>
      <c r="R83" s="78">
        <f>P83/'סכום נכסי הקרן'!$C$42</f>
        <v>2.4226958711232399E-4</v>
      </c>
    </row>
    <row r="84" spans="2:18">
      <c r="B84" s="76" t="s">
        <v>2338</v>
      </c>
      <c r="C84" s="83" t="s">
        <v>2254</v>
      </c>
      <c r="D84" s="70">
        <v>90840015</v>
      </c>
      <c r="E84" s="70"/>
      <c r="F84" s="70" t="s">
        <v>588</v>
      </c>
      <c r="G84" s="97">
        <v>43924</v>
      </c>
      <c r="H84" s="70" t="s">
        <v>156</v>
      </c>
      <c r="I84" s="77">
        <v>9.98</v>
      </c>
      <c r="J84" s="83" t="s">
        <v>2257</v>
      </c>
      <c r="K84" s="83" t="s">
        <v>160</v>
      </c>
      <c r="L84" s="84">
        <v>3.1400000000000004E-2</v>
      </c>
      <c r="M84" s="84">
        <v>1.9299999999999998E-2</v>
      </c>
      <c r="N84" s="77">
        <v>195397.33</v>
      </c>
      <c r="O84" s="79">
        <v>109.87</v>
      </c>
      <c r="P84" s="77">
        <v>214.68304000000001</v>
      </c>
      <c r="Q84" s="78">
        <f>P84/$P$10</f>
        <v>2.4854110659151304E-3</v>
      </c>
      <c r="R84" s="78">
        <f>P84/'סכום נכסי הקרן'!$C$42</f>
        <v>5.9170465886808777E-5</v>
      </c>
    </row>
    <row r="85" spans="2:18">
      <c r="B85" s="76" t="s">
        <v>2338</v>
      </c>
      <c r="C85" s="83" t="s">
        <v>2254</v>
      </c>
      <c r="D85" s="70">
        <v>90840000</v>
      </c>
      <c r="E85" s="70"/>
      <c r="F85" s="70" t="s">
        <v>588</v>
      </c>
      <c r="G85" s="97">
        <v>42935</v>
      </c>
      <c r="H85" s="70" t="s">
        <v>156</v>
      </c>
      <c r="I85" s="77">
        <v>9.5400000000000009</v>
      </c>
      <c r="J85" s="83" t="s">
        <v>2257</v>
      </c>
      <c r="K85" s="83" t="s">
        <v>160</v>
      </c>
      <c r="L85" s="84">
        <v>4.0800000000000003E-2</v>
      </c>
      <c r="M85" s="84">
        <v>2.9899999999999996E-2</v>
      </c>
      <c r="N85" s="77">
        <v>742898.4</v>
      </c>
      <c r="O85" s="79">
        <v>109.59</v>
      </c>
      <c r="P85" s="77">
        <v>814.14229</v>
      </c>
      <c r="Q85" s="78">
        <f t="shared" si="1"/>
        <v>9.4254220398382899E-3</v>
      </c>
      <c r="R85" s="78">
        <f>P85/'סכום נכסי הקרן'!$C$42</f>
        <v>2.2439210194458482E-4</v>
      </c>
    </row>
    <row r="86" spans="2:18">
      <c r="B86" s="76" t="s">
        <v>2339</v>
      </c>
      <c r="C86" s="83" t="s">
        <v>2255</v>
      </c>
      <c r="D86" s="70">
        <v>4099</v>
      </c>
      <c r="E86" s="70"/>
      <c r="F86" s="70" t="s">
        <v>588</v>
      </c>
      <c r="G86" s="97">
        <v>42052</v>
      </c>
      <c r="H86" s="70" t="s">
        <v>156</v>
      </c>
      <c r="I86" s="77">
        <v>5.12</v>
      </c>
      <c r="J86" s="83" t="s">
        <v>416</v>
      </c>
      <c r="K86" s="83" t="s">
        <v>160</v>
      </c>
      <c r="L86" s="84">
        <v>2.9779E-2</v>
      </c>
      <c r="M86" s="84">
        <v>2.8199999999999999E-2</v>
      </c>
      <c r="N86" s="77">
        <v>431148.66</v>
      </c>
      <c r="O86" s="79">
        <v>102.43</v>
      </c>
      <c r="P86" s="77">
        <v>441.62559000000005</v>
      </c>
      <c r="Q86" s="78">
        <f t="shared" si="1"/>
        <v>5.1127519359577657E-3</v>
      </c>
      <c r="R86" s="78">
        <f>P86/'סכום נכסי הקרן'!$C$42</f>
        <v>1.2171987087492707E-4</v>
      </c>
    </row>
    <row r="87" spans="2:18">
      <c r="B87" s="76" t="s">
        <v>2339</v>
      </c>
      <c r="C87" s="83" t="s">
        <v>2255</v>
      </c>
      <c r="D87" s="70">
        <v>40999</v>
      </c>
      <c r="E87" s="70"/>
      <c r="F87" s="70" t="s">
        <v>588</v>
      </c>
      <c r="G87" s="97">
        <v>42054</v>
      </c>
      <c r="H87" s="70" t="s">
        <v>156</v>
      </c>
      <c r="I87" s="77">
        <v>5.12</v>
      </c>
      <c r="J87" s="83" t="s">
        <v>416</v>
      </c>
      <c r="K87" s="83" t="s">
        <v>160</v>
      </c>
      <c r="L87" s="84">
        <v>2.9779E-2</v>
      </c>
      <c r="M87" s="84">
        <v>2.8200000000000003E-2</v>
      </c>
      <c r="N87" s="77">
        <v>12193.12</v>
      </c>
      <c r="O87" s="79">
        <v>102.43</v>
      </c>
      <c r="P87" s="77">
        <v>12.489420000000001</v>
      </c>
      <c r="Q87" s="78">
        <f t="shared" si="1"/>
        <v>1.4459149951883367E-4</v>
      </c>
      <c r="R87" s="78">
        <f>P87/'סכום נכסי הקרן'!$C$42</f>
        <v>3.4423063883203224E-6</v>
      </c>
    </row>
    <row r="88" spans="2:18">
      <c r="B88" s="76" t="s">
        <v>2328</v>
      </c>
      <c r="C88" s="83" t="s">
        <v>2255</v>
      </c>
      <c r="D88" s="70">
        <v>14760844</v>
      </c>
      <c r="E88" s="70"/>
      <c r="F88" s="70" t="s">
        <v>2259</v>
      </c>
      <c r="G88" s="97">
        <v>40742</v>
      </c>
      <c r="H88" s="70" t="s">
        <v>2252</v>
      </c>
      <c r="I88" s="77">
        <v>7.33</v>
      </c>
      <c r="J88" s="83" t="s">
        <v>352</v>
      </c>
      <c r="K88" s="83" t="s">
        <v>160</v>
      </c>
      <c r="L88" s="84">
        <v>0.06</v>
      </c>
      <c r="M88" s="84">
        <v>3.0000000000000005E-3</v>
      </c>
      <c r="N88" s="77">
        <v>943574.46</v>
      </c>
      <c r="O88" s="79">
        <v>155.51</v>
      </c>
      <c r="P88" s="77">
        <v>1467.3526399999998</v>
      </c>
      <c r="Q88" s="78">
        <f t="shared" si="1"/>
        <v>1.6987715885967425E-2</v>
      </c>
      <c r="R88" s="78">
        <f>P88/'סכום נכסי הקרן'!$C$42</f>
        <v>4.0442849760763026E-4</v>
      </c>
    </row>
    <row r="89" spans="2:18">
      <c r="B89" s="76" t="s">
        <v>2340</v>
      </c>
      <c r="C89" s="83" t="s">
        <v>2254</v>
      </c>
      <c r="D89" s="70">
        <v>90136004</v>
      </c>
      <c r="E89" s="70"/>
      <c r="F89" s="70" t="s">
        <v>2259</v>
      </c>
      <c r="G89" s="97">
        <v>42521</v>
      </c>
      <c r="H89" s="70" t="s">
        <v>2252</v>
      </c>
      <c r="I89" s="77">
        <v>3.21</v>
      </c>
      <c r="J89" s="83" t="s">
        <v>152</v>
      </c>
      <c r="K89" s="83" t="s">
        <v>160</v>
      </c>
      <c r="L89" s="84">
        <v>2.3E-2</v>
      </c>
      <c r="M89" s="84">
        <v>3.0800000000000001E-2</v>
      </c>
      <c r="N89" s="77">
        <v>266892.51</v>
      </c>
      <c r="O89" s="79">
        <v>99.22</v>
      </c>
      <c r="P89" s="77">
        <v>264.81074999999998</v>
      </c>
      <c r="Q89" s="78">
        <f t="shared" ref="Q89:Q152" si="2">P89/$P$10</f>
        <v>3.0657455215059607E-3</v>
      </c>
      <c r="R89" s="78">
        <f>P89/'סכום נכסי הקרן'!$C$42</f>
        <v>7.2986554733598177E-5</v>
      </c>
    </row>
    <row r="90" spans="2:18">
      <c r="B90" s="76" t="s">
        <v>2341</v>
      </c>
      <c r="C90" s="83" t="s">
        <v>2255</v>
      </c>
      <c r="D90" s="70">
        <v>414968</v>
      </c>
      <c r="E90" s="70"/>
      <c r="F90" s="70" t="s">
        <v>588</v>
      </c>
      <c r="G90" s="97">
        <v>42432</v>
      </c>
      <c r="H90" s="70" t="s">
        <v>156</v>
      </c>
      <c r="I90" s="77">
        <v>5.8099999999999987</v>
      </c>
      <c r="J90" s="83" t="s">
        <v>416</v>
      </c>
      <c r="K90" s="83" t="s">
        <v>160</v>
      </c>
      <c r="L90" s="84">
        <v>2.5399999999999999E-2</v>
      </c>
      <c r="M90" s="84">
        <v>8.5000000000000006E-3</v>
      </c>
      <c r="N90" s="77">
        <v>902772.84</v>
      </c>
      <c r="O90" s="79">
        <v>112.24</v>
      </c>
      <c r="P90" s="77">
        <v>1013.27228</v>
      </c>
      <c r="Q90" s="78">
        <f t="shared" si="2"/>
        <v>1.1730773597658457E-2</v>
      </c>
      <c r="R90" s="78">
        <f>P90/'סכום נכסי הקרן'!$C$42</f>
        <v>2.792758705009439E-4</v>
      </c>
    </row>
    <row r="91" spans="2:18">
      <c r="B91" s="76" t="s">
        <v>2342</v>
      </c>
      <c r="C91" s="83" t="s">
        <v>2255</v>
      </c>
      <c r="D91" s="70">
        <v>7134</v>
      </c>
      <c r="E91" s="70"/>
      <c r="F91" s="70" t="s">
        <v>588</v>
      </c>
      <c r="G91" s="97">
        <v>43705</v>
      </c>
      <c r="H91" s="70" t="s">
        <v>156</v>
      </c>
      <c r="I91" s="77">
        <v>6.4799999999999995</v>
      </c>
      <c r="J91" s="83" t="s">
        <v>416</v>
      </c>
      <c r="K91" s="83" t="s">
        <v>160</v>
      </c>
      <c r="L91" s="84">
        <v>0.04</v>
      </c>
      <c r="M91" s="84">
        <v>4.1900000000000007E-2</v>
      </c>
      <c r="N91" s="77">
        <v>63762.879999999997</v>
      </c>
      <c r="O91" s="79">
        <v>99.06</v>
      </c>
      <c r="P91" s="77">
        <v>63.163510000000002</v>
      </c>
      <c r="Q91" s="78">
        <f t="shared" si="2"/>
        <v>7.3125146129867085E-4</v>
      </c>
      <c r="R91" s="78">
        <f>P91/'סכום נכסי הקרן'!$C$42</f>
        <v>1.7408987285377109E-5</v>
      </c>
    </row>
    <row r="92" spans="2:18">
      <c r="B92" s="76" t="s">
        <v>2342</v>
      </c>
      <c r="C92" s="83" t="s">
        <v>2255</v>
      </c>
      <c r="D92" s="70">
        <v>487742</v>
      </c>
      <c r="E92" s="70"/>
      <c r="F92" s="70" t="s">
        <v>588</v>
      </c>
      <c r="G92" s="97">
        <v>43256</v>
      </c>
      <c r="H92" s="70" t="s">
        <v>156</v>
      </c>
      <c r="I92" s="77">
        <v>6.5399999999999991</v>
      </c>
      <c r="J92" s="83" t="s">
        <v>416</v>
      </c>
      <c r="K92" s="83" t="s">
        <v>160</v>
      </c>
      <c r="L92" s="84">
        <v>0.04</v>
      </c>
      <c r="M92" s="84">
        <v>3.8299999999999994E-2</v>
      </c>
      <c r="N92" s="77">
        <v>1047618.58</v>
      </c>
      <c r="O92" s="79">
        <v>101.71</v>
      </c>
      <c r="P92" s="77">
        <v>1065.5328400000001</v>
      </c>
      <c r="Q92" s="78">
        <f t="shared" si="2"/>
        <v>1.233580031115628E-2</v>
      </c>
      <c r="R92" s="78">
        <f>P92/'סכום נכסי הקרן'!$C$42</f>
        <v>2.9367981075959458E-4</v>
      </c>
    </row>
    <row r="93" spans="2:18">
      <c r="B93" s="76" t="s">
        <v>2343</v>
      </c>
      <c r="C93" s="83" t="s">
        <v>2254</v>
      </c>
      <c r="D93" s="70">
        <v>90240690</v>
      </c>
      <c r="E93" s="70"/>
      <c r="F93" s="70" t="s">
        <v>588</v>
      </c>
      <c r="G93" s="97">
        <v>42326</v>
      </c>
      <c r="H93" s="70" t="s">
        <v>156</v>
      </c>
      <c r="I93" s="77">
        <v>9.85</v>
      </c>
      <c r="J93" s="83" t="s">
        <v>416</v>
      </c>
      <c r="K93" s="83" t="s">
        <v>160</v>
      </c>
      <c r="L93" s="84">
        <v>3.4000000000000002E-2</v>
      </c>
      <c r="M93" s="84">
        <v>1.67E-2</v>
      </c>
      <c r="N93" s="77">
        <v>24387.33</v>
      </c>
      <c r="O93" s="79">
        <v>118.87</v>
      </c>
      <c r="P93" s="77">
        <v>28.989570000000001</v>
      </c>
      <c r="Q93" s="78">
        <f t="shared" si="2"/>
        <v>3.3561569686231985E-4</v>
      </c>
      <c r="R93" s="78">
        <f>P93/'סכום נכסי הקרן'!$C$42</f>
        <v>7.9900413314356611E-6</v>
      </c>
    </row>
    <row r="94" spans="2:18">
      <c r="B94" s="76" t="s">
        <v>2343</v>
      </c>
      <c r="C94" s="83" t="s">
        <v>2254</v>
      </c>
      <c r="D94" s="70">
        <v>90240692</v>
      </c>
      <c r="E94" s="70"/>
      <c r="F94" s="70" t="s">
        <v>588</v>
      </c>
      <c r="G94" s="97">
        <v>42606</v>
      </c>
      <c r="H94" s="70" t="s">
        <v>156</v>
      </c>
      <c r="I94" s="77">
        <v>9.7200000000000006</v>
      </c>
      <c r="J94" s="83" t="s">
        <v>416</v>
      </c>
      <c r="K94" s="83" t="s">
        <v>160</v>
      </c>
      <c r="L94" s="84">
        <v>3.4000000000000002E-2</v>
      </c>
      <c r="M94" s="84">
        <v>2.0299999999999999E-2</v>
      </c>
      <c r="N94" s="77">
        <v>102579.86</v>
      </c>
      <c r="O94" s="79">
        <v>114.76</v>
      </c>
      <c r="P94" s="77">
        <v>117.72067</v>
      </c>
      <c r="Q94" s="78">
        <f t="shared" si="2"/>
        <v>1.3628661859126986E-3</v>
      </c>
      <c r="R94" s="78">
        <f>P94/'סכום נכסי הקרן'!$C$42</f>
        <v>3.2445911369651152E-5</v>
      </c>
    </row>
    <row r="95" spans="2:18">
      <c r="B95" s="76" t="s">
        <v>2343</v>
      </c>
      <c r="C95" s="83" t="s">
        <v>2254</v>
      </c>
      <c r="D95" s="70">
        <v>90240693</v>
      </c>
      <c r="E95" s="70"/>
      <c r="F95" s="70" t="s">
        <v>588</v>
      </c>
      <c r="G95" s="97">
        <v>42648</v>
      </c>
      <c r="H95" s="70" t="s">
        <v>156</v>
      </c>
      <c r="I95" s="77">
        <v>9.7200000000000006</v>
      </c>
      <c r="J95" s="83" t="s">
        <v>416</v>
      </c>
      <c r="K95" s="83" t="s">
        <v>160</v>
      </c>
      <c r="L95" s="84">
        <v>3.4000000000000002E-2</v>
      </c>
      <c r="M95" s="84">
        <v>2.0400000000000001E-2</v>
      </c>
      <c r="N95" s="77">
        <v>94097.09</v>
      </c>
      <c r="O95" s="79">
        <v>114.71</v>
      </c>
      <c r="P95" s="77">
        <v>107.93865</v>
      </c>
      <c r="Q95" s="78">
        <f t="shared" si="2"/>
        <v>1.2496185779274421E-3</v>
      </c>
      <c r="R95" s="78">
        <f>P95/'סכום נכסי הקרן'!$C$42</f>
        <v>2.9749812596715569E-5</v>
      </c>
    </row>
    <row r="96" spans="2:18">
      <c r="B96" s="76" t="s">
        <v>2343</v>
      </c>
      <c r="C96" s="83" t="s">
        <v>2254</v>
      </c>
      <c r="D96" s="70">
        <v>90240694</v>
      </c>
      <c r="E96" s="70"/>
      <c r="F96" s="70" t="s">
        <v>588</v>
      </c>
      <c r="G96" s="97">
        <v>42718</v>
      </c>
      <c r="H96" s="70" t="s">
        <v>156</v>
      </c>
      <c r="I96" s="77">
        <v>9.67</v>
      </c>
      <c r="J96" s="83" t="s">
        <v>416</v>
      </c>
      <c r="K96" s="83" t="s">
        <v>160</v>
      </c>
      <c r="L96" s="84">
        <v>3.4000000000000002E-2</v>
      </c>
      <c r="M96" s="84">
        <v>2.1700000000000001E-2</v>
      </c>
      <c r="N96" s="77">
        <v>65743.27</v>
      </c>
      <c r="O96" s="79">
        <v>113.26</v>
      </c>
      <c r="P96" s="77">
        <v>74.461020000000005</v>
      </c>
      <c r="Q96" s="78">
        <f t="shared" si="2"/>
        <v>8.6204407710701247E-4</v>
      </c>
      <c r="R96" s="78">
        <f>P96/'סכום נכסי הקרן'!$C$42</f>
        <v>2.0522782068890894E-5</v>
      </c>
    </row>
    <row r="97" spans="2:18">
      <c r="B97" s="76" t="s">
        <v>2343</v>
      </c>
      <c r="C97" s="83" t="s">
        <v>2254</v>
      </c>
      <c r="D97" s="70">
        <v>90240695</v>
      </c>
      <c r="E97" s="70"/>
      <c r="F97" s="70" t="s">
        <v>588</v>
      </c>
      <c r="G97" s="97">
        <v>42900</v>
      </c>
      <c r="H97" s="70" t="s">
        <v>156</v>
      </c>
      <c r="I97" s="77">
        <v>9.4</v>
      </c>
      <c r="J97" s="83" t="s">
        <v>416</v>
      </c>
      <c r="K97" s="83" t="s">
        <v>160</v>
      </c>
      <c r="L97" s="84">
        <v>3.4000000000000002E-2</v>
      </c>
      <c r="M97" s="84">
        <v>2.9899999999999996E-2</v>
      </c>
      <c r="N97" s="77">
        <v>77875.41</v>
      </c>
      <c r="O97" s="79">
        <v>105.01</v>
      </c>
      <c r="P97" s="77">
        <v>81.776600000000002</v>
      </c>
      <c r="Q97" s="78">
        <f t="shared" si="2"/>
        <v>9.4673741611314645E-4</v>
      </c>
      <c r="R97" s="78">
        <f>P97/'סכום נכסי הקרן'!$C$42</f>
        <v>2.2539086090075893E-5</v>
      </c>
    </row>
    <row r="98" spans="2:18">
      <c r="B98" s="76" t="s">
        <v>2343</v>
      </c>
      <c r="C98" s="83" t="s">
        <v>2254</v>
      </c>
      <c r="D98" s="70">
        <v>90240696</v>
      </c>
      <c r="E98" s="70"/>
      <c r="F98" s="70" t="s">
        <v>588</v>
      </c>
      <c r="G98" s="97">
        <v>43075</v>
      </c>
      <c r="H98" s="70" t="s">
        <v>156</v>
      </c>
      <c r="I98" s="77">
        <v>9.15</v>
      </c>
      <c r="J98" s="83" t="s">
        <v>416</v>
      </c>
      <c r="K98" s="83" t="s">
        <v>160</v>
      </c>
      <c r="L98" s="84">
        <v>3.4000000000000002E-2</v>
      </c>
      <c r="M98" s="84">
        <v>3.7199999999999997E-2</v>
      </c>
      <c r="N98" s="77">
        <v>48322.13</v>
      </c>
      <c r="O98" s="79">
        <v>98.33</v>
      </c>
      <c r="P98" s="77">
        <v>47.515230000000003</v>
      </c>
      <c r="Q98" s="78">
        <f t="shared" si="2"/>
        <v>5.5008946417706118E-4</v>
      </c>
      <c r="R98" s="78">
        <f>P98/'סכום נכסי הקרן'!$C$42</f>
        <v>1.3096042872407962E-5</v>
      </c>
    </row>
    <row r="99" spans="2:18">
      <c r="B99" s="76" t="s">
        <v>2343</v>
      </c>
      <c r="C99" s="83" t="s">
        <v>2254</v>
      </c>
      <c r="D99" s="70">
        <v>90240697</v>
      </c>
      <c r="E99" s="70"/>
      <c r="F99" s="70" t="s">
        <v>588</v>
      </c>
      <c r="G99" s="97">
        <v>43292</v>
      </c>
      <c r="H99" s="70" t="s">
        <v>156</v>
      </c>
      <c r="I99" s="77">
        <v>9.370000000000001</v>
      </c>
      <c r="J99" s="83" t="s">
        <v>416</v>
      </c>
      <c r="K99" s="83" t="s">
        <v>160</v>
      </c>
      <c r="L99" s="84">
        <v>3.4000000000000002E-2</v>
      </c>
      <c r="M99" s="84">
        <v>3.0900000000000004E-2</v>
      </c>
      <c r="N99" s="77">
        <v>131763.45000000001</v>
      </c>
      <c r="O99" s="79">
        <v>104.05</v>
      </c>
      <c r="P99" s="77">
        <v>137.09979999999999</v>
      </c>
      <c r="Q99" s="78">
        <f t="shared" si="2"/>
        <v>1.587220676839452E-3</v>
      </c>
      <c r="R99" s="78">
        <f>P99/'סכום נכסי הקרן'!$C$42</f>
        <v>3.7787144429239987E-5</v>
      </c>
    </row>
    <row r="100" spans="2:18">
      <c r="B100" s="76" t="s">
        <v>2344</v>
      </c>
      <c r="C100" s="83" t="s">
        <v>2254</v>
      </c>
      <c r="D100" s="70">
        <v>90240790</v>
      </c>
      <c r="E100" s="70"/>
      <c r="F100" s="70" t="s">
        <v>588</v>
      </c>
      <c r="G100" s="97">
        <v>42326</v>
      </c>
      <c r="H100" s="70" t="s">
        <v>156</v>
      </c>
      <c r="I100" s="77">
        <v>9.57</v>
      </c>
      <c r="J100" s="83" t="s">
        <v>416</v>
      </c>
      <c r="K100" s="83" t="s">
        <v>160</v>
      </c>
      <c r="L100" s="84">
        <v>3.4000000000000002E-2</v>
      </c>
      <c r="M100" s="84">
        <v>2.46E-2</v>
      </c>
      <c r="N100" s="77">
        <v>54281.46</v>
      </c>
      <c r="O100" s="79">
        <v>110.26</v>
      </c>
      <c r="P100" s="77">
        <v>59.850550000000005</v>
      </c>
      <c r="Q100" s="78">
        <f t="shared" si="2"/>
        <v>6.9289692968343855E-4</v>
      </c>
      <c r="R100" s="78">
        <f>P100/'סכום נכסי הקרן'!$C$42</f>
        <v>1.6495876558678056E-5</v>
      </c>
    </row>
    <row r="101" spans="2:18">
      <c r="B101" s="76" t="s">
        <v>2344</v>
      </c>
      <c r="C101" s="83" t="s">
        <v>2254</v>
      </c>
      <c r="D101" s="70">
        <v>90240792</v>
      </c>
      <c r="E101" s="70"/>
      <c r="F101" s="70" t="s">
        <v>588</v>
      </c>
      <c r="G101" s="97">
        <v>42606</v>
      </c>
      <c r="H101" s="70" t="s">
        <v>156</v>
      </c>
      <c r="I101" s="77">
        <v>9.4799999999999986</v>
      </c>
      <c r="J101" s="83" t="s">
        <v>416</v>
      </c>
      <c r="K101" s="83" t="s">
        <v>160</v>
      </c>
      <c r="L101" s="84">
        <v>3.4000000000000002E-2</v>
      </c>
      <c r="M101" s="84">
        <v>2.7399999999999997E-2</v>
      </c>
      <c r="N101" s="77">
        <v>228322.88</v>
      </c>
      <c r="O101" s="79">
        <v>107.39</v>
      </c>
      <c r="P101" s="77">
        <v>245.19585000000001</v>
      </c>
      <c r="Q101" s="78">
        <f t="shared" si="2"/>
        <v>2.8386614932715058E-3</v>
      </c>
      <c r="R101" s="78">
        <f>P101/'סכום נכסי הקרן'!$C$42</f>
        <v>6.7580339266725878E-5</v>
      </c>
    </row>
    <row r="102" spans="2:18">
      <c r="B102" s="76" t="s">
        <v>2344</v>
      </c>
      <c r="C102" s="83" t="s">
        <v>2254</v>
      </c>
      <c r="D102" s="70">
        <v>90240793</v>
      </c>
      <c r="E102" s="70"/>
      <c r="F102" s="70" t="s">
        <v>588</v>
      </c>
      <c r="G102" s="97">
        <v>42648</v>
      </c>
      <c r="H102" s="70" t="s">
        <v>156</v>
      </c>
      <c r="I102" s="77">
        <v>9.48</v>
      </c>
      <c r="J102" s="83" t="s">
        <v>416</v>
      </c>
      <c r="K102" s="83" t="s">
        <v>160</v>
      </c>
      <c r="L102" s="84">
        <v>3.4000000000000002E-2</v>
      </c>
      <c r="M102" s="84">
        <v>2.7200000000000002E-2</v>
      </c>
      <c r="N102" s="77">
        <v>209441.87</v>
      </c>
      <c r="O102" s="79">
        <v>107.58</v>
      </c>
      <c r="P102" s="77">
        <v>225.31776000000002</v>
      </c>
      <c r="Q102" s="78">
        <f t="shared" si="2"/>
        <v>2.6085304831308964E-3</v>
      </c>
      <c r="R102" s="78">
        <f>P102/'סכום נכסי הקרן'!$C$42</f>
        <v>6.210158395265955E-5</v>
      </c>
    </row>
    <row r="103" spans="2:18">
      <c r="B103" s="76" t="s">
        <v>2344</v>
      </c>
      <c r="C103" s="83" t="s">
        <v>2254</v>
      </c>
      <c r="D103" s="70">
        <v>90240794</v>
      </c>
      <c r="E103" s="70"/>
      <c r="F103" s="70" t="s">
        <v>588</v>
      </c>
      <c r="G103" s="97">
        <v>42718</v>
      </c>
      <c r="H103" s="70" t="s">
        <v>156</v>
      </c>
      <c r="I103" s="77">
        <v>9.4600000000000009</v>
      </c>
      <c r="J103" s="83" t="s">
        <v>416</v>
      </c>
      <c r="K103" s="83" t="s">
        <v>160</v>
      </c>
      <c r="L103" s="84">
        <v>3.4000000000000002E-2</v>
      </c>
      <c r="M103" s="84">
        <v>2.7900000000000005E-2</v>
      </c>
      <c r="N103" s="77">
        <v>146331.76999999999</v>
      </c>
      <c r="O103" s="79">
        <v>106.93</v>
      </c>
      <c r="P103" s="77">
        <v>156.47221999999999</v>
      </c>
      <c r="Q103" s="78">
        <f t="shared" si="2"/>
        <v>1.8114974852988235E-3</v>
      </c>
      <c r="R103" s="78">
        <f>P103/'סכום נכסי הקרן'!$C$42</f>
        <v>4.312652809343131E-5</v>
      </c>
    </row>
    <row r="104" spans="2:18">
      <c r="B104" s="76" t="s">
        <v>2344</v>
      </c>
      <c r="C104" s="83" t="s">
        <v>2254</v>
      </c>
      <c r="D104" s="70">
        <v>90240795</v>
      </c>
      <c r="E104" s="70"/>
      <c r="F104" s="70" t="s">
        <v>588</v>
      </c>
      <c r="G104" s="97">
        <v>42900</v>
      </c>
      <c r="H104" s="70" t="s">
        <v>156</v>
      </c>
      <c r="I104" s="77">
        <v>9.1000000000000014</v>
      </c>
      <c r="J104" s="83" t="s">
        <v>416</v>
      </c>
      <c r="K104" s="83" t="s">
        <v>160</v>
      </c>
      <c r="L104" s="84">
        <v>3.4000000000000002E-2</v>
      </c>
      <c r="M104" s="84">
        <v>3.8899999999999997E-2</v>
      </c>
      <c r="N104" s="77">
        <v>173335.54</v>
      </c>
      <c r="O104" s="79">
        <v>96.87</v>
      </c>
      <c r="P104" s="77">
        <v>167.90991</v>
      </c>
      <c r="Q104" s="78">
        <f>P104/$P$10</f>
        <v>1.9439129816254399E-3</v>
      </c>
      <c r="R104" s="78">
        <f>P104/'סכום נכסי הקרן'!$C$42</f>
        <v>4.6278958979303309E-5</v>
      </c>
    </row>
    <row r="105" spans="2:18">
      <c r="B105" s="76" t="s">
        <v>2344</v>
      </c>
      <c r="C105" s="83" t="s">
        <v>2254</v>
      </c>
      <c r="D105" s="70">
        <v>90240796</v>
      </c>
      <c r="E105" s="70"/>
      <c r="F105" s="70" t="s">
        <v>588</v>
      </c>
      <c r="G105" s="97">
        <v>43075</v>
      </c>
      <c r="H105" s="70" t="s">
        <v>156</v>
      </c>
      <c r="I105" s="77">
        <v>9.0100000000000016</v>
      </c>
      <c r="J105" s="83" t="s">
        <v>416</v>
      </c>
      <c r="K105" s="83" t="s">
        <v>160</v>
      </c>
      <c r="L105" s="84">
        <v>3.4000000000000002E-2</v>
      </c>
      <c r="M105" s="84">
        <v>4.1599999999999998E-2</v>
      </c>
      <c r="N105" s="77">
        <v>107555.69</v>
      </c>
      <c r="O105" s="79">
        <v>94.6</v>
      </c>
      <c r="P105" s="77">
        <v>101.74752000000001</v>
      </c>
      <c r="Q105" s="78">
        <f t="shared" si="2"/>
        <v>1.1779431301951987E-3</v>
      </c>
      <c r="R105" s="78">
        <f>P105/'סכום נכסי הקרן'!$C$42</f>
        <v>2.8043427003956132E-5</v>
      </c>
    </row>
    <row r="106" spans="2:18">
      <c r="B106" s="76" t="s">
        <v>2344</v>
      </c>
      <c r="C106" s="83" t="s">
        <v>2254</v>
      </c>
      <c r="D106" s="70">
        <v>90240797</v>
      </c>
      <c r="E106" s="70"/>
      <c r="F106" s="70" t="s">
        <v>588</v>
      </c>
      <c r="G106" s="97">
        <v>43292</v>
      </c>
      <c r="H106" s="70" t="s">
        <v>156</v>
      </c>
      <c r="I106" s="77">
        <v>9.0399999999999991</v>
      </c>
      <c r="J106" s="83" t="s">
        <v>416</v>
      </c>
      <c r="K106" s="83" t="s">
        <v>160</v>
      </c>
      <c r="L106" s="84">
        <v>3.4000000000000002E-2</v>
      </c>
      <c r="M106" s="84">
        <v>4.0799999999999989E-2</v>
      </c>
      <c r="N106" s="77">
        <v>293279.90000000002</v>
      </c>
      <c r="O106" s="79">
        <v>95.27</v>
      </c>
      <c r="P106" s="77">
        <v>279.40732000000003</v>
      </c>
      <c r="Q106" s="78">
        <f t="shared" si="2"/>
        <v>3.2347317469777303E-3</v>
      </c>
      <c r="R106" s="78">
        <f>P106/'סכום נכסי הקרן'!$C$42</f>
        <v>7.7009629156474891E-5</v>
      </c>
    </row>
    <row r="107" spans="2:18">
      <c r="B107" s="76" t="s">
        <v>2325</v>
      </c>
      <c r="C107" s="83" t="s">
        <v>2254</v>
      </c>
      <c r="D107" s="70">
        <v>90143221</v>
      </c>
      <c r="E107" s="70"/>
      <c r="F107" s="70" t="s">
        <v>592</v>
      </c>
      <c r="G107" s="97">
        <v>42516</v>
      </c>
      <c r="H107" s="70" t="s">
        <v>291</v>
      </c>
      <c r="I107" s="77">
        <v>4.7699999999999996</v>
      </c>
      <c r="J107" s="83" t="s">
        <v>416</v>
      </c>
      <c r="K107" s="83" t="s">
        <v>160</v>
      </c>
      <c r="L107" s="84">
        <v>2.3269999999999999E-2</v>
      </c>
      <c r="M107" s="84">
        <v>3.0299999999999997E-2</v>
      </c>
      <c r="N107" s="77">
        <v>1696216.13</v>
      </c>
      <c r="O107" s="79">
        <v>98.34</v>
      </c>
      <c r="P107" s="77">
        <v>1668.0588300000002</v>
      </c>
      <c r="Q107" s="78">
        <f t="shared" si="2"/>
        <v>1.9311315298495148E-2</v>
      </c>
      <c r="R107" s="78">
        <f>P107/'סכום נכסי הקרן'!$C$42</f>
        <v>4.597466949308393E-4</v>
      </c>
    </row>
    <row r="108" spans="2:18">
      <c r="B108" s="76" t="s">
        <v>2340</v>
      </c>
      <c r="C108" s="83" t="s">
        <v>2254</v>
      </c>
      <c r="D108" s="70">
        <v>90136001</v>
      </c>
      <c r="E108" s="70"/>
      <c r="F108" s="70" t="s">
        <v>2259</v>
      </c>
      <c r="G108" s="97">
        <v>42474</v>
      </c>
      <c r="H108" s="70" t="s">
        <v>2252</v>
      </c>
      <c r="I108" s="77">
        <v>2.09</v>
      </c>
      <c r="J108" s="83" t="s">
        <v>152</v>
      </c>
      <c r="K108" s="83" t="s">
        <v>160</v>
      </c>
      <c r="L108" s="84">
        <v>2.2000000000000002E-2</v>
      </c>
      <c r="M108" s="84">
        <v>3.1599999999999996E-2</v>
      </c>
      <c r="N108" s="77">
        <v>502478.85</v>
      </c>
      <c r="O108" s="79">
        <v>98.2</v>
      </c>
      <c r="P108" s="77">
        <v>493.43425999999999</v>
      </c>
      <c r="Q108" s="78">
        <f t="shared" si="2"/>
        <v>5.7125470652252897E-3</v>
      </c>
      <c r="R108" s="78">
        <f>P108/'סכום נכסי הקרן'!$C$42</f>
        <v>1.3599926220866229E-4</v>
      </c>
    </row>
    <row r="109" spans="2:18">
      <c r="B109" s="76" t="s">
        <v>2340</v>
      </c>
      <c r="C109" s="83" t="s">
        <v>2254</v>
      </c>
      <c r="D109" s="70">
        <v>90136005</v>
      </c>
      <c r="E109" s="70"/>
      <c r="F109" s="70" t="s">
        <v>2259</v>
      </c>
      <c r="G109" s="97">
        <v>42562</v>
      </c>
      <c r="H109" s="70" t="s">
        <v>2252</v>
      </c>
      <c r="I109" s="77">
        <v>3.1999999999999997</v>
      </c>
      <c r="J109" s="83" t="s">
        <v>152</v>
      </c>
      <c r="K109" s="83" t="s">
        <v>160</v>
      </c>
      <c r="L109" s="84">
        <v>3.3700000000000001E-2</v>
      </c>
      <c r="M109" s="84">
        <v>3.2699999999999993E-2</v>
      </c>
      <c r="N109" s="77">
        <v>136726.28</v>
      </c>
      <c r="O109" s="79">
        <v>100.59</v>
      </c>
      <c r="P109" s="77">
        <v>137.53297000000001</v>
      </c>
      <c r="Q109" s="78">
        <f t="shared" si="2"/>
        <v>1.592235537405161E-3</v>
      </c>
      <c r="R109" s="78">
        <f>P109/'סכום נכסי הקרן'!$C$42</f>
        <v>3.7906533789052435E-5</v>
      </c>
    </row>
    <row r="110" spans="2:18">
      <c r="B110" s="76" t="s">
        <v>2340</v>
      </c>
      <c r="C110" s="83" t="s">
        <v>2254</v>
      </c>
      <c r="D110" s="70">
        <v>90136035</v>
      </c>
      <c r="E110" s="70"/>
      <c r="F110" s="70" t="s">
        <v>2259</v>
      </c>
      <c r="G110" s="97">
        <v>42717</v>
      </c>
      <c r="H110" s="70" t="s">
        <v>2252</v>
      </c>
      <c r="I110" s="77">
        <v>3</v>
      </c>
      <c r="J110" s="83" t="s">
        <v>152</v>
      </c>
      <c r="K110" s="83" t="s">
        <v>160</v>
      </c>
      <c r="L110" s="84">
        <v>3.85E-2</v>
      </c>
      <c r="M110" s="84">
        <v>4.0299999999999996E-2</v>
      </c>
      <c r="N110" s="77">
        <v>34865.14</v>
      </c>
      <c r="O110" s="79">
        <v>99.83</v>
      </c>
      <c r="P110" s="77">
        <v>34.805870000000006</v>
      </c>
      <c r="Q110" s="78">
        <f t="shared" si="2"/>
        <v>4.0295169314168215E-4</v>
      </c>
      <c r="R110" s="78">
        <f>P110/'סכום נכסי הקרן'!$C$42</f>
        <v>9.5931171064826611E-6</v>
      </c>
    </row>
    <row r="111" spans="2:18">
      <c r="B111" s="76" t="s">
        <v>2340</v>
      </c>
      <c r="C111" s="83" t="s">
        <v>2254</v>
      </c>
      <c r="D111" s="70">
        <v>90136025</v>
      </c>
      <c r="E111" s="70"/>
      <c r="F111" s="70" t="s">
        <v>2259</v>
      </c>
      <c r="G111" s="97">
        <v>42710</v>
      </c>
      <c r="H111" s="70" t="s">
        <v>2252</v>
      </c>
      <c r="I111" s="77">
        <v>3.0000000000000004</v>
      </c>
      <c r="J111" s="83" t="s">
        <v>152</v>
      </c>
      <c r="K111" s="83" t="s">
        <v>160</v>
      </c>
      <c r="L111" s="84">
        <v>3.8399999999999997E-2</v>
      </c>
      <c r="M111" s="84">
        <v>4.0199999999999993E-2</v>
      </c>
      <c r="N111" s="77">
        <v>104237.24</v>
      </c>
      <c r="O111" s="79">
        <v>99.83</v>
      </c>
      <c r="P111" s="77">
        <v>104.06003</v>
      </c>
      <c r="Q111" s="78">
        <f t="shared" si="2"/>
        <v>1.2047153332720667E-3</v>
      </c>
      <c r="R111" s="78">
        <f>P111/'סכום נכסי הקרן'!$C$42</f>
        <v>2.868079590868146E-5</v>
      </c>
    </row>
    <row r="112" spans="2:18">
      <c r="B112" s="76" t="s">
        <v>2340</v>
      </c>
      <c r="C112" s="83" t="s">
        <v>2254</v>
      </c>
      <c r="D112" s="70">
        <v>90136003</v>
      </c>
      <c r="E112" s="70"/>
      <c r="F112" s="70" t="s">
        <v>2259</v>
      </c>
      <c r="G112" s="97">
        <v>42474</v>
      </c>
      <c r="H112" s="70" t="s">
        <v>2252</v>
      </c>
      <c r="I112" s="77">
        <v>4.1300000000000008</v>
      </c>
      <c r="J112" s="83" t="s">
        <v>152</v>
      </c>
      <c r="K112" s="83" t="s">
        <v>160</v>
      </c>
      <c r="L112" s="84">
        <v>3.6699999999999997E-2</v>
      </c>
      <c r="M112" s="84">
        <v>3.4399999999999993E-2</v>
      </c>
      <c r="N112" s="77">
        <v>474575.49</v>
      </c>
      <c r="O112" s="79">
        <v>101.33</v>
      </c>
      <c r="P112" s="77">
        <v>480.88734000000005</v>
      </c>
      <c r="Q112" s="78">
        <f t="shared" si="2"/>
        <v>5.5672898813734512E-3</v>
      </c>
      <c r="R112" s="78">
        <f>P112/'סכום נכסי הקרן'!$C$42</f>
        <v>1.3254110779718892E-4</v>
      </c>
    </row>
    <row r="113" spans="2:18">
      <c r="B113" s="76" t="s">
        <v>2340</v>
      </c>
      <c r="C113" s="83" t="s">
        <v>2254</v>
      </c>
      <c r="D113" s="70">
        <v>90136002</v>
      </c>
      <c r="E113" s="70"/>
      <c r="F113" s="70" t="s">
        <v>2259</v>
      </c>
      <c r="G113" s="97">
        <v>42474</v>
      </c>
      <c r="H113" s="70" t="s">
        <v>2252</v>
      </c>
      <c r="I113" s="77">
        <v>2.08</v>
      </c>
      <c r="J113" s="83" t="s">
        <v>152</v>
      </c>
      <c r="K113" s="83" t="s">
        <v>160</v>
      </c>
      <c r="L113" s="84">
        <v>3.1800000000000002E-2</v>
      </c>
      <c r="M113" s="84">
        <v>3.4099999999999998E-2</v>
      </c>
      <c r="N113" s="77">
        <v>513941.96</v>
      </c>
      <c r="O113" s="79">
        <v>99.76</v>
      </c>
      <c r="P113" s="77">
        <v>512.70848000000001</v>
      </c>
      <c r="Q113" s="78">
        <f t="shared" si="2"/>
        <v>5.935687000615076E-3</v>
      </c>
      <c r="R113" s="78">
        <f>P113/'סכום נכסי הקרן'!$C$42</f>
        <v>1.4131158020548609E-4</v>
      </c>
    </row>
    <row r="114" spans="2:18">
      <c r="B114" s="76" t="s">
        <v>2345</v>
      </c>
      <c r="C114" s="83" t="s">
        <v>2255</v>
      </c>
      <c r="D114" s="70">
        <v>470540</v>
      </c>
      <c r="E114" s="70"/>
      <c r="F114" s="70" t="s">
        <v>2259</v>
      </c>
      <c r="G114" s="97">
        <v>42884</v>
      </c>
      <c r="H114" s="70" t="s">
        <v>2252</v>
      </c>
      <c r="I114" s="77">
        <v>0.53999999999999992</v>
      </c>
      <c r="J114" s="83" t="s">
        <v>152</v>
      </c>
      <c r="K114" s="83" t="s">
        <v>160</v>
      </c>
      <c r="L114" s="84">
        <v>2.2099999999999998E-2</v>
      </c>
      <c r="M114" s="84">
        <v>2.29E-2</v>
      </c>
      <c r="N114" s="77">
        <v>214674.74</v>
      </c>
      <c r="O114" s="79">
        <v>100.15</v>
      </c>
      <c r="P114" s="77">
        <v>214.99674999999999</v>
      </c>
      <c r="Q114" s="78">
        <f t="shared" si="2"/>
        <v>2.4890429238648231E-3</v>
      </c>
      <c r="R114" s="78">
        <f>P114/'סכום נכסי הקרן'!$C$42</f>
        <v>5.9256929944953986E-5</v>
      </c>
    </row>
    <row r="115" spans="2:18">
      <c r="B115" s="76" t="s">
        <v>2345</v>
      </c>
      <c r="C115" s="83" t="s">
        <v>2255</v>
      </c>
      <c r="D115" s="70">
        <v>484097</v>
      </c>
      <c r="E115" s="70"/>
      <c r="F115" s="70" t="s">
        <v>2259</v>
      </c>
      <c r="G115" s="97">
        <v>43006</v>
      </c>
      <c r="H115" s="70" t="s">
        <v>2252</v>
      </c>
      <c r="I115" s="77">
        <v>0.7400000000000001</v>
      </c>
      <c r="J115" s="83" t="s">
        <v>152</v>
      </c>
      <c r="K115" s="83" t="s">
        <v>160</v>
      </c>
      <c r="L115" s="84">
        <v>2.0799999999999999E-2</v>
      </c>
      <c r="M115" s="84">
        <v>2.5300000000000003E-2</v>
      </c>
      <c r="N115" s="77">
        <v>268343.42</v>
      </c>
      <c r="O115" s="79">
        <v>99.7</v>
      </c>
      <c r="P115" s="77">
        <v>267.53838000000002</v>
      </c>
      <c r="Q115" s="78">
        <f t="shared" si="2"/>
        <v>3.0973236181535682E-3</v>
      </c>
      <c r="R115" s="78">
        <f>P115/'סכום נכסי הקרן'!$C$42</f>
        <v>7.373833809695487E-5</v>
      </c>
    </row>
    <row r="116" spans="2:18">
      <c r="B116" s="76" t="s">
        <v>2345</v>
      </c>
      <c r="C116" s="83" t="s">
        <v>2255</v>
      </c>
      <c r="D116" s="70">
        <v>465782</v>
      </c>
      <c r="E116" s="70"/>
      <c r="F116" s="70" t="s">
        <v>2259</v>
      </c>
      <c r="G116" s="97">
        <v>42828</v>
      </c>
      <c r="H116" s="70" t="s">
        <v>2252</v>
      </c>
      <c r="I116" s="77">
        <v>0.38</v>
      </c>
      <c r="J116" s="83" t="s">
        <v>152</v>
      </c>
      <c r="K116" s="83" t="s">
        <v>160</v>
      </c>
      <c r="L116" s="84">
        <v>2.2700000000000001E-2</v>
      </c>
      <c r="M116" s="84">
        <v>2.1799999999999996E-2</v>
      </c>
      <c r="N116" s="77">
        <v>214674.74</v>
      </c>
      <c r="O116" s="79">
        <v>100.59</v>
      </c>
      <c r="P116" s="77">
        <v>215.94130999999999</v>
      </c>
      <c r="Q116" s="78">
        <f t="shared" si="2"/>
        <v>2.4999782072315053E-3</v>
      </c>
      <c r="R116" s="78">
        <f>P116/'סכום נכסי הקרן'!$C$42</f>
        <v>5.9517267488422924E-5</v>
      </c>
    </row>
    <row r="117" spans="2:18">
      <c r="B117" s="76" t="s">
        <v>2345</v>
      </c>
      <c r="C117" s="83" t="s">
        <v>2255</v>
      </c>
      <c r="D117" s="70">
        <v>467404</v>
      </c>
      <c r="E117" s="70"/>
      <c r="F117" s="70" t="s">
        <v>2259</v>
      </c>
      <c r="G117" s="97">
        <v>42859</v>
      </c>
      <c r="H117" s="70" t="s">
        <v>2252</v>
      </c>
      <c r="I117" s="77">
        <v>0.47</v>
      </c>
      <c r="J117" s="83" t="s">
        <v>152</v>
      </c>
      <c r="K117" s="83" t="s">
        <v>160</v>
      </c>
      <c r="L117" s="84">
        <v>2.2799999999999997E-2</v>
      </c>
      <c r="M117" s="84">
        <v>2.18E-2</v>
      </c>
      <c r="N117" s="77">
        <v>214674.74</v>
      </c>
      <c r="O117" s="79">
        <v>100.41</v>
      </c>
      <c r="P117" s="77">
        <v>215.55491000000001</v>
      </c>
      <c r="Q117" s="78">
        <f t="shared" si="2"/>
        <v>2.4955048085137047E-3</v>
      </c>
      <c r="R117" s="78">
        <f>P117/'סכום נכסי הקרן'!$C$42</f>
        <v>5.9410768772834301E-5</v>
      </c>
    </row>
    <row r="118" spans="2:18">
      <c r="B118" s="76" t="s">
        <v>2346</v>
      </c>
      <c r="C118" s="83" t="s">
        <v>2254</v>
      </c>
      <c r="D118" s="70">
        <v>7127</v>
      </c>
      <c r="E118" s="70"/>
      <c r="F118" s="70" t="s">
        <v>2259</v>
      </c>
      <c r="G118" s="97">
        <v>43631</v>
      </c>
      <c r="H118" s="70" t="s">
        <v>2252</v>
      </c>
      <c r="I118" s="77">
        <v>6.56</v>
      </c>
      <c r="J118" s="83" t="s">
        <v>352</v>
      </c>
      <c r="K118" s="83" t="s">
        <v>160</v>
      </c>
      <c r="L118" s="84">
        <v>3.1E-2</v>
      </c>
      <c r="M118" s="84">
        <v>2.6699999999999998E-2</v>
      </c>
      <c r="N118" s="77">
        <v>509238.79</v>
      </c>
      <c r="O118" s="79">
        <v>103.12</v>
      </c>
      <c r="P118" s="77">
        <v>525.12702000000002</v>
      </c>
      <c r="Q118" s="78">
        <f t="shared" si="2"/>
        <v>6.0794579139508923E-3</v>
      </c>
      <c r="R118" s="78">
        <f>P118/'סכום נכסי הקרן'!$C$42</f>
        <v>1.4473435080457009E-4</v>
      </c>
    </row>
    <row r="119" spans="2:18">
      <c r="B119" s="76" t="s">
        <v>2346</v>
      </c>
      <c r="C119" s="83" t="s">
        <v>2254</v>
      </c>
      <c r="D119" s="70">
        <v>7128</v>
      </c>
      <c r="E119" s="70"/>
      <c r="F119" s="70" t="s">
        <v>2259</v>
      </c>
      <c r="G119" s="97">
        <v>43634</v>
      </c>
      <c r="H119" s="70" t="s">
        <v>2252</v>
      </c>
      <c r="I119" s="77">
        <v>6.5900000000000007</v>
      </c>
      <c r="J119" s="83" t="s">
        <v>352</v>
      </c>
      <c r="K119" s="83" t="s">
        <v>160</v>
      </c>
      <c r="L119" s="84">
        <v>2.4900000000000002E-2</v>
      </c>
      <c r="M119" s="84">
        <v>2.6200000000000001E-2</v>
      </c>
      <c r="N119" s="77">
        <v>215910.69</v>
      </c>
      <c r="O119" s="79">
        <v>100.87</v>
      </c>
      <c r="P119" s="77">
        <v>217.78910999999999</v>
      </c>
      <c r="Q119" s="78">
        <f t="shared" si="2"/>
        <v>2.5213704074146127E-3</v>
      </c>
      <c r="R119" s="78">
        <f>P119/'סכום נכסי הקרן'!$C$42</f>
        <v>6.0026554048114114E-5</v>
      </c>
    </row>
    <row r="120" spans="2:18">
      <c r="B120" s="76" t="s">
        <v>2346</v>
      </c>
      <c r="C120" s="83" t="s">
        <v>2254</v>
      </c>
      <c r="D120" s="70">
        <v>7130</v>
      </c>
      <c r="E120" s="70"/>
      <c r="F120" s="70" t="s">
        <v>2259</v>
      </c>
      <c r="G120" s="97">
        <v>43634</v>
      </c>
      <c r="H120" s="70" t="s">
        <v>2252</v>
      </c>
      <c r="I120" s="77">
        <v>6.9300000000000006</v>
      </c>
      <c r="J120" s="83" t="s">
        <v>352</v>
      </c>
      <c r="K120" s="83" t="s">
        <v>160</v>
      </c>
      <c r="L120" s="84">
        <v>3.6000000000000004E-2</v>
      </c>
      <c r="M120" s="84">
        <v>2.6700000000000005E-2</v>
      </c>
      <c r="N120" s="77">
        <v>136096.69</v>
      </c>
      <c r="O120" s="79">
        <v>106.83</v>
      </c>
      <c r="P120" s="77">
        <v>145.39209</v>
      </c>
      <c r="Q120" s="78">
        <f t="shared" si="2"/>
        <v>1.6832215035828102E-3</v>
      </c>
      <c r="R120" s="78">
        <f>P120/'סכום נכסי הקרן'!$C$42</f>
        <v>4.0072647105969949E-5</v>
      </c>
    </row>
    <row r="121" spans="2:18">
      <c r="B121" s="76" t="s">
        <v>2347</v>
      </c>
      <c r="C121" s="83" t="s">
        <v>2254</v>
      </c>
      <c r="D121" s="70">
        <v>455954</v>
      </c>
      <c r="E121" s="70"/>
      <c r="F121" s="70" t="s">
        <v>2260</v>
      </c>
      <c r="G121" s="97">
        <v>42732</v>
      </c>
      <c r="H121" s="70" t="s">
        <v>2252</v>
      </c>
      <c r="I121" s="77">
        <v>3.4299999999999993</v>
      </c>
      <c r="J121" s="83" t="s">
        <v>152</v>
      </c>
      <c r="K121" s="83" t="s">
        <v>160</v>
      </c>
      <c r="L121" s="84">
        <v>2.1613000000000004E-2</v>
      </c>
      <c r="M121" s="84">
        <v>2.0099999999999996E-2</v>
      </c>
      <c r="N121" s="77">
        <v>1331041.31</v>
      </c>
      <c r="O121" s="79">
        <v>101.71</v>
      </c>
      <c r="P121" s="77">
        <v>1353.8021200000001</v>
      </c>
      <c r="Q121" s="78">
        <f t="shared" si="2"/>
        <v>1.5673128022164039E-2</v>
      </c>
      <c r="R121" s="78">
        <f>P121/'סכום נכסי הקרן'!$C$42</f>
        <v>3.7313195378148832E-4</v>
      </c>
    </row>
    <row r="122" spans="2:18">
      <c r="B122" s="76" t="s">
        <v>2348</v>
      </c>
      <c r="C122" s="83" t="s">
        <v>2254</v>
      </c>
      <c r="D122" s="70">
        <v>90145980</v>
      </c>
      <c r="E122" s="70"/>
      <c r="F122" s="70" t="s">
        <v>2260</v>
      </c>
      <c r="G122" s="97">
        <v>42242</v>
      </c>
      <c r="H122" s="70" t="s">
        <v>2252</v>
      </c>
      <c r="I122" s="77">
        <v>4.57</v>
      </c>
      <c r="J122" s="83" t="s">
        <v>642</v>
      </c>
      <c r="K122" s="83" t="s">
        <v>160</v>
      </c>
      <c r="L122" s="84">
        <v>2.6600000000000002E-2</v>
      </c>
      <c r="M122" s="84">
        <v>2.3300000000000001E-2</v>
      </c>
      <c r="N122" s="77">
        <v>1563619.87</v>
      </c>
      <c r="O122" s="79">
        <v>101.56</v>
      </c>
      <c r="P122" s="77">
        <v>1588.0123899999999</v>
      </c>
      <c r="Q122" s="78">
        <f t="shared" si="2"/>
        <v>1.8384608150305369E-2</v>
      </c>
      <c r="R122" s="78">
        <f>P122/'סכום נכסי הקרן'!$C$42</f>
        <v>4.3768447172317233E-4</v>
      </c>
    </row>
    <row r="123" spans="2:18">
      <c r="B123" s="76" t="s">
        <v>2349</v>
      </c>
      <c r="C123" s="83" t="s">
        <v>2254</v>
      </c>
      <c r="D123" s="70">
        <v>90145362</v>
      </c>
      <c r="E123" s="70"/>
      <c r="F123" s="70" t="s">
        <v>602</v>
      </c>
      <c r="G123" s="97">
        <v>42794</v>
      </c>
      <c r="H123" s="70" t="s">
        <v>156</v>
      </c>
      <c r="I123" s="77">
        <v>6.5</v>
      </c>
      <c r="J123" s="83" t="s">
        <v>416</v>
      </c>
      <c r="K123" s="83" t="s">
        <v>160</v>
      </c>
      <c r="L123" s="84">
        <v>2.8999999999999998E-2</v>
      </c>
      <c r="M123" s="84">
        <v>2.0499999999999997E-2</v>
      </c>
      <c r="N123" s="77">
        <v>3025194.9</v>
      </c>
      <c r="O123" s="79">
        <v>107.72</v>
      </c>
      <c r="P123" s="77">
        <v>3258.7401099999997</v>
      </c>
      <c r="Q123" s="78">
        <f t="shared" si="2"/>
        <v>3.7726821505487756E-2</v>
      </c>
      <c r="R123" s="78">
        <f>P123/'סכום נכסי הקרן'!$C$42</f>
        <v>8.9816676022815066E-4</v>
      </c>
    </row>
    <row r="124" spans="2:18">
      <c r="B124" s="76" t="s">
        <v>2350</v>
      </c>
      <c r="C124" s="83" t="s">
        <v>2254</v>
      </c>
      <c r="D124" s="70">
        <v>90839511</v>
      </c>
      <c r="E124" s="70"/>
      <c r="F124" s="70" t="s">
        <v>602</v>
      </c>
      <c r="G124" s="97">
        <v>41816</v>
      </c>
      <c r="H124" s="70" t="s">
        <v>156</v>
      </c>
      <c r="I124" s="77">
        <v>7.9400000000000013</v>
      </c>
      <c r="J124" s="83" t="s">
        <v>416</v>
      </c>
      <c r="K124" s="83" t="s">
        <v>160</v>
      </c>
      <c r="L124" s="84">
        <v>4.4999999999999998E-2</v>
      </c>
      <c r="M124" s="84">
        <v>2.5600000000000001E-2</v>
      </c>
      <c r="N124" s="77">
        <v>206451.65</v>
      </c>
      <c r="O124" s="79">
        <v>116.22</v>
      </c>
      <c r="P124" s="77">
        <v>239.93810999999999</v>
      </c>
      <c r="Q124" s="78">
        <f t="shared" si="2"/>
        <v>2.7777920124885586E-3</v>
      </c>
      <c r="R124" s="78">
        <f>P124/'סכום נכסי הקרן'!$C$42</f>
        <v>6.6131212566676765E-5</v>
      </c>
    </row>
    <row r="125" spans="2:18">
      <c r="B125" s="76" t="s">
        <v>2350</v>
      </c>
      <c r="C125" s="83" t="s">
        <v>2254</v>
      </c>
      <c r="D125" s="70">
        <v>90839541</v>
      </c>
      <c r="E125" s="70"/>
      <c r="F125" s="70" t="s">
        <v>602</v>
      </c>
      <c r="G125" s="97">
        <v>42625</v>
      </c>
      <c r="H125" s="70" t="s">
        <v>156</v>
      </c>
      <c r="I125" s="77">
        <v>9.0500000000000007</v>
      </c>
      <c r="J125" s="83" t="s">
        <v>416</v>
      </c>
      <c r="K125" s="83" t="s">
        <v>160</v>
      </c>
      <c r="L125" s="84">
        <v>4.4999999999999998E-2</v>
      </c>
      <c r="M125" s="84">
        <v>3.04E-2</v>
      </c>
      <c r="N125" s="77">
        <v>57488.24</v>
      </c>
      <c r="O125" s="79">
        <v>111.71</v>
      </c>
      <c r="P125" s="77">
        <v>64.220100000000002</v>
      </c>
      <c r="Q125" s="78">
        <f t="shared" si="2"/>
        <v>7.4348372928842573E-4</v>
      </c>
      <c r="R125" s="78">
        <f>P125/'סכום נכסי הקרן'!$C$42</f>
        <v>1.7700202290304109E-5</v>
      </c>
    </row>
    <row r="126" spans="2:18">
      <c r="B126" s="76" t="s">
        <v>2350</v>
      </c>
      <c r="C126" s="83" t="s">
        <v>2254</v>
      </c>
      <c r="D126" s="70">
        <v>90839542</v>
      </c>
      <c r="E126" s="70"/>
      <c r="F126" s="70" t="s">
        <v>602</v>
      </c>
      <c r="G126" s="97">
        <v>42716</v>
      </c>
      <c r="H126" s="70" t="s">
        <v>156</v>
      </c>
      <c r="I126" s="77">
        <v>9.0800000000000018</v>
      </c>
      <c r="J126" s="83" t="s">
        <v>416</v>
      </c>
      <c r="K126" s="83" t="s">
        <v>160</v>
      </c>
      <c r="L126" s="84">
        <v>4.4999999999999998E-2</v>
      </c>
      <c r="M126" s="84">
        <v>2.7799999999999998E-2</v>
      </c>
      <c r="N126" s="77">
        <v>43493.22</v>
      </c>
      <c r="O126" s="79">
        <v>114</v>
      </c>
      <c r="P126" s="77">
        <v>49.582269999999994</v>
      </c>
      <c r="Q126" s="78">
        <f t="shared" si="2"/>
        <v>5.7401983189352905E-4</v>
      </c>
      <c r="R126" s="78">
        <f>P126/'סכום נכסי הקרן'!$C$42</f>
        <v>1.3665755877248346E-5</v>
      </c>
    </row>
    <row r="127" spans="2:18">
      <c r="B127" s="76" t="s">
        <v>2350</v>
      </c>
      <c r="C127" s="83" t="s">
        <v>2254</v>
      </c>
      <c r="D127" s="70">
        <v>90839544</v>
      </c>
      <c r="E127" s="70"/>
      <c r="F127" s="70" t="s">
        <v>602</v>
      </c>
      <c r="G127" s="97">
        <v>42803</v>
      </c>
      <c r="H127" s="70" t="s">
        <v>156</v>
      </c>
      <c r="I127" s="77">
        <v>8.9799999999999986</v>
      </c>
      <c r="J127" s="83" t="s">
        <v>416</v>
      </c>
      <c r="K127" s="83" t="s">
        <v>160</v>
      </c>
      <c r="L127" s="84">
        <v>4.4999999999999998E-2</v>
      </c>
      <c r="M127" s="84">
        <v>3.4000000000000002E-2</v>
      </c>
      <c r="N127" s="77">
        <v>278737.23</v>
      </c>
      <c r="O127" s="79">
        <v>109.75</v>
      </c>
      <c r="P127" s="77">
        <v>305.91410999999999</v>
      </c>
      <c r="Q127" s="78">
        <f t="shared" si="2"/>
        <v>3.5416040047391655E-3</v>
      </c>
      <c r="R127" s="78">
        <f>P127/'סכום נכסי הקרן'!$C$42</f>
        <v>8.4315372141406553E-5</v>
      </c>
    </row>
    <row r="128" spans="2:18">
      <c r="B128" s="76" t="s">
        <v>2350</v>
      </c>
      <c r="C128" s="83" t="s">
        <v>2254</v>
      </c>
      <c r="D128" s="70">
        <v>90839545</v>
      </c>
      <c r="E128" s="70"/>
      <c r="F128" s="70" t="s">
        <v>602</v>
      </c>
      <c r="G128" s="97">
        <v>42898</v>
      </c>
      <c r="H128" s="70" t="s">
        <v>156</v>
      </c>
      <c r="I128" s="77">
        <v>7.61</v>
      </c>
      <c r="J128" s="83" t="s">
        <v>416</v>
      </c>
      <c r="K128" s="83" t="s">
        <v>160</v>
      </c>
      <c r="L128" s="84">
        <v>4.4999999999999998E-2</v>
      </c>
      <c r="M128" s="84">
        <v>3.8600000000000009E-2</v>
      </c>
      <c r="N128" s="77">
        <v>52423.33</v>
      </c>
      <c r="O128" s="79">
        <v>106.19</v>
      </c>
      <c r="P128" s="77">
        <v>55.668339999999993</v>
      </c>
      <c r="Q128" s="78">
        <f t="shared" si="2"/>
        <v>6.4447898752097914E-4</v>
      </c>
      <c r="R128" s="78">
        <f>P128/'סכום נכסי הקרן'!$C$42</f>
        <v>1.5343185064573673E-5</v>
      </c>
    </row>
    <row r="129" spans="2:18">
      <c r="B129" s="76" t="s">
        <v>2350</v>
      </c>
      <c r="C129" s="83" t="s">
        <v>2254</v>
      </c>
      <c r="D129" s="70">
        <v>90839546</v>
      </c>
      <c r="E129" s="70"/>
      <c r="F129" s="70" t="s">
        <v>602</v>
      </c>
      <c r="G129" s="97">
        <v>42989</v>
      </c>
      <c r="H129" s="70" t="s">
        <v>156</v>
      </c>
      <c r="I129" s="77">
        <v>7.5900000000000007</v>
      </c>
      <c r="J129" s="83" t="s">
        <v>416</v>
      </c>
      <c r="K129" s="83" t="s">
        <v>160</v>
      </c>
      <c r="L129" s="84">
        <v>4.4999999999999998E-2</v>
      </c>
      <c r="M129" s="84">
        <v>3.9800000000000002E-2</v>
      </c>
      <c r="N129" s="77">
        <v>66060.02</v>
      </c>
      <c r="O129" s="79">
        <v>105.51</v>
      </c>
      <c r="P129" s="77">
        <v>69.699919999999992</v>
      </c>
      <c r="Q129" s="78">
        <f t="shared" si="2"/>
        <v>8.0692425662222454E-4</v>
      </c>
      <c r="R129" s="78">
        <f>P129/'סכום נכסי הקרן'!$C$42</f>
        <v>1.9210538190037279E-5</v>
      </c>
    </row>
    <row r="130" spans="2:18">
      <c r="B130" s="76" t="s">
        <v>2350</v>
      </c>
      <c r="C130" s="83" t="s">
        <v>2254</v>
      </c>
      <c r="D130" s="70">
        <v>90839547</v>
      </c>
      <c r="E130" s="70"/>
      <c r="F130" s="70" t="s">
        <v>602</v>
      </c>
      <c r="G130" s="97">
        <v>43080</v>
      </c>
      <c r="H130" s="70" t="s">
        <v>156</v>
      </c>
      <c r="I130" s="77">
        <v>7.4999999999999991</v>
      </c>
      <c r="J130" s="83" t="s">
        <v>416</v>
      </c>
      <c r="K130" s="83" t="s">
        <v>160</v>
      </c>
      <c r="L130" s="84">
        <v>4.4999999999999998E-2</v>
      </c>
      <c r="M130" s="84">
        <v>4.3799999999999992E-2</v>
      </c>
      <c r="N130" s="77">
        <v>20467.68</v>
      </c>
      <c r="O130" s="79">
        <v>101.97</v>
      </c>
      <c r="P130" s="77">
        <v>20.870900000000002</v>
      </c>
      <c r="Q130" s="78">
        <f t="shared" si="2"/>
        <v>2.4162488949107529E-4</v>
      </c>
      <c r="R130" s="78">
        <f>P130/'סכום נכסי הקרן'!$C$42</f>
        <v>5.7523914160941523E-6</v>
      </c>
    </row>
    <row r="131" spans="2:18">
      <c r="B131" s="76" t="s">
        <v>2350</v>
      </c>
      <c r="C131" s="83" t="s">
        <v>2254</v>
      </c>
      <c r="D131" s="70">
        <v>90839548</v>
      </c>
      <c r="E131" s="70"/>
      <c r="F131" s="70" t="s">
        <v>602</v>
      </c>
      <c r="G131" s="97">
        <v>43171</v>
      </c>
      <c r="H131" s="70" t="s">
        <v>156</v>
      </c>
      <c r="I131" s="77">
        <v>7.5399999999999991</v>
      </c>
      <c r="J131" s="83" t="s">
        <v>416</v>
      </c>
      <c r="K131" s="83" t="s">
        <v>160</v>
      </c>
      <c r="L131" s="84">
        <v>4.4999999999999998E-2</v>
      </c>
      <c r="M131" s="84">
        <v>4.4199999999999996E-2</v>
      </c>
      <c r="N131" s="77">
        <v>15293.14</v>
      </c>
      <c r="O131" s="79">
        <v>102.39</v>
      </c>
      <c r="P131" s="77">
        <v>15.65865</v>
      </c>
      <c r="Q131" s="78">
        <f t="shared" si="2"/>
        <v>1.8128205184392748E-4</v>
      </c>
      <c r="R131" s="78">
        <f>P131/'סכום נכסי הקרן'!$C$42</f>
        <v>4.3158025694925799E-6</v>
      </c>
    </row>
    <row r="132" spans="2:18">
      <c r="B132" s="76" t="s">
        <v>2350</v>
      </c>
      <c r="C132" s="83" t="s">
        <v>2254</v>
      </c>
      <c r="D132" s="70">
        <v>90839550</v>
      </c>
      <c r="E132" s="70"/>
      <c r="F132" s="70" t="s">
        <v>602</v>
      </c>
      <c r="G132" s="97">
        <v>43341</v>
      </c>
      <c r="H132" s="70" t="s">
        <v>156</v>
      </c>
      <c r="I132" s="77">
        <v>7.5500000000000007</v>
      </c>
      <c r="J132" s="83" t="s">
        <v>416</v>
      </c>
      <c r="K132" s="83" t="s">
        <v>160</v>
      </c>
      <c r="L132" s="84">
        <v>4.4999999999999998E-2</v>
      </c>
      <c r="M132" s="84">
        <v>4.1599999999999998E-2</v>
      </c>
      <c r="N132" s="77">
        <v>38366.800000000003</v>
      </c>
      <c r="O132" s="79">
        <v>103.1</v>
      </c>
      <c r="P132" s="77">
        <v>39.556170000000002</v>
      </c>
      <c r="Q132" s="78">
        <f t="shared" si="2"/>
        <v>4.5794648074305315E-4</v>
      </c>
      <c r="R132" s="78">
        <f>P132/'סכום נכסי הקרן'!$C$42</f>
        <v>1.0902384313161435E-5</v>
      </c>
    </row>
    <row r="133" spans="2:18">
      <c r="B133" s="76" t="s">
        <v>2350</v>
      </c>
      <c r="C133" s="83" t="s">
        <v>2254</v>
      </c>
      <c r="D133" s="70">
        <v>90839551</v>
      </c>
      <c r="E133" s="70"/>
      <c r="F133" s="70" t="s">
        <v>602</v>
      </c>
      <c r="G133" s="97">
        <v>43990</v>
      </c>
      <c r="H133" s="70" t="s">
        <v>156</v>
      </c>
      <c r="I133" s="77">
        <v>7.13</v>
      </c>
      <c r="J133" s="83" t="s">
        <v>416</v>
      </c>
      <c r="K133" s="83" t="s">
        <v>160</v>
      </c>
      <c r="L133" s="84">
        <v>4.4999999999999998E-2</v>
      </c>
      <c r="M133" s="84">
        <v>5.8899999999999987E-2</v>
      </c>
      <c r="N133" s="77">
        <v>39571.019999999997</v>
      </c>
      <c r="O133" s="79">
        <v>91.33</v>
      </c>
      <c r="P133" s="77">
        <v>36.140209999999996</v>
      </c>
      <c r="Q133" s="78">
        <f t="shared" si="2"/>
        <v>4.183995058878272E-4</v>
      </c>
      <c r="R133" s="78">
        <f>P133/'סכום נכסי הקרן'!$C$42</f>
        <v>9.9608849536838374E-6</v>
      </c>
    </row>
    <row r="134" spans="2:18">
      <c r="B134" s="76" t="s">
        <v>2350</v>
      </c>
      <c r="C134" s="83" t="s">
        <v>2254</v>
      </c>
      <c r="D134" s="70">
        <v>90839512</v>
      </c>
      <c r="E134" s="70"/>
      <c r="F134" s="70" t="s">
        <v>602</v>
      </c>
      <c r="G134" s="97">
        <v>41893</v>
      </c>
      <c r="H134" s="70" t="s">
        <v>156</v>
      </c>
      <c r="I134" s="77">
        <v>9.15</v>
      </c>
      <c r="J134" s="83" t="s">
        <v>416</v>
      </c>
      <c r="K134" s="83" t="s">
        <v>160</v>
      </c>
      <c r="L134" s="84">
        <v>4.4999999999999998E-2</v>
      </c>
      <c r="M134" s="84">
        <v>2.41E-2</v>
      </c>
      <c r="N134" s="77">
        <v>40503.730000000003</v>
      </c>
      <c r="O134" s="79">
        <v>116.25</v>
      </c>
      <c r="P134" s="77">
        <v>47.085589999999996</v>
      </c>
      <c r="Q134" s="78">
        <f t="shared" si="2"/>
        <v>5.4511547084083961E-4</v>
      </c>
      <c r="R134" s="78">
        <f>P134/'סכום נכסי הקרן'!$C$42</f>
        <v>1.2977626443408218E-5</v>
      </c>
    </row>
    <row r="135" spans="2:18">
      <c r="B135" s="76" t="s">
        <v>2350</v>
      </c>
      <c r="C135" s="83" t="s">
        <v>2254</v>
      </c>
      <c r="D135" s="70">
        <v>90839513</v>
      </c>
      <c r="E135" s="70"/>
      <c r="F135" s="70" t="s">
        <v>602</v>
      </c>
      <c r="G135" s="97">
        <v>42151</v>
      </c>
      <c r="H135" s="70" t="s">
        <v>156</v>
      </c>
      <c r="I135" s="77">
        <v>9.15</v>
      </c>
      <c r="J135" s="83" t="s">
        <v>416</v>
      </c>
      <c r="K135" s="83" t="s">
        <v>160</v>
      </c>
      <c r="L135" s="84">
        <v>4.4999999999999998E-2</v>
      </c>
      <c r="M135" s="84">
        <v>2.41E-2</v>
      </c>
      <c r="N135" s="77">
        <v>148331.60999999999</v>
      </c>
      <c r="O135" s="79">
        <v>116.94</v>
      </c>
      <c r="P135" s="77">
        <v>173.45896999999999</v>
      </c>
      <c r="Q135" s="78">
        <f t="shared" si="2"/>
        <v>2.0081551086673665E-3</v>
      </c>
      <c r="R135" s="78">
        <f>P135/'סכום נכסי הקרן'!$C$42</f>
        <v>4.7808378655090715E-5</v>
      </c>
    </row>
    <row r="136" spans="2:18">
      <c r="B136" s="76" t="s">
        <v>2350</v>
      </c>
      <c r="C136" s="83" t="s">
        <v>2254</v>
      </c>
      <c r="D136" s="70">
        <v>90839515</v>
      </c>
      <c r="E136" s="70"/>
      <c r="F136" s="70" t="s">
        <v>602</v>
      </c>
      <c r="G136" s="97">
        <v>42166</v>
      </c>
      <c r="H136" s="70" t="s">
        <v>156</v>
      </c>
      <c r="I136" s="77">
        <v>9.15</v>
      </c>
      <c r="J136" s="83" t="s">
        <v>416</v>
      </c>
      <c r="K136" s="83" t="s">
        <v>160</v>
      </c>
      <c r="L136" s="84">
        <v>4.4999999999999998E-2</v>
      </c>
      <c r="M136" s="84">
        <v>2.41E-2</v>
      </c>
      <c r="N136" s="77">
        <v>139563.70000000001</v>
      </c>
      <c r="O136" s="79">
        <v>116.94</v>
      </c>
      <c r="P136" s="77">
        <v>163.20578</v>
      </c>
      <c r="Q136" s="78">
        <f t="shared" si="2"/>
        <v>1.8894527096006758E-3</v>
      </c>
      <c r="R136" s="78">
        <f>P136/'סכום נכסי הקרן'!$C$42</f>
        <v>4.4982417046171967E-5</v>
      </c>
    </row>
    <row r="137" spans="2:18">
      <c r="B137" s="76" t="s">
        <v>2350</v>
      </c>
      <c r="C137" s="83" t="s">
        <v>2254</v>
      </c>
      <c r="D137" s="70">
        <v>90839516</v>
      </c>
      <c r="E137" s="70"/>
      <c r="F137" s="70" t="s">
        <v>602</v>
      </c>
      <c r="G137" s="97">
        <v>42257</v>
      </c>
      <c r="H137" s="70" t="s">
        <v>156</v>
      </c>
      <c r="I137" s="77">
        <v>9.16</v>
      </c>
      <c r="J137" s="83" t="s">
        <v>416</v>
      </c>
      <c r="K137" s="83" t="s">
        <v>160</v>
      </c>
      <c r="L137" s="84">
        <v>4.4999999999999998E-2</v>
      </c>
      <c r="M137" s="84">
        <v>2.4E-2</v>
      </c>
      <c r="N137" s="77">
        <v>74164.759999999995</v>
      </c>
      <c r="O137" s="79">
        <v>116.3</v>
      </c>
      <c r="P137" s="77">
        <v>86.253619999999998</v>
      </c>
      <c r="Q137" s="78">
        <f t="shared" si="2"/>
        <v>9.9856840867931914E-4</v>
      </c>
      <c r="R137" s="78">
        <f>P137/'סכום נכסי הקרן'!$C$42</f>
        <v>2.3773032466019521E-5</v>
      </c>
    </row>
    <row r="138" spans="2:18">
      <c r="B138" s="76" t="s">
        <v>2350</v>
      </c>
      <c r="C138" s="83" t="s">
        <v>2254</v>
      </c>
      <c r="D138" s="70">
        <v>90839517</v>
      </c>
      <c r="E138" s="70"/>
      <c r="F138" s="70" t="s">
        <v>602</v>
      </c>
      <c r="G138" s="97">
        <v>42348</v>
      </c>
      <c r="H138" s="70" t="s">
        <v>156</v>
      </c>
      <c r="I138" s="77">
        <v>9.15</v>
      </c>
      <c r="J138" s="83" t="s">
        <v>416</v>
      </c>
      <c r="K138" s="83" t="s">
        <v>160</v>
      </c>
      <c r="L138" s="84">
        <v>4.4999999999999998E-2</v>
      </c>
      <c r="M138" s="84">
        <v>2.41E-2</v>
      </c>
      <c r="N138" s="77">
        <v>128430.21</v>
      </c>
      <c r="O138" s="79">
        <v>116.7</v>
      </c>
      <c r="P138" s="77">
        <v>149.87806</v>
      </c>
      <c r="Q138" s="78">
        <f t="shared" si="2"/>
        <v>1.7351561113625551E-3</v>
      </c>
      <c r="R138" s="78">
        <f>P138/'סכום נכסי הקרן'!$C$42</f>
        <v>4.1309060261169583E-5</v>
      </c>
    </row>
    <row r="139" spans="2:18">
      <c r="B139" s="76" t="s">
        <v>2350</v>
      </c>
      <c r="C139" s="83" t="s">
        <v>2254</v>
      </c>
      <c r="D139" s="70">
        <v>90839518</v>
      </c>
      <c r="E139" s="70"/>
      <c r="F139" s="70" t="s">
        <v>602</v>
      </c>
      <c r="G139" s="97">
        <v>42439</v>
      </c>
      <c r="H139" s="70" t="s">
        <v>156</v>
      </c>
      <c r="I139" s="77">
        <v>9.15</v>
      </c>
      <c r="J139" s="83" t="s">
        <v>416</v>
      </c>
      <c r="K139" s="83" t="s">
        <v>160</v>
      </c>
      <c r="L139" s="84">
        <v>4.4999999999999998E-2</v>
      </c>
      <c r="M139" s="84">
        <v>2.41E-2</v>
      </c>
      <c r="N139" s="77">
        <v>152534.71</v>
      </c>
      <c r="O139" s="79">
        <v>117.89</v>
      </c>
      <c r="P139" s="77">
        <v>179.82317</v>
      </c>
      <c r="Q139" s="78">
        <f t="shared" si="2"/>
        <v>2.0818342083563641E-3</v>
      </c>
      <c r="R139" s="78">
        <f>P139/'סכום נכסי הקרן'!$C$42</f>
        <v>4.9562465419451931E-5</v>
      </c>
    </row>
    <row r="140" spans="2:18">
      <c r="B140" s="76" t="s">
        <v>2350</v>
      </c>
      <c r="C140" s="83" t="s">
        <v>2254</v>
      </c>
      <c r="D140" s="70">
        <v>90839519</v>
      </c>
      <c r="E140" s="70"/>
      <c r="F140" s="70" t="s">
        <v>602</v>
      </c>
      <c r="G140" s="97">
        <v>42549</v>
      </c>
      <c r="H140" s="70" t="s">
        <v>156</v>
      </c>
      <c r="I140" s="77">
        <v>9.1199999999999992</v>
      </c>
      <c r="J140" s="83" t="s">
        <v>416</v>
      </c>
      <c r="K140" s="83" t="s">
        <v>160</v>
      </c>
      <c r="L140" s="84">
        <v>4.4999999999999998E-2</v>
      </c>
      <c r="M140" s="84">
        <v>2.6099999999999998E-2</v>
      </c>
      <c r="N140" s="77">
        <v>107291.13</v>
      </c>
      <c r="O140" s="79">
        <v>116</v>
      </c>
      <c r="P140" s="77">
        <v>124.4577</v>
      </c>
      <c r="Q140" s="78">
        <f t="shared" si="2"/>
        <v>1.4408615828169077E-3</v>
      </c>
      <c r="R140" s="78">
        <f>P140/'סכום נכסי הקרן'!$C$42</f>
        <v>3.4302756716136873E-5</v>
      </c>
    </row>
    <row r="141" spans="2:18">
      <c r="B141" s="76" t="s">
        <v>2350</v>
      </c>
      <c r="C141" s="83" t="s">
        <v>2254</v>
      </c>
      <c r="D141" s="70">
        <v>90839520</v>
      </c>
      <c r="E141" s="70"/>
      <c r="F141" s="70" t="s">
        <v>602</v>
      </c>
      <c r="G141" s="97">
        <v>42604</v>
      </c>
      <c r="H141" s="70" t="s">
        <v>156</v>
      </c>
      <c r="I141" s="77">
        <v>9.0500000000000007</v>
      </c>
      <c r="J141" s="83" t="s">
        <v>416</v>
      </c>
      <c r="K141" s="83" t="s">
        <v>160</v>
      </c>
      <c r="L141" s="84">
        <v>4.4999999999999998E-2</v>
      </c>
      <c r="M141" s="84">
        <v>3.0299999999999997E-2</v>
      </c>
      <c r="N141" s="77">
        <v>140301.81</v>
      </c>
      <c r="O141" s="79">
        <v>111.72</v>
      </c>
      <c r="P141" s="77">
        <v>156.74518</v>
      </c>
      <c r="Q141" s="78">
        <f t="shared" si="2"/>
        <v>1.814657575655995E-3</v>
      </c>
      <c r="R141" s="78">
        <f>P141/'סכום נכסי הקרן'!$C$42</f>
        <v>4.3201760726472391E-5</v>
      </c>
    </row>
    <row r="142" spans="2:18">
      <c r="B142" s="76" t="s">
        <v>2351</v>
      </c>
      <c r="C142" s="83" t="s">
        <v>2254</v>
      </c>
      <c r="D142" s="70">
        <v>90310010</v>
      </c>
      <c r="E142" s="70"/>
      <c r="F142" s="70" t="s">
        <v>602</v>
      </c>
      <c r="G142" s="97">
        <v>43779</v>
      </c>
      <c r="H142" s="70" t="s">
        <v>156</v>
      </c>
      <c r="I142" s="77">
        <v>8.2799999999999994</v>
      </c>
      <c r="J142" s="83" t="s">
        <v>416</v>
      </c>
      <c r="K142" s="83" t="s">
        <v>160</v>
      </c>
      <c r="L142" s="84">
        <v>2.7243E-2</v>
      </c>
      <c r="M142" s="84">
        <v>3.4799999999999998E-2</v>
      </c>
      <c r="N142" s="77">
        <v>325878.48</v>
      </c>
      <c r="O142" s="79">
        <v>93.52</v>
      </c>
      <c r="P142" s="77">
        <v>304.76157000000001</v>
      </c>
      <c r="Q142" s="78">
        <f t="shared" si="2"/>
        <v>3.5282609121972028E-3</v>
      </c>
      <c r="R142" s="78">
        <f>P142/'סכום נכסי הקרן'!$C$42</f>
        <v>8.3997711609148468E-5</v>
      </c>
    </row>
    <row r="143" spans="2:18">
      <c r="B143" s="76" t="s">
        <v>2351</v>
      </c>
      <c r="C143" s="83" t="s">
        <v>2254</v>
      </c>
      <c r="D143" s="70">
        <v>90310011</v>
      </c>
      <c r="E143" s="70"/>
      <c r="F143" s="70" t="s">
        <v>602</v>
      </c>
      <c r="G143" s="97">
        <v>43835</v>
      </c>
      <c r="H143" s="70" t="s">
        <v>156</v>
      </c>
      <c r="I143" s="77">
        <v>8.2099999999999991</v>
      </c>
      <c r="J143" s="83" t="s">
        <v>416</v>
      </c>
      <c r="K143" s="83" t="s">
        <v>160</v>
      </c>
      <c r="L143" s="84">
        <v>2.7243E-2</v>
      </c>
      <c r="M143" s="84">
        <v>3.7400000000000003E-2</v>
      </c>
      <c r="N143" s="77">
        <v>181468.44</v>
      </c>
      <c r="O143" s="79">
        <v>91.6</v>
      </c>
      <c r="P143" s="77">
        <v>166.22508999999999</v>
      </c>
      <c r="Q143" s="78">
        <f t="shared" si="2"/>
        <v>1.924407620270043E-3</v>
      </c>
      <c r="R143" s="78">
        <f>P143/'סכום נכסי הקרן'!$C$42</f>
        <v>4.5814592607672771E-5</v>
      </c>
    </row>
    <row r="144" spans="2:18">
      <c r="B144" s="76" t="s">
        <v>2351</v>
      </c>
      <c r="C144" s="83" t="s">
        <v>2254</v>
      </c>
      <c r="D144" s="70">
        <v>90310002</v>
      </c>
      <c r="E144" s="70"/>
      <c r="F144" s="70" t="s">
        <v>602</v>
      </c>
      <c r="G144" s="97">
        <v>43227</v>
      </c>
      <c r="H144" s="70" t="s">
        <v>156</v>
      </c>
      <c r="I144" s="77">
        <v>8.5400000000000009</v>
      </c>
      <c r="J144" s="83" t="s">
        <v>416</v>
      </c>
      <c r="K144" s="83" t="s">
        <v>160</v>
      </c>
      <c r="L144" s="84">
        <v>2.9805999999999999E-2</v>
      </c>
      <c r="M144" s="84">
        <v>2.3399999999999997E-2</v>
      </c>
      <c r="N144" s="77">
        <v>107188.21</v>
      </c>
      <c r="O144" s="79">
        <v>105.84</v>
      </c>
      <c r="P144" s="77">
        <v>113.44799999999999</v>
      </c>
      <c r="Q144" s="78">
        <f t="shared" si="2"/>
        <v>1.3134009775804354E-3</v>
      </c>
      <c r="R144" s="78">
        <f>P144/'סכום נכסי הקרן'!$C$42</f>
        <v>3.1268287489904569E-5</v>
      </c>
    </row>
    <row r="145" spans="2:18">
      <c r="B145" s="76" t="s">
        <v>2351</v>
      </c>
      <c r="C145" s="83" t="s">
        <v>2254</v>
      </c>
      <c r="D145" s="70">
        <v>90310003</v>
      </c>
      <c r="E145" s="70"/>
      <c r="F145" s="70" t="s">
        <v>602</v>
      </c>
      <c r="G145" s="97">
        <v>43279</v>
      </c>
      <c r="H145" s="70" t="s">
        <v>156</v>
      </c>
      <c r="I145" s="77">
        <v>8.5800000000000018</v>
      </c>
      <c r="J145" s="83" t="s">
        <v>416</v>
      </c>
      <c r="K145" s="83" t="s">
        <v>160</v>
      </c>
      <c r="L145" s="84">
        <v>2.9796999999999997E-2</v>
      </c>
      <c r="M145" s="84">
        <v>2.18E-2</v>
      </c>
      <c r="N145" s="77">
        <v>125359.91</v>
      </c>
      <c r="O145" s="79">
        <v>106.36</v>
      </c>
      <c r="P145" s="77">
        <v>133.33279999999999</v>
      </c>
      <c r="Q145" s="78">
        <f t="shared" si="2"/>
        <v>1.5436096701884269E-3</v>
      </c>
      <c r="R145" s="78">
        <f>P145/'סכום נכסי הקרן'!$C$42</f>
        <v>3.6748892199368416E-5</v>
      </c>
    </row>
    <row r="146" spans="2:18">
      <c r="B146" s="76" t="s">
        <v>2351</v>
      </c>
      <c r="C146" s="83" t="s">
        <v>2254</v>
      </c>
      <c r="D146" s="70">
        <v>90310004</v>
      </c>
      <c r="E146" s="70"/>
      <c r="F146" s="70" t="s">
        <v>602</v>
      </c>
      <c r="G146" s="97">
        <v>43321</v>
      </c>
      <c r="H146" s="70" t="s">
        <v>156</v>
      </c>
      <c r="I146" s="77">
        <v>8.59</v>
      </c>
      <c r="J146" s="83" t="s">
        <v>416</v>
      </c>
      <c r="K146" s="83" t="s">
        <v>160</v>
      </c>
      <c r="L146" s="84">
        <v>3.0529000000000001E-2</v>
      </c>
      <c r="M146" s="84">
        <v>2.1299999999999999E-2</v>
      </c>
      <c r="N146" s="77">
        <v>702248.22</v>
      </c>
      <c r="O146" s="79">
        <v>107.49</v>
      </c>
      <c r="P146" s="77">
        <v>754.84659999999997</v>
      </c>
      <c r="Q146" s="78">
        <f t="shared" si="2"/>
        <v>8.7389487903115765E-3</v>
      </c>
      <c r="R146" s="78">
        <f>P146/'סכום נכסי הקרן'!$C$42</f>
        <v>2.0804915467506697E-4</v>
      </c>
    </row>
    <row r="147" spans="2:18">
      <c r="B147" s="76" t="s">
        <v>2351</v>
      </c>
      <c r="C147" s="83" t="s">
        <v>2254</v>
      </c>
      <c r="D147" s="70">
        <v>90310001</v>
      </c>
      <c r="E147" s="70"/>
      <c r="F147" s="70" t="s">
        <v>602</v>
      </c>
      <c r="G147" s="97">
        <v>43138</v>
      </c>
      <c r="H147" s="70" t="s">
        <v>156</v>
      </c>
      <c r="I147" s="77">
        <v>8.4499999999999993</v>
      </c>
      <c r="J147" s="83" t="s">
        <v>416</v>
      </c>
      <c r="K147" s="83" t="s">
        <v>160</v>
      </c>
      <c r="L147" s="84">
        <v>2.8243000000000001E-2</v>
      </c>
      <c r="M147" s="84">
        <v>2.7800000000000002E-2</v>
      </c>
      <c r="N147" s="77">
        <v>672086.28</v>
      </c>
      <c r="O147" s="79">
        <v>100.61</v>
      </c>
      <c r="P147" s="77">
        <v>676.18601000000001</v>
      </c>
      <c r="Q147" s="78">
        <f t="shared" si="2"/>
        <v>7.8282857922591324E-3</v>
      </c>
      <c r="R147" s="78">
        <f>P147/'סכום נכסי הקרן'!$C$42</f>
        <v>1.8636889638716845E-4</v>
      </c>
    </row>
    <row r="148" spans="2:18">
      <c r="B148" s="76" t="s">
        <v>2351</v>
      </c>
      <c r="C148" s="83" t="s">
        <v>2254</v>
      </c>
      <c r="D148" s="70">
        <v>90310005</v>
      </c>
      <c r="E148" s="70"/>
      <c r="F148" s="70" t="s">
        <v>602</v>
      </c>
      <c r="G148" s="97">
        <v>43417</v>
      </c>
      <c r="H148" s="70" t="s">
        <v>156</v>
      </c>
      <c r="I148" s="77">
        <v>8.49</v>
      </c>
      <c r="J148" s="83" t="s">
        <v>416</v>
      </c>
      <c r="K148" s="83" t="s">
        <v>160</v>
      </c>
      <c r="L148" s="84">
        <v>3.2797E-2</v>
      </c>
      <c r="M148" s="84">
        <v>2.3099999999999999E-2</v>
      </c>
      <c r="N148" s="77">
        <v>799541.46</v>
      </c>
      <c r="O148" s="79">
        <v>107.89</v>
      </c>
      <c r="P148" s="77">
        <v>862.62526000000003</v>
      </c>
      <c r="Q148" s="78">
        <f t="shared" si="2"/>
        <v>9.986715144996626E-3</v>
      </c>
      <c r="R148" s="78">
        <f>P148/'סכום נכסי הקרן'!$C$42</f>
        <v>2.3775487118092586E-4</v>
      </c>
    </row>
    <row r="149" spans="2:18">
      <c r="B149" s="76" t="s">
        <v>2351</v>
      </c>
      <c r="C149" s="83" t="s">
        <v>2254</v>
      </c>
      <c r="D149" s="70">
        <v>90310006</v>
      </c>
      <c r="E149" s="70"/>
      <c r="F149" s="70" t="s">
        <v>602</v>
      </c>
      <c r="G149" s="97">
        <v>43485</v>
      </c>
      <c r="H149" s="70" t="s">
        <v>156</v>
      </c>
      <c r="I149" s="77">
        <v>8.58</v>
      </c>
      <c r="J149" s="83" t="s">
        <v>416</v>
      </c>
      <c r="K149" s="83" t="s">
        <v>160</v>
      </c>
      <c r="L149" s="84">
        <v>3.2190999999999997E-2</v>
      </c>
      <c r="M149" s="84">
        <v>0.02</v>
      </c>
      <c r="N149" s="77">
        <v>1010379.3</v>
      </c>
      <c r="O149" s="79">
        <v>110.17</v>
      </c>
      <c r="P149" s="77">
        <v>1113.13491</v>
      </c>
      <c r="Q149" s="78">
        <f t="shared" si="2"/>
        <v>1.2886895132332963E-2</v>
      </c>
      <c r="R149" s="78">
        <f>P149/'סכום נכסי הקרן'!$C$42</f>
        <v>3.0679978828123062E-4</v>
      </c>
    </row>
    <row r="150" spans="2:18">
      <c r="B150" s="76" t="s">
        <v>2351</v>
      </c>
      <c r="C150" s="83" t="s">
        <v>2254</v>
      </c>
      <c r="D150" s="70">
        <v>90310008</v>
      </c>
      <c r="E150" s="70"/>
      <c r="F150" s="70" t="s">
        <v>602</v>
      </c>
      <c r="G150" s="97">
        <v>43613</v>
      </c>
      <c r="H150" s="70" t="s">
        <v>156</v>
      </c>
      <c r="I150" s="77">
        <v>8.6199999999999992</v>
      </c>
      <c r="J150" s="83" t="s">
        <v>416</v>
      </c>
      <c r="K150" s="83" t="s">
        <v>160</v>
      </c>
      <c r="L150" s="84">
        <v>2.7243E-2</v>
      </c>
      <c r="M150" s="84">
        <v>2.2499999999999999E-2</v>
      </c>
      <c r="N150" s="77">
        <v>266674.03999999998</v>
      </c>
      <c r="O150" s="79">
        <v>103.47</v>
      </c>
      <c r="P150" s="77">
        <v>275.92763000000002</v>
      </c>
      <c r="Q150" s="78">
        <f t="shared" si="2"/>
        <v>3.1944469623391572E-3</v>
      </c>
      <c r="R150" s="78">
        <f>P150/'סכום נכסי הקרן'!$C$42</f>
        <v>7.6050564674987818E-5</v>
      </c>
    </row>
    <row r="151" spans="2:18">
      <c r="B151" s="76" t="s">
        <v>2351</v>
      </c>
      <c r="C151" s="83" t="s">
        <v>2254</v>
      </c>
      <c r="D151" s="70">
        <v>90310009</v>
      </c>
      <c r="E151" s="70"/>
      <c r="F151" s="70" t="s">
        <v>602</v>
      </c>
      <c r="G151" s="97">
        <v>43657</v>
      </c>
      <c r="H151" s="70" t="s">
        <v>156</v>
      </c>
      <c r="I151" s="77">
        <v>8.4499999999999993</v>
      </c>
      <c r="J151" s="83" t="s">
        <v>416</v>
      </c>
      <c r="K151" s="83" t="s">
        <v>160</v>
      </c>
      <c r="L151" s="84">
        <v>2.7243E-2</v>
      </c>
      <c r="M151" s="84">
        <v>2.8500000000000004E-2</v>
      </c>
      <c r="N151" s="77">
        <v>263101.88</v>
      </c>
      <c r="O151" s="79">
        <v>98.42</v>
      </c>
      <c r="P151" s="77">
        <v>258.94488000000001</v>
      </c>
      <c r="Q151" s="78">
        <f t="shared" si="2"/>
        <v>2.9978356474459535E-3</v>
      </c>
      <c r="R151" s="78">
        <f>P151/'סכום נכסי הקרן'!$C$42</f>
        <v>7.1369816584504266E-5</v>
      </c>
    </row>
    <row r="152" spans="2:18">
      <c r="B152" s="76" t="s">
        <v>2351</v>
      </c>
      <c r="C152" s="83" t="s">
        <v>2254</v>
      </c>
      <c r="D152" s="70">
        <v>90310007</v>
      </c>
      <c r="E152" s="70"/>
      <c r="F152" s="70" t="s">
        <v>602</v>
      </c>
      <c r="G152" s="97">
        <v>43541</v>
      </c>
      <c r="H152" s="70" t="s">
        <v>156</v>
      </c>
      <c r="I152" s="77">
        <v>8.59</v>
      </c>
      <c r="J152" s="83" t="s">
        <v>416</v>
      </c>
      <c r="K152" s="83" t="s">
        <v>160</v>
      </c>
      <c r="L152" s="84">
        <v>2.9270999999999998E-2</v>
      </c>
      <c r="M152" s="84">
        <v>2.1899999999999999E-2</v>
      </c>
      <c r="N152" s="77">
        <v>86766.03</v>
      </c>
      <c r="O152" s="79">
        <v>105.8</v>
      </c>
      <c r="P152" s="77">
        <v>91.798460000000006</v>
      </c>
      <c r="Q152" s="78">
        <f t="shared" si="2"/>
        <v>1.0627616802797626E-3</v>
      </c>
      <c r="R152" s="78">
        <f>P152/'סכום נכסי הקרן'!$C$42</f>
        <v>2.5301289034716392E-5</v>
      </c>
    </row>
    <row r="153" spans="2:18">
      <c r="B153" s="76" t="s">
        <v>2352</v>
      </c>
      <c r="C153" s="83" t="s">
        <v>2254</v>
      </c>
      <c r="D153" s="70">
        <v>91040003</v>
      </c>
      <c r="E153" s="70"/>
      <c r="F153" s="70" t="s">
        <v>2261</v>
      </c>
      <c r="G153" s="97">
        <v>43301</v>
      </c>
      <c r="H153" s="70" t="s">
        <v>291</v>
      </c>
      <c r="I153" s="77">
        <v>0.62999999999999989</v>
      </c>
      <c r="J153" s="83" t="s">
        <v>142</v>
      </c>
      <c r="K153" s="83" t="s">
        <v>159</v>
      </c>
      <c r="L153" s="84">
        <v>4.5940000000000002E-2</v>
      </c>
      <c r="M153" s="84">
        <v>0.11700000000000001</v>
      </c>
      <c r="N153" s="77">
        <v>813088.92</v>
      </c>
      <c r="O153" s="79">
        <v>96.38</v>
      </c>
      <c r="P153" s="77">
        <v>2716.1486400000003</v>
      </c>
      <c r="Q153" s="78">
        <f t="shared" ref="Q153:Q176" si="3">P153/$P$10</f>
        <v>3.1445175578500906E-2</v>
      </c>
      <c r="R153" s="78">
        <f>P153/'סכום נכסי הקרן'!$C$42</f>
        <v>7.4861889624174352E-4</v>
      </c>
    </row>
    <row r="154" spans="2:18">
      <c r="B154" s="76" t="s">
        <v>2352</v>
      </c>
      <c r="C154" s="83" t="s">
        <v>2254</v>
      </c>
      <c r="D154" s="70">
        <v>91040006</v>
      </c>
      <c r="E154" s="70"/>
      <c r="F154" s="70" t="s">
        <v>2261</v>
      </c>
      <c r="G154" s="97">
        <v>43395</v>
      </c>
      <c r="H154" s="70" t="s">
        <v>291</v>
      </c>
      <c r="I154" s="77">
        <v>0.63</v>
      </c>
      <c r="J154" s="83" t="s">
        <v>142</v>
      </c>
      <c r="K154" s="83" t="s">
        <v>159</v>
      </c>
      <c r="L154" s="84">
        <v>4.5999999999999999E-2</v>
      </c>
      <c r="M154" s="84">
        <v>0.11590000000000002</v>
      </c>
      <c r="N154" s="77">
        <v>299891.03999999998</v>
      </c>
      <c r="O154" s="79">
        <v>96.44</v>
      </c>
      <c r="P154" s="77">
        <v>1002.41885</v>
      </c>
      <c r="Q154" s="78">
        <f t="shared" si="3"/>
        <v>1.1605122148782314E-2</v>
      </c>
      <c r="R154" s="78">
        <f>P154/'סכום נכסי הקרן'!$C$42</f>
        <v>2.7628447206737468E-4</v>
      </c>
    </row>
    <row r="155" spans="2:18">
      <c r="B155" s="76" t="s">
        <v>2352</v>
      </c>
      <c r="C155" s="83" t="s">
        <v>2254</v>
      </c>
      <c r="D155" s="70">
        <v>91040009</v>
      </c>
      <c r="E155" s="70"/>
      <c r="F155" s="70" t="s">
        <v>2261</v>
      </c>
      <c r="G155" s="97">
        <v>43395</v>
      </c>
      <c r="H155" s="70" t="s">
        <v>291</v>
      </c>
      <c r="I155" s="77">
        <v>0.63000000000000012</v>
      </c>
      <c r="J155" s="83" t="s">
        <v>142</v>
      </c>
      <c r="K155" s="83" t="s">
        <v>159</v>
      </c>
      <c r="L155" s="84">
        <v>4.5999999999999999E-2</v>
      </c>
      <c r="M155" s="84">
        <v>0.11590000000000002</v>
      </c>
      <c r="N155" s="77">
        <v>67937.98</v>
      </c>
      <c r="O155" s="79">
        <v>96.44</v>
      </c>
      <c r="P155" s="77">
        <v>227.09020999999998</v>
      </c>
      <c r="Q155" s="78">
        <f t="shared" si="3"/>
        <v>2.629050347409794E-3</v>
      </c>
      <c r="R155" s="78">
        <f>P155/'סכום נכסי הקרן'!$C$42</f>
        <v>6.2590102711575351E-5</v>
      </c>
    </row>
    <row r="156" spans="2:18">
      <c r="B156" s="76" t="s">
        <v>2352</v>
      </c>
      <c r="C156" s="83" t="s">
        <v>2254</v>
      </c>
      <c r="D156" s="70">
        <v>6615</v>
      </c>
      <c r="E156" s="70"/>
      <c r="F156" s="70" t="s">
        <v>2261</v>
      </c>
      <c r="G156" s="97">
        <v>43430</v>
      </c>
      <c r="H156" s="70" t="s">
        <v>291</v>
      </c>
      <c r="I156" s="77">
        <v>0.63</v>
      </c>
      <c r="J156" s="83" t="s">
        <v>142</v>
      </c>
      <c r="K156" s="83" t="s">
        <v>159</v>
      </c>
      <c r="L156" s="84">
        <v>5.2930000000000005E-2</v>
      </c>
      <c r="M156" s="84">
        <v>0.12859999999999999</v>
      </c>
      <c r="N156" s="77">
        <v>56893.46</v>
      </c>
      <c r="O156" s="79">
        <v>96.44</v>
      </c>
      <c r="P156" s="77">
        <v>190.17266000000001</v>
      </c>
      <c r="Q156" s="78">
        <f t="shared" si="3"/>
        <v>2.2016514839668551E-3</v>
      </c>
      <c r="R156" s="78">
        <f>P156/'סכום נכסי הקרן'!$C$42</f>
        <v>5.2414969021929657E-5</v>
      </c>
    </row>
    <row r="157" spans="2:18">
      <c r="B157" s="76" t="s">
        <v>2352</v>
      </c>
      <c r="C157" s="83" t="s">
        <v>2254</v>
      </c>
      <c r="D157" s="70">
        <v>66679</v>
      </c>
      <c r="E157" s="70"/>
      <c r="F157" s="70" t="s">
        <v>2261</v>
      </c>
      <c r="G157" s="97">
        <v>43461</v>
      </c>
      <c r="H157" s="70" t="s">
        <v>291</v>
      </c>
      <c r="I157" s="77">
        <v>0.63000000000000012</v>
      </c>
      <c r="J157" s="83" t="s">
        <v>142</v>
      </c>
      <c r="K157" s="83" t="s">
        <v>159</v>
      </c>
      <c r="L157" s="84">
        <v>5.2930000000000005E-2</v>
      </c>
      <c r="M157" s="84">
        <v>0.12859999999999999</v>
      </c>
      <c r="N157" s="77">
        <v>49156.88</v>
      </c>
      <c r="O157" s="79">
        <v>96.44</v>
      </c>
      <c r="P157" s="77">
        <v>164.31231</v>
      </c>
      <c r="Q157" s="78">
        <f t="shared" si="3"/>
        <v>1.902263138905045E-3</v>
      </c>
      <c r="R157" s="78">
        <f>P157/'סכום נכסי הקרן'!$C$42</f>
        <v>4.5287396403729647E-5</v>
      </c>
    </row>
    <row r="158" spans="2:18">
      <c r="B158" s="76" t="s">
        <v>2352</v>
      </c>
      <c r="C158" s="83" t="s">
        <v>2254</v>
      </c>
      <c r="D158" s="70">
        <v>6719</v>
      </c>
      <c r="E158" s="70"/>
      <c r="F158" s="70" t="s">
        <v>2261</v>
      </c>
      <c r="G158" s="97">
        <v>43487</v>
      </c>
      <c r="H158" s="70" t="s">
        <v>291</v>
      </c>
      <c r="I158" s="77">
        <v>0.63</v>
      </c>
      <c r="J158" s="83" t="s">
        <v>142</v>
      </c>
      <c r="K158" s="83" t="s">
        <v>159</v>
      </c>
      <c r="L158" s="84">
        <v>5.2930000000000005E-2</v>
      </c>
      <c r="M158" s="84">
        <v>0.12860000000000002</v>
      </c>
      <c r="N158" s="77">
        <v>22774.9</v>
      </c>
      <c r="O158" s="79">
        <v>96.44</v>
      </c>
      <c r="P158" s="77">
        <v>76.127610000000004</v>
      </c>
      <c r="Q158" s="78">
        <f t="shared" si="3"/>
        <v>8.8133838758604937E-4</v>
      </c>
      <c r="R158" s="78">
        <f>P158/'סכום נכסי הקרן'!$C$42</f>
        <v>2.0982123928137422E-5</v>
      </c>
    </row>
    <row r="159" spans="2:18">
      <c r="B159" s="76" t="s">
        <v>2352</v>
      </c>
      <c r="C159" s="83" t="s">
        <v>2254</v>
      </c>
      <c r="D159" s="70">
        <v>6735</v>
      </c>
      <c r="E159" s="70"/>
      <c r="F159" s="70" t="s">
        <v>2261</v>
      </c>
      <c r="G159" s="97">
        <v>43493</v>
      </c>
      <c r="H159" s="70" t="s">
        <v>291</v>
      </c>
      <c r="I159" s="77">
        <v>0.63</v>
      </c>
      <c r="J159" s="83" t="s">
        <v>142</v>
      </c>
      <c r="K159" s="83" t="s">
        <v>159</v>
      </c>
      <c r="L159" s="84">
        <v>5.2930000000000005E-2</v>
      </c>
      <c r="M159" s="84">
        <v>0.12859999999999999</v>
      </c>
      <c r="N159" s="77">
        <v>56110.61</v>
      </c>
      <c r="O159" s="79">
        <v>96.44</v>
      </c>
      <c r="P159" s="77">
        <v>187.55590000000001</v>
      </c>
      <c r="Q159" s="78">
        <f t="shared" si="3"/>
        <v>2.1713569424844721E-3</v>
      </c>
      <c r="R159" s="78">
        <f>P159/'סכום נכסי הקרן'!$C$42</f>
        <v>5.1693743403390036E-5</v>
      </c>
    </row>
    <row r="160" spans="2:18">
      <c r="B160" s="76" t="s">
        <v>2352</v>
      </c>
      <c r="C160" s="83" t="s">
        <v>2254</v>
      </c>
      <c r="D160" s="70">
        <v>6956</v>
      </c>
      <c r="E160" s="70"/>
      <c r="F160" s="70" t="s">
        <v>2261</v>
      </c>
      <c r="G160" s="97">
        <v>43628</v>
      </c>
      <c r="H160" s="70" t="s">
        <v>291</v>
      </c>
      <c r="I160" s="77">
        <v>0.63</v>
      </c>
      <c r="J160" s="83" t="s">
        <v>142</v>
      </c>
      <c r="K160" s="83" t="s">
        <v>159</v>
      </c>
      <c r="L160" s="84">
        <v>5.2930000000000005E-2</v>
      </c>
      <c r="M160" s="84">
        <v>0.13009999999999999</v>
      </c>
      <c r="N160" s="77">
        <v>96882.69</v>
      </c>
      <c r="O160" s="79">
        <v>96.44</v>
      </c>
      <c r="P160" s="77">
        <v>323.84107</v>
      </c>
      <c r="Q160" s="78">
        <f t="shared" si="3"/>
        <v>3.7491465510074589E-3</v>
      </c>
      <c r="R160" s="78">
        <f>P160/'סכום נכסי הקרן'!$C$42</f>
        <v>8.9256361309131147E-5</v>
      </c>
    </row>
    <row r="161" spans="2:18">
      <c r="B161" s="76" t="s">
        <v>2352</v>
      </c>
      <c r="C161" s="83" t="s">
        <v>2254</v>
      </c>
      <c r="D161" s="70">
        <v>6829</v>
      </c>
      <c r="E161" s="70"/>
      <c r="F161" s="70" t="s">
        <v>2261</v>
      </c>
      <c r="G161" s="97">
        <v>43552</v>
      </c>
      <c r="H161" s="70" t="s">
        <v>291</v>
      </c>
      <c r="I161" s="77">
        <v>0.63</v>
      </c>
      <c r="J161" s="83" t="s">
        <v>142</v>
      </c>
      <c r="K161" s="83" t="s">
        <v>159</v>
      </c>
      <c r="L161" s="84">
        <v>5.2930000000000005E-2</v>
      </c>
      <c r="M161" s="84">
        <v>0.12859999999999999</v>
      </c>
      <c r="N161" s="77">
        <v>39295.839999999997</v>
      </c>
      <c r="O161" s="79">
        <v>96.44</v>
      </c>
      <c r="P161" s="77">
        <v>131.35069000000001</v>
      </c>
      <c r="Q161" s="78">
        <f t="shared" si="3"/>
        <v>1.5206625471746063E-3</v>
      </c>
      <c r="R161" s="78">
        <f>P161/'סכום נכסי הקרן'!$C$42</f>
        <v>3.62025874137696E-5</v>
      </c>
    </row>
    <row r="162" spans="2:18">
      <c r="B162" s="76" t="s">
        <v>2352</v>
      </c>
      <c r="C162" s="83" t="s">
        <v>2254</v>
      </c>
      <c r="D162" s="70">
        <v>6886</v>
      </c>
      <c r="E162" s="70"/>
      <c r="F162" s="70" t="s">
        <v>2261</v>
      </c>
      <c r="G162" s="97">
        <v>43578</v>
      </c>
      <c r="H162" s="70" t="s">
        <v>291</v>
      </c>
      <c r="I162" s="77">
        <v>0.63</v>
      </c>
      <c r="J162" s="83" t="s">
        <v>142</v>
      </c>
      <c r="K162" s="83" t="s">
        <v>159</v>
      </c>
      <c r="L162" s="84">
        <v>5.2930000000000005E-2</v>
      </c>
      <c r="M162" s="84">
        <v>0.13009999999999999</v>
      </c>
      <c r="N162" s="77">
        <v>25400.46</v>
      </c>
      <c r="O162" s="79">
        <v>96.44</v>
      </c>
      <c r="P162" s="77">
        <v>84.903859999999995</v>
      </c>
      <c r="Q162" s="78">
        <f t="shared" si="3"/>
        <v>9.829420767607398E-4</v>
      </c>
      <c r="R162" s="78">
        <f>P162/'סכום נכסי הקרן'!$C$42</f>
        <v>2.3401014592435379E-5</v>
      </c>
    </row>
    <row r="163" spans="2:18">
      <c r="B163" s="76" t="s">
        <v>2352</v>
      </c>
      <c r="C163" s="83" t="s">
        <v>2254</v>
      </c>
      <c r="D163" s="70">
        <v>6889</v>
      </c>
      <c r="E163" s="70"/>
      <c r="F163" s="70" t="s">
        <v>2261</v>
      </c>
      <c r="G163" s="97">
        <v>43584</v>
      </c>
      <c r="H163" s="70" t="s">
        <v>291</v>
      </c>
      <c r="I163" s="77">
        <v>0.62999999999999989</v>
      </c>
      <c r="J163" s="83" t="s">
        <v>142</v>
      </c>
      <c r="K163" s="83" t="s">
        <v>159</v>
      </c>
      <c r="L163" s="84">
        <v>5.2930000000000005E-2</v>
      </c>
      <c r="M163" s="84">
        <v>0.13010000000000002</v>
      </c>
      <c r="N163" s="77">
        <v>48557.42</v>
      </c>
      <c r="O163" s="79">
        <v>96.44</v>
      </c>
      <c r="P163" s="77">
        <v>162.30856</v>
      </c>
      <c r="Q163" s="78">
        <f t="shared" si="3"/>
        <v>1.879065487039637E-3</v>
      </c>
      <c r="R163" s="78">
        <f>P163/'סכום נכסי הקרן'!$C$42</f>
        <v>4.47351272490694E-5</v>
      </c>
    </row>
    <row r="164" spans="2:18">
      <c r="B164" s="76" t="s">
        <v>2352</v>
      </c>
      <c r="C164" s="83" t="s">
        <v>2254</v>
      </c>
      <c r="D164" s="70">
        <v>6926</v>
      </c>
      <c r="E164" s="70"/>
      <c r="F164" s="70" t="s">
        <v>2261</v>
      </c>
      <c r="G164" s="97">
        <v>43614</v>
      </c>
      <c r="H164" s="70" t="s">
        <v>291</v>
      </c>
      <c r="I164" s="77">
        <v>0.63</v>
      </c>
      <c r="J164" s="83" t="s">
        <v>142</v>
      </c>
      <c r="K164" s="83" t="s">
        <v>159</v>
      </c>
      <c r="L164" s="84">
        <v>5.2930000000000005E-2</v>
      </c>
      <c r="M164" s="84">
        <v>0.13009999999999999</v>
      </c>
      <c r="N164" s="77">
        <v>21404.38</v>
      </c>
      <c r="O164" s="79">
        <v>96.44</v>
      </c>
      <c r="P164" s="77">
        <v>71.546520000000001</v>
      </c>
      <c r="Q164" s="78">
        <f t="shared" si="3"/>
        <v>8.283025642627298E-4</v>
      </c>
      <c r="R164" s="78">
        <f>P164/'סכום נכסי הקרן'!$C$42</f>
        <v>1.9719494008375706E-5</v>
      </c>
    </row>
    <row r="165" spans="2:18">
      <c r="B165" s="76" t="s">
        <v>2352</v>
      </c>
      <c r="C165" s="83" t="s">
        <v>2254</v>
      </c>
      <c r="D165" s="70">
        <v>91050042</v>
      </c>
      <c r="E165" s="70"/>
      <c r="F165" s="70" t="s">
        <v>2261</v>
      </c>
      <c r="G165" s="97">
        <v>43949</v>
      </c>
      <c r="H165" s="70" t="s">
        <v>291</v>
      </c>
      <c r="I165" s="77">
        <v>0.62999999999999989</v>
      </c>
      <c r="J165" s="83" t="s">
        <v>142</v>
      </c>
      <c r="K165" s="83" t="s">
        <v>159</v>
      </c>
      <c r="L165" s="84">
        <v>5.1269000000000002E-2</v>
      </c>
      <c r="M165" s="84">
        <v>5.2299999999999992E-2</v>
      </c>
      <c r="N165" s="77">
        <v>12629.52</v>
      </c>
      <c r="O165" s="79">
        <v>100.77</v>
      </c>
      <c r="P165" s="77">
        <v>44.110980000000005</v>
      </c>
      <c r="Q165" s="78">
        <f t="shared" si="3"/>
        <v>5.1067805738339185E-4</v>
      </c>
      <c r="R165" s="78">
        <f>P165/'סכום נכסי הקרן'!$C$42</f>
        <v>1.2157770997297712E-5</v>
      </c>
    </row>
    <row r="166" spans="2:18">
      <c r="B166" s="76" t="s">
        <v>2352</v>
      </c>
      <c r="C166" s="83" t="s">
        <v>2254</v>
      </c>
      <c r="D166" s="70">
        <v>7112</v>
      </c>
      <c r="E166" s="70"/>
      <c r="F166" s="70" t="s">
        <v>2261</v>
      </c>
      <c r="G166" s="97">
        <v>43706</v>
      </c>
      <c r="H166" s="70" t="s">
        <v>291</v>
      </c>
      <c r="I166" s="77">
        <v>0.63</v>
      </c>
      <c r="J166" s="83" t="s">
        <v>142</v>
      </c>
      <c r="K166" s="83" t="s">
        <v>159</v>
      </c>
      <c r="L166" s="84">
        <v>5.2930000000000005E-2</v>
      </c>
      <c r="M166" s="84">
        <v>0.12970000000000001</v>
      </c>
      <c r="N166" s="77">
        <v>11752.42</v>
      </c>
      <c r="O166" s="79">
        <v>96.46</v>
      </c>
      <c r="P166" s="77">
        <v>39.291919999999998</v>
      </c>
      <c r="Q166" s="78">
        <f t="shared" si="3"/>
        <v>4.548872270909338E-4</v>
      </c>
      <c r="R166" s="78">
        <f>P166/'סכום נכסי הקרן'!$C$42</f>
        <v>1.0829552311105802E-5</v>
      </c>
    </row>
    <row r="167" spans="2:18">
      <c r="B167" s="76" t="s">
        <v>2352</v>
      </c>
      <c r="C167" s="83" t="s">
        <v>2254</v>
      </c>
      <c r="D167" s="70">
        <v>7236</v>
      </c>
      <c r="E167" s="70"/>
      <c r="F167" s="70" t="s">
        <v>2261</v>
      </c>
      <c r="G167" s="97">
        <v>43761</v>
      </c>
      <c r="H167" s="70" t="s">
        <v>291</v>
      </c>
      <c r="I167" s="77">
        <v>0.63</v>
      </c>
      <c r="J167" s="83" t="s">
        <v>142</v>
      </c>
      <c r="K167" s="83" t="s">
        <v>159</v>
      </c>
      <c r="L167" s="84">
        <v>5.2930000000000005E-2</v>
      </c>
      <c r="M167" s="84">
        <v>0.12970000000000001</v>
      </c>
      <c r="N167" s="77">
        <v>29777.21</v>
      </c>
      <c r="O167" s="79">
        <v>96.46</v>
      </c>
      <c r="P167" s="77">
        <v>99.554259999999999</v>
      </c>
      <c r="Q167" s="78">
        <f t="shared" si="3"/>
        <v>1.1525514985393911E-3</v>
      </c>
      <c r="R167" s="78">
        <f>P167/'סכום נכסי הקרן'!$C$42</f>
        <v>2.7438925521161298E-5</v>
      </c>
    </row>
    <row r="168" spans="2:18">
      <c r="B168" s="76" t="s">
        <v>2352</v>
      </c>
      <c r="C168" s="83" t="s">
        <v>2254</v>
      </c>
      <c r="D168" s="70">
        <v>7370</v>
      </c>
      <c r="E168" s="70"/>
      <c r="F168" s="70" t="s">
        <v>2261</v>
      </c>
      <c r="G168" s="97">
        <v>43853</v>
      </c>
      <c r="H168" s="70" t="s">
        <v>291</v>
      </c>
      <c r="I168" s="77">
        <v>0.63</v>
      </c>
      <c r="J168" s="83" t="s">
        <v>142</v>
      </c>
      <c r="K168" s="83" t="s">
        <v>159</v>
      </c>
      <c r="L168" s="84">
        <v>5.2930000000000005E-2</v>
      </c>
      <c r="M168" s="84">
        <v>0.12970000000000004</v>
      </c>
      <c r="N168" s="77">
        <v>28228.15</v>
      </c>
      <c r="O168" s="79">
        <v>96.46</v>
      </c>
      <c r="P168" s="77">
        <v>94.375259999999997</v>
      </c>
      <c r="Q168" s="78">
        <f t="shared" si="3"/>
        <v>1.0925936000935033E-3</v>
      </c>
      <c r="R168" s="78">
        <f>P168/'סכום נכסי הקרן'!$C$42</f>
        <v>2.6011500966209111E-5</v>
      </c>
    </row>
    <row r="169" spans="2:18">
      <c r="B169" s="76" t="s">
        <v>2352</v>
      </c>
      <c r="C169" s="83" t="s">
        <v>2254</v>
      </c>
      <c r="D169" s="70">
        <v>7453</v>
      </c>
      <c r="E169" s="70"/>
      <c r="F169" s="70" t="s">
        <v>2261</v>
      </c>
      <c r="G169" s="97">
        <v>43888</v>
      </c>
      <c r="H169" s="70" t="s">
        <v>291</v>
      </c>
      <c r="I169" s="77">
        <v>0.63</v>
      </c>
      <c r="J169" s="83" t="s">
        <v>142</v>
      </c>
      <c r="K169" s="83" t="s">
        <v>159</v>
      </c>
      <c r="L169" s="84">
        <v>5.2930000000000005E-2</v>
      </c>
      <c r="M169" s="84">
        <v>0.12970000000000001</v>
      </c>
      <c r="N169" s="77">
        <v>22464.79</v>
      </c>
      <c r="O169" s="79">
        <v>96.46</v>
      </c>
      <c r="P169" s="77">
        <v>75.106589999999997</v>
      </c>
      <c r="Q169" s="78">
        <f t="shared" si="3"/>
        <v>8.6951791771325141E-4</v>
      </c>
      <c r="R169" s="78">
        <f>P169/'סכום נכסי הקרן'!$C$42</f>
        <v>2.0700712648141804E-5</v>
      </c>
    </row>
    <row r="170" spans="2:18">
      <c r="B170" s="76" t="s">
        <v>2352</v>
      </c>
      <c r="C170" s="83" t="s">
        <v>2254</v>
      </c>
      <c r="D170" s="70">
        <v>7507</v>
      </c>
      <c r="E170" s="70"/>
      <c r="F170" s="70" t="s">
        <v>2261</v>
      </c>
      <c r="G170" s="97">
        <v>43920</v>
      </c>
      <c r="H170" s="70" t="s">
        <v>291</v>
      </c>
      <c r="I170" s="77">
        <v>0.62999999999999989</v>
      </c>
      <c r="J170" s="83" t="s">
        <v>142</v>
      </c>
      <c r="K170" s="83" t="s">
        <v>159</v>
      </c>
      <c r="L170" s="84">
        <v>5.2930000000000005E-2</v>
      </c>
      <c r="M170" s="84">
        <v>0.12970000000000001</v>
      </c>
      <c r="N170" s="77">
        <v>15314.83</v>
      </c>
      <c r="O170" s="79">
        <v>96.46</v>
      </c>
      <c r="P170" s="77">
        <v>51.20214</v>
      </c>
      <c r="Q170" s="78">
        <f t="shared" si="3"/>
        <v>5.927732593806E-4</v>
      </c>
      <c r="R170" s="78">
        <f>P170/'סכום נכסי הקרן'!$C$42</f>
        <v>1.4112220873160764E-5</v>
      </c>
    </row>
    <row r="171" spans="2:18">
      <c r="B171" s="76" t="s">
        <v>2352</v>
      </c>
      <c r="C171" s="83" t="s">
        <v>2254</v>
      </c>
      <c r="D171" s="70">
        <v>91050041</v>
      </c>
      <c r="E171" s="70"/>
      <c r="F171" s="70" t="s">
        <v>2261</v>
      </c>
      <c r="G171" s="97">
        <v>43944</v>
      </c>
      <c r="H171" s="70" t="s">
        <v>291</v>
      </c>
      <c r="I171" s="77">
        <v>0.63</v>
      </c>
      <c r="J171" s="83" t="s">
        <v>142</v>
      </c>
      <c r="K171" s="83" t="s">
        <v>159</v>
      </c>
      <c r="L171" s="84">
        <v>5.2930000000000005E-2</v>
      </c>
      <c r="M171" s="84">
        <v>5.4100000000000002E-2</v>
      </c>
      <c r="N171" s="77">
        <v>27859.279999999999</v>
      </c>
      <c r="O171" s="79">
        <v>100.77</v>
      </c>
      <c r="P171" s="77">
        <v>97.303789999999992</v>
      </c>
      <c r="Q171" s="78">
        <f t="shared" si="3"/>
        <v>1.1264975399150393E-3</v>
      </c>
      <c r="R171" s="78">
        <f>P171/'סכום נכסי הקרן'!$C$42</f>
        <v>2.6818655944373643E-5</v>
      </c>
    </row>
    <row r="172" spans="2:18">
      <c r="B172" s="76" t="s">
        <v>2352</v>
      </c>
      <c r="C172" s="83" t="s">
        <v>2254</v>
      </c>
      <c r="D172" s="70">
        <v>7058</v>
      </c>
      <c r="E172" s="70"/>
      <c r="F172" s="70" t="s">
        <v>2261</v>
      </c>
      <c r="G172" s="97">
        <v>43669</v>
      </c>
      <c r="H172" s="70" t="s">
        <v>291</v>
      </c>
      <c r="I172" s="77">
        <v>0.62999999999999989</v>
      </c>
      <c r="J172" s="83" t="s">
        <v>142</v>
      </c>
      <c r="K172" s="83" t="s">
        <v>159</v>
      </c>
      <c r="L172" s="84">
        <v>5.2930000000000005E-2</v>
      </c>
      <c r="M172" s="84">
        <v>0.12970000000000001</v>
      </c>
      <c r="N172" s="77">
        <v>1502.67</v>
      </c>
      <c r="O172" s="79">
        <v>96.46</v>
      </c>
      <c r="P172" s="77">
        <v>5.0238999999999994</v>
      </c>
      <c r="Q172" s="78">
        <f t="shared" si="3"/>
        <v>5.8162287314596542E-5</v>
      </c>
      <c r="R172" s="78">
        <f>P172/'סכום נכסי הקרן'!$C$42</f>
        <v>1.3846762351079926E-6</v>
      </c>
    </row>
    <row r="173" spans="2:18">
      <c r="B173" s="76" t="s">
        <v>2352</v>
      </c>
      <c r="C173" s="83" t="s">
        <v>2254</v>
      </c>
      <c r="D173" s="70">
        <v>7078</v>
      </c>
      <c r="E173" s="70"/>
      <c r="F173" s="70" t="s">
        <v>2261</v>
      </c>
      <c r="G173" s="97">
        <v>43669</v>
      </c>
      <c r="H173" s="70" t="s">
        <v>291</v>
      </c>
      <c r="I173" s="77">
        <v>0.63</v>
      </c>
      <c r="J173" s="83" t="s">
        <v>142</v>
      </c>
      <c r="K173" s="83" t="s">
        <v>159</v>
      </c>
      <c r="L173" s="84">
        <v>5.2930000000000005E-2</v>
      </c>
      <c r="M173" s="84">
        <v>0.12970000000000001</v>
      </c>
      <c r="N173" s="77">
        <v>27048.560000000001</v>
      </c>
      <c r="O173" s="79">
        <v>96.46</v>
      </c>
      <c r="P173" s="77">
        <v>90.431579999999997</v>
      </c>
      <c r="Q173" s="78">
        <f t="shared" si="3"/>
        <v>1.0469371480867299E-3</v>
      </c>
      <c r="R173" s="78">
        <f>P173/'סכום נכסי הקרן'!$C$42</f>
        <v>2.4924552584499541E-5</v>
      </c>
    </row>
    <row r="174" spans="2:18">
      <c r="B174" s="76" t="s">
        <v>2352</v>
      </c>
      <c r="C174" s="83" t="s">
        <v>2254</v>
      </c>
      <c r="D174" s="70">
        <v>91040013</v>
      </c>
      <c r="E174" s="70"/>
      <c r="F174" s="70" t="s">
        <v>2261</v>
      </c>
      <c r="G174" s="97">
        <v>43643</v>
      </c>
      <c r="H174" s="70" t="s">
        <v>291</v>
      </c>
      <c r="I174" s="77">
        <v>0.64</v>
      </c>
      <c r="J174" s="83" t="s">
        <v>142</v>
      </c>
      <c r="K174" s="83" t="s">
        <v>159</v>
      </c>
      <c r="L174" s="84">
        <v>4.5999999999999999E-2</v>
      </c>
      <c r="M174" s="84">
        <v>0.11699999999999999</v>
      </c>
      <c r="N174" s="77">
        <v>29751.94</v>
      </c>
      <c r="O174" s="79">
        <v>96.46</v>
      </c>
      <c r="P174" s="77">
        <v>99.469770000000011</v>
      </c>
      <c r="Q174" s="78">
        <f>P174/$P$10</f>
        <v>1.1515733477690314E-3</v>
      </c>
      <c r="R174" s="78">
        <f>P174/'סכום נכסי הקרן'!$C$42</f>
        <v>2.7415638573749076E-5</v>
      </c>
    </row>
    <row r="175" spans="2:18">
      <c r="B175" s="76" t="s">
        <v>2353</v>
      </c>
      <c r="C175" s="83" t="s">
        <v>2255</v>
      </c>
      <c r="D175" s="70">
        <v>90141407</v>
      </c>
      <c r="E175" s="70"/>
      <c r="F175" s="70" t="s">
        <v>2262</v>
      </c>
      <c r="G175" s="97">
        <v>42372</v>
      </c>
      <c r="H175" s="70" t="s">
        <v>156</v>
      </c>
      <c r="I175" s="77">
        <v>8.7900000000000009</v>
      </c>
      <c r="J175" s="83" t="s">
        <v>152</v>
      </c>
      <c r="K175" s="83" t="s">
        <v>160</v>
      </c>
      <c r="L175" s="84">
        <v>6.7000000000000004E-2</v>
      </c>
      <c r="M175" s="84">
        <v>2.6300000000000004E-2</v>
      </c>
      <c r="N175" s="77">
        <v>1035636.53</v>
      </c>
      <c r="O175" s="79">
        <v>140.01</v>
      </c>
      <c r="P175" s="77">
        <v>1449.9947299999999</v>
      </c>
      <c r="Q175" s="78">
        <f t="shared" si="3"/>
        <v>1.6786761299172125E-2</v>
      </c>
      <c r="R175" s="78">
        <f>P175/'סכום נכסי הקרן'!$C$42</f>
        <v>3.9964434874556227E-4</v>
      </c>
    </row>
    <row r="176" spans="2:18">
      <c r="B176" s="76" t="s">
        <v>2354</v>
      </c>
      <c r="C176" s="83" t="s">
        <v>2254</v>
      </c>
      <c r="D176" s="70">
        <v>90800100</v>
      </c>
      <c r="E176" s="70"/>
      <c r="F176" s="70" t="s">
        <v>2263</v>
      </c>
      <c r="G176" s="97">
        <v>41529</v>
      </c>
      <c r="H176" s="70" t="s">
        <v>2252</v>
      </c>
      <c r="I176" s="77">
        <v>2.81</v>
      </c>
      <c r="J176" s="83" t="s">
        <v>797</v>
      </c>
      <c r="K176" s="83" t="s">
        <v>160</v>
      </c>
      <c r="L176" s="84">
        <v>7.6999999999999999E-2</v>
      </c>
      <c r="M176" s="84">
        <v>0</v>
      </c>
      <c r="N176" s="77">
        <v>1243303.6299999999</v>
      </c>
      <c r="O176" s="79">
        <v>0</v>
      </c>
      <c r="P176" s="79">
        <v>0</v>
      </c>
      <c r="Q176" s="78">
        <f t="shared" si="3"/>
        <v>0</v>
      </c>
      <c r="R176" s="78">
        <f>P176/'סכום נכסי הקרן'!$C$42</f>
        <v>0</v>
      </c>
    </row>
    <row r="177" spans="2:18">
      <c r="B177" s="73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7"/>
      <c r="O177" s="79"/>
      <c r="P177" s="70"/>
      <c r="Q177" s="78"/>
      <c r="R177" s="70"/>
    </row>
    <row r="178" spans="2:18">
      <c r="B178" s="71" t="s">
        <v>37</v>
      </c>
      <c r="C178" s="72"/>
      <c r="D178" s="72"/>
      <c r="E178" s="72"/>
      <c r="F178" s="72"/>
      <c r="G178" s="72"/>
      <c r="H178" s="72"/>
      <c r="I178" s="80">
        <v>2.3103465336865208</v>
      </c>
      <c r="J178" s="72"/>
      <c r="K178" s="72"/>
      <c r="L178" s="72"/>
      <c r="M178" s="94">
        <v>4.1417352770569849E-2</v>
      </c>
      <c r="N178" s="80"/>
      <c r="O178" s="82"/>
      <c r="P178" s="80">
        <f>P179</f>
        <v>6481.57708</v>
      </c>
      <c r="Q178" s="81">
        <f t="shared" ref="Q178:Q185" si="4">P178/$P$10</f>
        <v>7.5037988092649888E-2</v>
      </c>
      <c r="R178" s="81">
        <f>P178/'סכום נכסי הקרן'!$C$42</f>
        <v>1.7864379762130332E-3</v>
      </c>
    </row>
    <row r="179" spans="2:18">
      <c r="B179" s="89" t="s">
        <v>35</v>
      </c>
      <c r="C179" s="72"/>
      <c r="D179" s="72"/>
      <c r="E179" s="72"/>
      <c r="F179" s="72"/>
      <c r="G179" s="72"/>
      <c r="H179" s="72"/>
      <c r="I179" s="80">
        <v>2.3103465336865203</v>
      </c>
      <c r="J179" s="72"/>
      <c r="K179" s="72"/>
      <c r="L179" s="72"/>
      <c r="M179" s="94">
        <v>4.1417352770569842E-2</v>
      </c>
      <c r="N179" s="80"/>
      <c r="O179" s="82"/>
      <c r="P179" s="80">
        <f>SUM(P180:P185)</f>
        <v>6481.57708</v>
      </c>
      <c r="Q179" s="81">
        <f t="shared" si="4"/>
        <v>7.5037988092649888E-2</v>
      </c>
      <c r="R179" s="81">
        <f>P179/'סכום נכסי הקרן'!$C$42</f>
        <v>1.7864379762130332E-3</v>
      </c>
    </row>
    <row r="180" spans="2:18">
      <c r="B180" s="76" t="s">
        <v>2355</v>
      </c>
      <c r="C180" s="83" t="s">
        <v>2254</v>
      </c>
      <c r="D180" s="70">
        <v>4623</v>
      </c>
      <c r="E180" s="70"/>
      <c r="F180" s="70" t="s">
        <v>2264</v>
      </c>
      <c r="G180" s="97">
        <v>42354</v>
      </c>
      <c r="H180" s="70" t="s">
        <v>2265</v>
      </c>
      <c r="I180" s="77">
        <v>4.4000000000000004</v>
      </c>
      <c r="J180" s="83" t="s">
        <v>1839</v>
      </c>
      <c r="K180" s="83" t="s">
        <v>159</v>
      </c>
      <c r="L180" s="84">
        <v>5.0199999999999995E-2</v>
      </c>
      <c r="M180" s="84">
        <v>2.87E-2</v>
      </c>
      <c r="N180" s="77">
        <v>288771</v>
      </c>
      <c r="O180" s="79">
        <v>112.43</v>
      </c>
      <c r="P180" s="77">
        <v>1125.2896899999998</v>
      </c>
      <c r="Q180" s="78">
        <f t="shared" si="4"/>
        <v>1.3027612464804886E-2</v>
      </c>
      <c r="R180" s="78">
        <f>P180/'סכום נכסי הקרן'!$C$42</f>
        <v>3.1014986193097794E-4</v>
      </c>
    </row>
    <row r="181" spans="2:18">
      <c r="B181" s="76" t="s">
        <v>2356</v>
      </c>
      <c r="C181" s="83" t="s">
        <v>2254</v>
      </c>
      <c r="D181" s="70">
        <v>487557</v>
      </c>
      <c r="E181" s="70"/>
      <c r="F181" s="70" t="s">
        <v>2266</v>
      </c>
      <c r="G181" s="97">
        <v>42978</v>
      </c>
      <c r="H181" s="70" t="s">
        <v>1841</v>
      </c>
      <c r="I181" s="77">
        <v>1.71</v>
      </c>
      <c r="J181" s="83" t="s">
        <v>1839</v>
      </c>
      <c r="K181" s="83" t="s">
        <v>159</v>
      </c>
      <c r="L181" s="84">
        <v>3.9281999999999997E-2</v>
      </c>
      <c r="M181" s="84">
        <v>4.4600000000000008E-2</v>
      </c>
      <c r="N181" s="77">
        <v>314107.59999999998</v>
      </c>
      <c r="O181" s="79">
        <v>99.29</v>
      </c>
      <c r="P181" s="77">
        <v>1080.9672</v>
      </c>
      <c r="Q181" s="78">
        <f t="shared" si="4"/>
        <v>1.251448573101673E-2</v>
      </c>
      <c r="R181" s="78">
        <f>P181/'סכום נכסי הקרן'!$C$42</f>
        <v>2.9793379501407845E-4</v>
      </c>
    </row>
    <row r="182" spans="2:18">
      <c r="B182" s="76" t="s">
        <v>2356</v>
      </c>
      <c r="C182" s="83" t="s">
        <v>2254</v>
      </c>
      <c r="D182" s="70">
        <v>487556</v>
      </c>
      <c r="E182" s="70"/>
      <c r="F182" s="70" t="s">
        <v>2267</v>
      </c>
      <c r="G182" s="97">
        <v>42438</v>
      </c>
      <c r="H182" s="70" t="s">
        <v>1841</v>
      </c>
      <c r="I182" s="77">
        <v>2.15</v>
      </c>
      <c r="J182" s="83" t="s">
        <v>1839</v>
      </c>
      <c r="K182" s="83" t="s">
        <v>159</v>
      </c>
      <c r="L182" s="84">
        <v>6.3078999999999996E-2</v>
      </c>
      <c r="M182" s="84">
        <v>6.8899999999999989E-2</v>
      </c>
      <c r="N182" s="77">
        <v>115159.35</v>
      </c>
      <c r="O182" s="79">
        <v>99.32</v>
      </c>
      <c r="P182" s="77">
        <v>396.42815000000002</v>
      </c>
      <c r="Q182" s="78">
        <f t="shared" si="4"/>
        <v>4.5894958020450205E-3</v>
      </c>
      <c r="R182" s="78">
        <f>P182/'סכום נכסי הקרן'!$C$42</f>
        <v>1.0926265216919657E-4</v>
      </c>
    </row>
    <row r="183" spans="2:18">
      <c r="B183" s="76" t="s">
        <v>2357</v>
      </c>
      <c r="C183" s="83" t="s">
        <v>2254</v>
      </c>
      <c r="D183" s="70">
        <v>487447</v>
      </c>
      <c r="E183" s="70"/>
      <c r="F183" s="70" t="s">
        <v>647</v>
      </c>
      <c r="G183" s="97">
        <v>42682</v>
      </c>
      <c r="H183" s="70"/>
      <c r="I183" s="77">
        <v>1.9399999999999997</v>
      </c>
      <c r="J183" s="83" t="s">
        <v>1839</v>
      </c>
      <c r="K183" s="83" t="s">
        <v>159</v>
      </c>
      <c r="L183" s="84">
        <v>2.9281999999999999E-2</v>
      </c>
      <c r="M183" s="84">
        <v>3.6999999999999998E-2</v>
      </c>
      <c r="N183" s="77">
        <v>685612.49</v>
      </c>
      <c r="O183" s="79">
        <v>98.68</v>
      </c>
      <c r="P183" s="77">
        <v>2344.9653900000003</v>
      </c>
      <c r="Q183" s="78">
        <f t="shared" si="4"/>
        <v>2.7147942983730761E-2</v>
      </c>
      <c r="R183" s="78">
        <f>P183/'סכום נכסי הקרן'!$C$42</f>
        <v>6.4631418771945027E-4</v>
      </c>
    </row>
    <row r="184" spans="2:18">
      <c r="B184" s="76" t="s">
        <v>2358</v>
      </c>
      <c r="C184" s="83" t="s">
        <v>2254</v>
      </c>
      <c r="D184" s="70">
        <v>474437</v>
      </c>
      <c r="E184" s="70"/>
      <c r="F184" s="70" t="s">
        <v>647</v>
      </c>
      <c r="G184" s="97">
        <v>42887</v>
      </c>
      <c r="H184" s="70"/>
      <c r="I184" s="77">
        <v>1.77</v>
      </c>
      <c r="J184" s="83" t="s">
        <v>1839</v>
      </c>
      <c r="K184" s="83" t="s">
        <v>159</v>
      </c>
      <c r="L184" s="84">
        <v>3.85E-2</v>
      </c>
      <c r="M184" s="84">
        <v>4.9599999999999998E-2</v>
      </c>
      <c r="N184" s="77">
        <v>278143.59000000003</v>
      </c>
      <c r="O184" s="79">
        <v>98.58</v>
      </c>
      <c r="P184" s="77">
        <v>950.35622999999998</v>
      </c>
      <c r="Q184" s="78">
        <f t="shared" si="4"/>
        <v>1.1002387010186668E-2</v>
      </c>
      <c r="R184" s="78">
        <f>P184/'סכום נכסי הקרן'!$C$42</f>
        <v>2.6193508759486168E-4</v>
      </c>
    </row>
    <row r="185" spans="2:18">
      <c r="B185" s="76" t="s">
        <v>2358</v>
      </c>
      <c r="C185" s="83" t="s">
        <v>2254</v>
      </c>
      <c r="D185" s="70">
        <v>474436</v>
      </c>
      <c r="E185" s="70"/>
      <c r="F185" s="70" t="s">
        <v>647</v>
      </c>
      <c r="G185" s="97">
        <v>42887</v>
      </c>
      <c r="H185" s="70"/>
      <c r="I185" s="77">
        <v>1.8699999999999999</v>
      </c>
      <c r="J185" s="83" t="s">
        <v>1839</v>
      </c>
      <c r="K185" s="83" t="s">
        <v>159</v>
      </c>
      <c r="L185" s="84">
        <v>3.6782000000000002E-2</v>
      </c>
      <c r="M185" s="84">
        <v>4.5799999999999993E-2</v>
      </c>
      <c r="N185" s="77">
        <v>170795.3</v>
      </c>
      <c r="O185" s="79">
        <v>98.58</v>
      </c>
      <c r="P185" s="77">
        <v>583.57042000000001</v>
      </c>
      <c r="Q185" s="78">
        <f t="shared" si="4"/>
        <v>6.7560641008658174E-3</v>
      </c>
      <c r="R185" s="78">
        <f>P185/'סכום נכסי הקרן'!$C$42</f>
        <v>1.6084239178446827E-4</v>
      </c>
    </row>
    <row r="189" spans="2:18">
      <c r="B189" s="85" t="s">
        <v>251</v>
      </c>
    </row>
    <row r="190" spans="2:18">
      <c r="B190" s="85" t="s">
        <v>108</v>
      </c>
    </row>
    <row r="191" spans="2:18">
      <c r="B191" s="85" t="s">
        <v>234</v>
      </c>
    </row>
    <row r="192" spans="2:18">
      <c r="B192" s="85" t="s">
        <v>242</v>
      </c>
    </row>
  </sheetData>
  <sheetProtection sheet="1" objects="1" scenarios="1"/>
  <mergeCells count="1">
    <mergeCell ref="B6:R6"/>
  </mergeCells>
  <phoneticPr fontId="3" type="noConversion"/>
  <conditionalFormatting sqref="B177:B179">
    <cfRule type="cellIs" dxfId="13" priority="10" operator="equal">
      <formula>2958465</formula>
    </cfRule>
    <cfRule type="cellIs" dxfId="12" priority="11" operator="equal">
      <formula>"NR3"</formula>
    </cfRule>
    <cfRule type="cellIs" dxfId="11" priority="12" operator="equal">
      <formula>"דירוג פנימי"</formula>
    </cfRule>
  </conditionalFormatting>
  <conditionalFormatting sqref="B177:B179">
    <cfRule type="cellIs" dxfId="10" priority="9" operator="equal">
      <formula>2958465</formula>
    </cfRule>
  </conditionalFormatting>
  <conditionalFormatting sqref="B11:B127">
    <cfRule type="cellIs" dxfId="9" priority="8" operator="equal">
      <formula>"NR3"</formula>
    </cfRule>
  </conditionalFormatting>
  <conditionalFormatting sqref="S12:S17">
    <cfRule type="cellIs" dxfId="8" priority="5" operator="equal">
      <formula>2958465</formula>
    </cfRule>
    <cfRule type="cellIs" dxfId="7" priority="6" operator="equal">
      <formula>"NR3"</formula>
    </cfRule>
    <cfRule type="cellIs" dxfId="6" priority="7" operator="equal">
      <formula>"דירוג פנימי"</formula>
    </cfRule>
  </conditionalFormatting>
  <conditionalFormatting sqref="S12:S17">
    <cfRule type="cellIs" dxfId="5" priority="4" operator="equal">
      <formula>2958465</formula>
    </cfRule>
  </conditionalFormatting>
  <conditionalFormatting sqref="B128:B159">
    <cfRule type="cellIs" dxfId="4" priority="3" operator="equal">
      <formula>"NR3"</formula>
    </cfRule>
  </conditionalFormatting>
  <conditionalFormatting sqref="B160:B176">
    <cfRule type="cellIs" dxfId="3" priority="2" operator="equal">
      <formula>"NR3"</formula>
    </cfRule>
  </conditionalFormatting>
  <conditionalFormatting sqref="B180:B185">
    <cfRule type="cellIs" dxfId="2" priority="1" operator="equal">
      <formula>"NR3"</formula>
    </cfRule>
  </conditionalFormatting>
  <dataValidations count="1">
    <dataValidation allowBlank="1" showInputMessage="1" showErrorMessage="1" sqref="C5 D1:R5 C7:R9 B1:B9 B186:R1048576 AD55:XFD58 S1:S11 A1:A1048576 S18:S1048576 T55:AB58 T59:XFD1048576 T1:XFD5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>
      <selection activeCell="M10" sqref="M1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47" t="s">
        <v>175</v>
      </c>
      <c r="C1" s="68" t="s" vm="1">
        <v>259</v>
      </c>
    </row>
    <row r="2" spans="2:64">
      <c r="B2" s="47" t="s">
        <v>174</v>
      </c>
      <c r="C2" s="68" t="s">
        <v>260</v>
      </c>
    </row>
    <row r="3" spans="2:64">
      <c r="B3" s="47" t="s">
        <v>176</v>
      </c>
      <c r="C3" s="68" t="s">
        <v>261</v>
      </c>
    </row>
    <row r="4" spans="2:64">
      <c r="B4" s="47" t="s">
        <v>177</v>
      </c>
      <c r="C4" s="68">
        <v>2207</v>
      </c>
    </row>
    <row r="6" spans="2:64" ht="26.25" customHeight="1">
      <c r="B6" s="126" t="s">
        <v>208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</row>
    <row r="7" spans="2:64" s="3" customFormat="1" ht="78.75">
      <c r="B7" s="48" t="s">
        <v>112</v>
      </c>
      <c r="C7" s="49" t="s">
        <v>43</v>
      </c>
      <c r="D7" s="49" t="s">
        <v>113</v>
      </c>
      <c r="E7" s="49" t="s">
        <v>14</v>
      </c>
      <c r="F7" s="49" t="s">
        <v>64</v>
      </c>
      <c r="G7" s="49" t="s">
        <v>17</v>
      </c>
      <c r="H7" s="49" t="s">
        <v>99</v>
      </c>
      <c r="I7" s="49" t="s">
        <v>51</v>
      </c>
      <c r="J7" s="49" t="s">
        <v>18</v>
      </c>
      <c r="K7" s="49" t="s">
        <v>236</v>
      </c>
      <c r="L7" s="49" t="s">
        <v>235</v>
      </c>
      <c r="M7" s="49" t="s">
        <v>107</v>
      </c>
      <c r="N7" s="49" t="s">
        <v>178</v>
      </c>
      <c r="O7" s="51" t="s">
        <v>180</v>
      </c>
      <c r="P7" s="1"/>
      <c r="Q7" s="1"/>
      <c r="R7" s="1"/>
      <c r="S7" s="1"/>
      <c r="T7" s="1"/>
      <c r="U7" s="1"/>
    </row>
    <row r="8" spans="2:64" s="3" customFormat="1" ht="24.75" customHeight="1">
      <c r="B8" s="15"/>
      <c r="C8" s="32"/>
      <c r="D8" s="32"/>
      <c r="E8" s="32"/>
      <c r="F8" s="32"/>
      <c r="G8" s="32" t="s">
        <v>20</v>
      </c>
      <c r="H8" s="32"/>
      <c r="I8" s="32" t="s">
        <v>19</v>
      </c>
      <c r="J8" s="32" t="s">
        <v>19</v>
      </c>
      <c r="K8" s="32" t="s">
        <v>243</v>
      </c>
      <c r="L8" s="32"/>
      <c r="M8" s="32" t="s">
        <v>239</v>
      </c>
      <c r="N8" s="32" t="s">
        <v>19</v>
      </c>
      <c r="O8" s="17" t="s">
        <v>19</v>
      </c>
      <c r="P8" s="1"/>
      <c r="Q8" s="1"/>
      <c r="R8" s="1"/>
      <c r="S8" s="1"/>
      <c r="T8" s="1"/>
      <c r="U8" s="1"/>
    </row>
    <row r="9" spans="2:64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20" t="s">
        <v>12</v>
      </c>
      <c r="P9" s="1"/>
      <c r="Q9" s="1"/>
      <c r="R9" s="1"/>
      <c r="S9" s="1"/>
      <c r="T9" s="1"/>
      <c r="U9" s="1"/>
    </row>
    <row r="10" spans="2:64" s="4" customFormat="1" ht="18" customHeight="1"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109">
        <v>0</v>
      </c>
      <c r="N10" s="69"/>
      <c r="O10" s="69"/>
      <c r="P10" s="1"/>
      <c r="Q10" s="1"/>
      <c r="R10" s="1"/>
      <c r="S10" s="1"/>
      <c r="T10" s="1"/>
      <c r="U10" s="1"/>
      <c r="BL10" s="1"/>
    </row>
    <row r="11" spans="2:64" ht="20.25" customHeight="1">
      <c r="B11" s="85" t="s">
        <v>251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</row>
    <row r="12" spans="2:64">
      <c r="B12" s="85" t="s">
        <v>108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spans="2:64">
      <c r="B13" s="85" t="s">
        <v>234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</row>
    <row r="14" spans="2:64">
      <c r="B14" s="85" t="s">
        <v>242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</row>
    <row r="15" spans="2:64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2:64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</row>
    <row r="17" spans="2:15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</row>
    <row r="18" spans="2:15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</row>
    <row r="19" spans="2:15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</row>
    <row r="20" spans="2:15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</row>
    <row r="21" spans="2:15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2:15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</row>
    <row r="23" spans="2:15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2:15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2:15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2:15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2:15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2:15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2:15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2:15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2:15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spans="2:15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</row>
    <row r="33" spans="2:15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</row>
    <row r="34" spans="2:15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</row>
    <row r="35" spans="2:15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2:15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</row>
    <row r="37" spans="2:15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</row>
    <row r="38" spans="2:15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2:15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</row>
    <row r="40" spans="2:15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</row>
    <row r="41" spans="2:15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  <row r="42" spans="2:15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2:15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</row>
    <row r="44" spans="2:15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</row>
    <row r="45" spans="2:15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</row>
    <row r="46" spans="2:15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</row>
    <row r="47" spans="2:15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</row>
    <row r="48" spans="2:15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spans="2:15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</row>
    <row r="50" spans="2:15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</row>
    <row r="51" spans="2:15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</row>
    <row r="52" spans="2:15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</row>
    <row r="53" spans="2:15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</row>
    <row r="54" spans="2:15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</row>
    <row r="55" spans="2:15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2:15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</row>
    <row r="57" spans="2:15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</row>
    <row r="58" spans="2:15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</row>
    <row r="59" spans="2:15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</row>
    <row r="60" spans="2:15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</row>
    <row r="61" spans="2:15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</row>
    <row r="62" spans="2:15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</row>
    <row r="63" spans="2:15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</row>
    <row r="64" spans="2:15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</row>
    <row r="65" spans="2:15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</row>
    <row r="66" spans="2:15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</row>
    <row r="67" spans="2:15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</row>
    <row r="68" spans="2:15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</row>
    <row r="69" spans="2:15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</row>
    <row r="70" spans="2:15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</row>
    <row r="71" spans="2:15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</row>
    <row r="72" spans="2:15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</row>
    <row r="73" spans="2:15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</row>
    <row r="74" spans="2:15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</row>
    <row r="75" spans="2:15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</row>
    <row r="76" spans="2:15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</row>
    <row r="77" spans="2:15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</row>
    <row r="78" spans="2:15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</row>
    <row r="79" spans="2:15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2:15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</row>
    <row r="81" spans="2:15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</row>
    <row r="82" spans="2:15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</row>
    <row r="83" spans="2:15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</row>
    <row r="84" spans="2:15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</row>
    <row r="85" spans="2:15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</row>
    <row r="86" spans="2:15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</row>
    <row r="87" spans="2:15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</row>
    <row r="88" spans="2:15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</row>
    <row r="89" spans="2:15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</row>
    <row r="90" spans="2:15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</row>
    <row r="91" spans="2:15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</row>
    <row r="92" spans="2:15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</row>
    <row r="93" spans="2:15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</row>
    <row r="94" spans="2:15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</row>
    <row r="95" spans="2:15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</row>
    <row r="96" spans="2:15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</row>
    <row r="97" spans="2:15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</row>
    <row r="98" spans="2:15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</row>
    <row r="99" spans="2:15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</row>
    <row r="100" spans="2:15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</row>
    <row r="101" spans="2:15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</row>
    <row r="102" spans="2:15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</row>
    <row r="103" spans="2:15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</row>
    <row r="104" spans="2:15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</row>
    <row r="105" spans="2:15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</row>
    <row r="106" spans="2:15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</row>
    <row r="107" spans="2:15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</row>
    <row r="108" spans="2:15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</row>
    <row r="109" spans="2:15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AH30:XFD33 D34:XFD1048576 D30:AF33 D1:L29 N1:XFD29 M1:M9 M11:M29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B862"/>
  <sheetViews>
    <sheetView rightToLeft="1" zoomScale="80" zoomScaleNormal="80" workbookViewId="0">
      <selection activeCell="A18" sqref="A18"/>
    </sheetView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69.285156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1.5703125" style="1" bestFit="1" customWidth="1"/>
    <col min="8" max="8" width="9.7109375" style="1" bestFit="1" customWidth="1"/>
    <col min="9" max="9" width="10.42578125" style="1" bestFit="1" customWidth="1"/>
    <col min="10" max="10" width="36.5703125" style="1" bestFit="1" customWidth="1"/>
    <col min="11" max="11" width="48.7109375" style="3" bestFit="1" customWidth="1"/>
    <col min="12" max="12" width="11.28515625" style="3" bestFit="1" customWidth="1"/>
    <col min="13" max="13" width="7.7109375" style="3" customWidth="1"/>
    <col min="14" max="14" width="7.140625" style="3" customWidth="1"/>
    <col min="15" max="15" width="8.140625" style="3" customWidth="1"/>
    <col min="16" max="16" width="6.28515625" style="3" customWidth="1"/>
    <col min="17" max="17" width="8" style="3" customWidth="1"/>
    <col min="18" max="18" width="8.7109375" style="3" customWidth="1"/>
    <col min="19" max="19" width="10" style="3" customWidth="1"/>
    <col min="20" max="20" width="9.5703125" style="3" customWidth="1"/>
    <col min="21" max="21" width="6.140625" style="3" customWidth="1"/>
    <col min="22" max="23" width="5.7109375" style="3" customWidth="1"/>
    <col min="24" max="24" width="6.85546875" style="3" customWidth="1"/>
    <col min="25" max="25" width="6.42578125" style="3" customWidth="1"/>
    <col min="26" max="26" width="6.7109375" style="3" customWidth="1"/>
    <col min="27" max="27" width="7.28515625" style="3" customWidth="1"/>
    <col min="28" max="39" width="5.7109375" style="3" customWidth="1"/>
    <col min="40" max="54" width="9.140625" style="3"/>
    <col min="55" max="16384" width="9.140625" style="1"/>
  </cols>
  <sheetData>
    <row r="1" spans="2:54">
      <c r="B1" s="47" t="s">
        <v>175</v>
      </c>
      <c r="C1" s="68" t="s" vm="1">
        <v>259</v>
      </c>
    </row>
    <row r="2" spans="2:54">
      <c r="B2" s="47" t="s">
        <v>174</v>
      </c>
      <c r="C2" s="68" t="s">
        <v>260</v>
      </c>
    </row>
    <row r="3" spans="2:54">
      <c r="B3" s="47" t="s">
        <v>176</v>
      </c>
      <c r="C3" s="68" t="s">
        <v>261</v>
      </c>
    </row>
    <row r="4" spans="2:54">
      <c r="B4" s="47" t="s">
        <v>177</v>
      </c>
      <c r="C4" s="68">
        <v>2207</v>
      </c>
    </row>
    <row r="6" spans="2:54" ht="26.25" customHeight="1">
      <c r="B6" s="126" t="s">
        <v>209</v>
      </c>
      <c r="C6" s="127"/>
      <c r="D6" s="127"/>
      <c r="E6" s="127"/>
      <c r="F6" s="127"/>
      <c r="G6" s="127"/>
      <c r="H6" s="127"/>
      <c r="I6" s="127"/>
      <c r="J6" s="128"/>
    </row>
    <row r="7" spans="2:54" s="3" customFormat="1" ht="78.75">
      <c r="B7" s="48" t="s">
        <v>112</v>
      </c>
      <c r="C7" s="50" t="s">
        <v>53</v>
      </c>
      <c r="D7" s="50" t="s">
        <v>83</v>
      </c>
      <c r="E7" s="50" t="s">
        <v>54</v>
      </c>
      <c r="F7" s="50" t="s">
        <v>99</v>
      </c>
      <c r="G7" s="50" t="s">
        <v>220</v>
      </c>
      <c r="H7" s="50" t="s">
        <v>178</v>
      </c>
      <c r="I7" s="50" t="s">
        <v>179</v>
      </c>
      <c r="J7" s="65" t="s">
        <v>246</v>
      </c>
    </row>
    <row r="8" spans="2:54" s="3" customFormat="1" ht="22.5" customHeight="1">
      <c r="B8" s="15"/>
      <c r="C8" s="16" t="s">
        <v>21</v>
      </c>
      <c r="D8" s="16"/>
      <c r="E8" s="16" t="s">
        <v>19</v>
      </c>
      <c r="F8" s="16"/>
      <c r="G8" s="16" t="s">
        <v>240</v>
      </c>
      <c r="H8" s="32" t="s">
        <v>19</v>
      </c>
      <c r="I8" s="32" t="s">
        <v>19</v>
      </c>
      <c r="J8" s="17"/>
    </row>
    <row r="9" spans="2:54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20" t="s">
        <v>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</row>
    <row r="10" spans="2:54" s="4" customFormat="1" ht="18" customHeight="1">
      <c r="B10" s="114" t="s">
        <v>39</v>
      </c>
      <c r="C10" s="114"/>
      <c r="D10" s="114"/>
      <c r="E10" s="120">
        <v>6.9475459429668998E-2</v>
      </c>
      <c r="F10" s="111"/>
      <c r="G10" s="112">
        <v>19795.063719999998</v>
      </c>
      <c r="H10" s="113">
        <f>G10/$G$10</f>
        <v>1</v>
      </c>
      <c r="I10" s="113">
        <f>G10/'סכום נכסי הקרן'!$C$42</f>
        <v>5.455871793931491E-3</v>
      </c>
      <c r="J10" s="11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</row>
    <row r="11" spans="2:54" s="86" customFormat="1" ht="22.5" customHeight="1">
      <c r="B11" s="110" t="s">
        <v>233</v>
      </c>
      <c r="C11" s="114"/>
      <c r="D11" s="114"/>
      <c r="E11" s="120">
        <v>6.9475459429668998E-2</v>
      </c>
      <c r="F11" s="118" t="s">
        <v>160</v>
      </c>
      <c r="G11" s="112">
        <v>19795.063719999998</v>
      </c>
      <c r="H11" s="113">
        <f t="shared" ref="H11:H23" si="0">G11/$G$10</f>
        <v>1</v>
      </c>
      <c r="I11" s="113">
        <f>G11/'סכום נכסי הקרן'!$C$42</f>
        <v>5.455871793931491E-3</v>
      </c>
      <c r="J11" s="111"/>
      <c r="K11" s="76"/>
      <c r="L11" s="119"/>
      <c r="M11" s="7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</row>
    <row r="12" spans="2:54">
      <c r="B12" s="89" t="s">
        <v>84</v>
      </c>
      <c r="C12" s="96"/>
      <c r="D12" s="96"/>
      <c r="E12" s="120">
        <v>6.9475459429668998E-2</v>
      </c>
      <c r="F12" s="108" t="s">
        <v>160</v>
      </c>
      <c r="G12" s="80">
        <v>19795.063719999998</v>
      </c>
      <c r="H12" s="81">
        <f t="shared" si="0"/>
        <v>1</v>
      </c>
      <c r="I12" s="81">
        <f>G12/'סכום נכסי הקרן'!$C$42</f>
        <v>5.455871793931491E-3</v>
      </c>
      <c r="J12" s="72"/>
      <c r="K12" s="76"/>
      <c r="L12" s="119"/>
      <c r="M12" s="78"/>
    </row>
    <row r="13" spans="2:54">
      <c r="B13" s="76" t="s">
        <v>2268</v>
      </c>
      <c r="C13" s="119">
        <v>44012</v>
      </c>
      <c r="D13" s="69" t="s">
        <v>2269</v>
      </c>
      <c r="E13" s="78">
        <v>7.4819082900640585E-2</v>
      </c>
      <c r="F13" s="83" t="s">
        <v>160</v>
      </c>
      <c r="G13" s="77">
        <v>3286</v>
      </c>
      <c r="H13" s="78">
        <f t="shared" si="0"/>
        <v>0.16600098117794795</v>
      </c>
      <c r="I13" s="78">
        <f>G13/'סכום נכסי הקרן'!$C$42</f>
        <v>9.0568007097371851E-4</v>
      </c>
      <c r="J13" s="70" t="s">
        <v>2270</v>
      </c>
      <c r="K13" s="76"/>
      <c r="L13" s="119"/>
      <c r="M13" s="78"/>
    </row>
    <row r="14" spans="2:54">
      <c r="B14" s="76" t="s">
        <v>2271</v>
      </c>
      <c r="C14" s="119">
        <v>43830</v>
      </c>
      <c r="D14" s="69" t="s">
        <v>2269</v>
      </c>
      <c r="E14" s="78">
        <v>6.1353115746683368E-2</v>
      </c>
      <c r="F14" s="83" t="s">
        <v>160</v>
      </c>
      <c r="G14" s="77">
        <v>1432.0229999999999</v>
      </c>
      <c r="H14" s="78">
        <f t="shared" si="0"/>
        <v>7.2342429418560117E-2</v>
      </c>
      <c r="I14" s="78">
        <f>G14/'סכום נכסי הקרן'!$C$42</f>
        <v>3.9469102016920183E-4</v>
      </c>
      <c r="J14" s="70" t="s">
        <v>2272</v>
      </c>
      <c r="K14" s="76"/>
      <c r="L14" s="119"/>
      <c r="M14" s="78"/>
    </row>
    <row r="15" spans="2:54">
      <c r="B15" s="76" t="s">
        <v>2273</v>
      </c>
      <c r="C15" s="119">
        <v>44012</v>
      </c>
      <c r="D15" s="69" t="s">
        <v>2269</v>
      </c>
      <c r="E15" s="78">
        <v>6.4431411203572847E-2</v>
      </c>
      <c r="F15" s="83" t="s">
        <v>160</v>
      </c>
      <c r="G15" s="77">
        <v>944.99974999999995</v>
      </c>
      <c r="H15" s="78">
        <f t="shared" si="0"/>
        <v>4.7739161811599366E-2</v>
      </c>
      <c r="I15" s="78">
        <f>G15/'סכום נכסי הקרן'!$C$42</f>
        <v>2.6045874639383631E-4</v>
      </c>
      <c r="J15" s="70" t="s">
        <v>2274</v>
      </c>
      <c r="K15" s="76"/>
      <c r="L15" s="119"/>
      <c r="M15" s="78"/>
    </row>
    <row r="16" spans="2:54">
      <c r="B16" s="76" t="s">
        <v>2275</v>
      </c>
      <c r="C16" s="119">
        <v>43830</v>
      </c>
      <c r="D16" s="69" t="s">
        <v>2269</v>
      </c>
      <c r="E16" s="78">
        <v>0</v>
      </c>
      <c r="F16" s="83" t="s">
        <v>160</v>
      </c>
      <c r="G16" s="77">
        <v>207</v>
      </c>
      <c r="H16" s="78">
        <f t="shared" si="0"/>
        <v>1.0457152496602321E-2</v>
      </c>
      <c r="I16" s="78">
        <f>G16/'סכום נכסי הקרן'!$C$42</f>
        <v>5.705288335105287E-5</v>
      </c>
      <c r="J16" s="70" t="s">
        <v>2272</v>
      </c>
      <c r="K16" s="76"/>
      <c r="L16" s="119"/>
      <c r="M16" s="78"/>
    </row>
    <row r="17" spans="2:13">
      <c r="B17" s="76" t="s">
        <v>2276</v>
      </c>
      <c r="C17" s="119">
        <v>43830</v>
      </c>
      <c r="D17" s="69" t="s">
        <v>2269</v>
      </c>
      <c r="E17" s="78">
        <v>6.4561179454488957E-2</v>
      </c>
      <c r="F17" s="83" t="s">
        <v>160</v>
      </c>
      <c r="G17" s="77">
        <v>3477.0000299999997</v>
      </c>
      <c r="H17" s="78">
        <f t="shared" si="0"/>
        <v>0.17564985287150164</v>
      </c>
      <c r="I17" s="78">
        <f>G17/'סכום נכסי הקרן'!$C$42</f>
        <v>9.5832307788984211E-4</v>
      </c>
      <c r="J17" s="70" t="s">
        <v>2277</v>
      </c>
      <c r="K17" s="76"/>
      <c r="L17" s="119"/>
      <c r="M17" s="78"/>
    </row>
    <row r="18" spans="2:13">
      <c r="B18" s="76" t="s">
        <v>2278</v>
      </c>
      <c r="C18" s="119">
        <v>43830</v>
      </c>
      <c r="D18" s="69" t="s">
        <v>2269</v>
      </c>
      <c r="E18" s="78">
        <v>6.9400370775495157E-2</v>
      </c>
      <c r="F18" s="83" t="s">
        <v>160</v>
      </c>
      <c r="G18" s="77">
        <v>1172.9999399999999</v>
      </c>
      <c r="H18" s="78">
        <f t="shared" si="0"/>
        <v>5.9257194449687786E-2</v>
      </c>
      <c r="I18" s="78">
        <f>G18/'סכום נכסי הקרן'!$C$42</f>
        <v>3.2329965578556526E-4</v>
      </c>
      <c r="J18" s="70" t="s">
        <v>2279</v>
      </c>
      <c r="K18" s="76"/>
      <c r="L18" s="119"/>
      <c r="M18" s="78"/>
    </row>
    <row r="19" spans="2:13">
      <c r="B19" s="76" t="s">
        <v>2280</v>
      </c>
      <c r="C19" s="119">
        <v>44012</v>
      </c>
      <c r="D19" s="69" t="s">
        <v>2269</v>
      </c>
      <c r="E19" s="78">
        <v>7.4259576910591776E-2</v>
      </c>
      <c r="F19" s="83" t="s">
        <v>160</v>
      </c>
      <c r="G19" s="77">
        <v>768</v>
      </c>
      <c r="H19" s="78">
        <f t="shared" si="0"/>
        <v>3.8797551291741943E-2</v>
      </c>
      <c r="I19" s="78">
        <f>G19/'סכום נכסי הקרן'!$C$42</f>
        <v>2.1167446576622514E-4</v>
      </c>
      <c r="J19" s="70" t="s">
        <v>2281</v>
      </c>
      <c r="K19" s="76"/>
      <c r="L19" s="119"/>
      <c r="M19" s="78"/>
    </row>
    <row r="20" spans="2:13">
      <c r="B20" s="76" t="s">
        <v>2282</v>
      </c>
      <c r="C20" s="119">
        <v>43738</v>
      </c>
      <c r="D20" s="69" t="s">
        <v>2269</v>
      </c>
      <c r="E20" s="78">
        <v>7.9697603102315787E-2</v>
      </c>
      <c r="F20" s="83" t="s">
        <v>160</v>
      </c>
      <c r="G20" s="77">
        <v>3740.7060000000001</v>
      </c>
      <c r="H20" s="78">
        <f t="shared" si="0"/>
        <v>0.18897165742490474</v>
      </c>
      <c r="I20" s="78">
        <f>G20/'סכום נכסי הקרן'!$C$42</f>
        <v>1.0310051355970221E-3</v>
      </c>
      <c r="J20" s="70" t="s">
        <v>2283</v>
      </c>
      <c r="K20" s="76"/>
      <c r="L20" s="119"/>
      <c r="M20" s="78"/>
    </row>
    <row r="21" spans="2:13">
      <c r="B21" s="76" t="s">
        <v>2284</v>
      </c>
      <c r="C21" s="119">
        <v>44012</v>
      </c>
      <c r="D21" s="69" t="s">
        <v>2269</v>
      </c>
      <c r="E21" s="78">
        <v>5.6089785249143334E-2</v>
      </c>
      <c r="F21" s="83" t="s">
        <v>160</v>
      </c>
      <c r="G21" s="77">
        <v>1691</v>
      </c>
      <c r="H21" s="78">
        <f t="shared" si="0"/>
        <v>8.5425337544707852E-2</v>
      </c>
      <c r="I21" s="78">
        <f>G21/'סכום נכסי הקרן'!$C$42</f>
        <v>4.6606968959724834E-4</v>
      </c>
      <c r="J21" s="70" t="s">
        <v>2285</v>
      </c>
      <c r="K21" s="76"/>
      <c r="L21" s="119"/>
      <c r="M21" s="78"/>
    </row>
    <row r="22" spans="2:13">
      <c r="B22" s="76" t="s">
        <v>2286</v>
      </c>
      <c r="C22" s="119">
        <v>43830</v>
      </c>
      <c r="D22" s="69" t="s">
        <v>2269</v>
      </c>
      <c r="E22" s="78">
        <v>7.0880113275856596E-2</v>
      </c>
      <c r="F22" s="83" t="s">
        <v>160</v>
      </c>
      <c r="G22" s="77">
        <v>1946</v>
      </c>
      <c r="H22" s="78">
        <f t="shared" si="0"/>
        <v>9.830733699704404E-2</v>
      </c>
      <c r="I22" s="78">
        <f>G22/'סכום נכסי הקרן'!$C$42</f>
        <v>5.3635222705869024E-4</v>
      </c>
      <c r="J22" s="70" t="s">
        <v>2287</v>
      </c>
      <c r="K22" s="76"/>
      <c r="L22" s="119"/>
      <c r="M22" s="78"/>
    </row>
    <row r="23" spans="2:13">
      <c r="B23" s="76" t="s">
        <v>2288</v>
      </c>
      <c r="C23" s="119">
        <v>43830</v>
      </c>
      <c r="D23" s="69" t="s">
        <v>2269</v>
      </c>
      <c r="E23" s="78">
        <v>7.6899999999999996E-2</v>
      </c>
      <c r="F23" s="83" t="s">
        <v>160</v>
      </c>
      <c r="G23" s="77">
        <v>1129.335</v>
      </c>
      <c r="H23" s="78">
        <f t="shared" si="0"/>
        <v>5.7051344515702332E-2</v>
      </c>
      <c r="I23" s="78">
        <f>G23/'סכום נכסי הקרן'!$C$42</f>
        <v>3.1126482134908836E-4</v>
      </c>
      <c r="J23" s="70" t="s">
        <v>2287</v>
      </c>
      <c r="K23" s="76"/>
      <c r="L23" s="119"/>
      <c r="M23" s="78"/>
    </row>
    <row r="24" spans="2:13">
      <c r="B24" s="95"/>
      <c r="C24" s="69"/>
      <c r="D24" s="69"/>
      <c r="E24" s="70"/>
      <c r="F24" s="70"/>
      <c r="G24" s="70"/>
      <c r="H24" s="78"/>
      <c r="I24" s="70"/>
      <c r="J24" s="70"/>
      <c r="K24" s="76"/>
      <c r="L24" s="119"/>
      <c r="M24" s="78"/>
    </row>
    <row r="25" spans="2:13">
      <c r="B25" s="69"/>
      <c r="C25" s="69"/>
      <c r="D25" s="69"/>
      <c r="E25" s="69"/>
      <c r="F25" s="69"/>
      <c r="G25" s="69"/>
      <c r="H25" s="69"/>
      <c r="I25" s="69"/>
      <c r="J25" s="69"/>
      <c r="K25" s="76"/>
      <c r="L25" s="119"/>
      <c r="M25" s="78"/>
    </row>
    <row r="26" spans="2:13">
      <c r="B26" s="69"/>
      <c r="C26" s="69"/>
      <c r="D26" s="69"/>
      <c r="E26" s="69"/>
      <c r="F26" s="69"/>
      <c r="G26" s="69"/>
      <c r="H26" s="69"/>
      <c r="I26" s="69"/>
      <c r="J26" s="69"/>
      <c r="K26" s="76"/>
      <c r="L26" s="119"/>
      <c r="M26" s="78"/>
    </row>
    <row r="27" spans="2:13">
      <c r="B27" s="103"/>
      <c r="C27" s="69"/>
      <c r="D27" s="69"/>
      <c r="E27" s="69"/>
      <c r="F27" s="69"/>
      <c r="G27" s="69"/>
      <c r="H27" s="69"/>
      <c r="I27" s="69"/>
      <c r="J27" s="69"/>
      <c r="K27" s="76"/>
      <c r="L27" s="119"/>
      <c r="M27" s="78"/>
    </row>
    <row r="28" spans="2:13">
      <c r="B28" s="103"/>
      <c r="C28" s="69"/>
      <c r="D28" s="69"/>
      <c r="E28" s="69"/>
      <c r="F28" s="69"/>
      <c r="G28" s="69"/>
      <c r="H28" s="69"/>
      <c r="I28" s="69"/>
      <c r="J28" s="69"/>
      <c r="K28" s="76"/>
      <c r="L28" s="119"/>
      <c r="M28" s="78"/>
    </row>
    <row r="29" spans="2:13">
      <c r="B29" s="69"/>
      <c r="C29" s="69"/>
      <c r="D29" s="69"/>
      <c r="E29" s="69"/>
      <c r="F29" s="69"/>
      <c r="G29" s="69"/>
      <c r="H29" s="69"/>
      <c r="I29" s="69"/>
      <c r="J29" s="69"/>
      <c r="K29" s="76"/>
      <c r="L29" s="119"/>
      <c r="M29" s="78"/>
    </row>
    <row r="30" spans="2:13">
      <c r="B30" s="69"/>
      <c r="C30" s="69"/>
      <c r="D30" s="69"/>
      <c r="E30" s="69"/>
      <c r="F30" s="69"/>
      <c r="G30" s="69"/>
      <c r="H30" s="69"/>
      <c r="I30" s="69"/>
      <c r="J30" s="69"/>
      <c r="K30" s="76"/>
      <c r="L30" s="119"/>
      <c r="M30" s="78"/>
    </row>
    <row r="31" spans="2:13">
      <c r="B31" s="69"/>
      <c r="C31" s="69"/>
      <c r="D31" s="69"/>
      <c r="E31" s="69"/>
      <c r="F31" s="69"/>
      <c r="G31" s="69"/>
      <c r="H31" s="69"/>
      <c r="I31" s="69"/>
      <c r="J31" s="69"/>
      <c r="K31" s="76"/>
      <c r="L31" s="119"/>
      <c r="M31" s="78"/>
    </row>
    <row r="32" spans="2:13">
      <c r="B32" s="69"/>
      <c r="C32" s="69"/>
      <c r="D32" s="69"/>
      <c r="E32" s="69"/>
      <c r="F32" s="69"/>
      <c r="G32" s="69"/>
      <c r="H32" s="69"/>
      <c r="I32" s="69"/>
      <c r="J32" s="69"/>
      <c r="K32" s="76"/>
      <c r="L32" s="119"/>
      <c r="M32" s="78"/>
    </row>
    <row r="33" spans="2:13">
      <c r="B33" s="69"/>
      <c r="C33" s="69"/>
      <c r="D33" s="69"/>
      <c r="E33" s="69"/>
      <c r="F33" s="69"/>
      <c r="G33" s="69"/>
      <c r="H33" s="69"/>
      <c r="I33" s="69"/>
      <c r="J33" s="69"/>
      <c r="K33" s="76"/>
      <c r="L33" s="119"/>
      <c r="M33" s="78"/>
    </row>
    <row r="34" spans="2:13">
      <c r="B34" s="69"/>
      <c r="C34" s="69"/>
      <c r="D34" s="69"/>
      <c r="E34" s="69"/>
      <c r="F34" s="69"/>
      <c r="G34" s="69"/>
      <c r="H34" s="69"/>
      <c r="I34" s="69"/>
      <c r="J34" s="69"/>
      <c r="K34" s="76"/>
      <c r="L34" s="119"/>
      <c r="M34" s="78"/>
    </row>
    <row r="35" spans="2:13">
      <c r="B35" s="69"/>
      <c r="C35" s="69"/>
      <c r="D35" s="69"/>
      <c r="E35" s="69"/>
      <c r="F35" s="69"/>
      <c r="G35" s="69"/>
      <c r="H35" s="69"/>
      <c r="I35" s="69"/>
      <c r="J35" s="69"/>
      <c r="K35" s="76"/>
      <c r="L35" s="119"/>
      <c r="M35" s="78"/>
    </row>
    <row r="36" spans="2:13">
      <c r="B36" s="69"/>
      <c r="C36" s="69"/>
      <c r="D36" s="69"/>
      <c r="E36" s="69"/>
      <c r="F36" s="69"/>
      <c r="G36" s="69"/>
      <c r="H36" s="69"/>
      <c r="I36" s="69"/>
      <c r="J36" s="69"/>
      <c r="K36" s="76"/>
      <c r="L36" s="119"/>
      <c r="M36" s="78"/>
    </row>
    <row r="37" spans="2:13">
      <c r="B37" s="69"/>
      <c r="C37" s="69"/>
      <c r="D37" s="69"/>
      <c r="E37" s="69"/>
      <c r="F37" s="69"/>
      <c r="G37" s="69"/>
      <c r="H37" s="69"/>
      <c r="I37" s="69"/>
      <c r="J37" s="69"/>
      <c r="K37" s="76"/>
      <c r="L37" s="119"/>
      <c r="M37" s="78"/>
    </row>
    <row r="38" spans="2:13">
      <c r="B38" s="69"/>
      <c r="C38" s="69"/>
      <c r="D38" s="69"/>
      <c r="E38" s="69"/>
      <c r="F38" s="69"/>
      <c r="G38" s="69"/>
      <c r="H38" s="69"/>
      <c r="I38" s="69"/>
      <c r="J38" s="69"/>
      <c r="K38" s="76"/>
      <c r="L38" s="119"/>
      <c r="M38" s="78"/>
    </row>
    <row r="39" spans="2:13">
      <c r="B39" s="69"/>
      <c r="C39" s="69"/>
      <c r="D39" s="69"/>
      <c r="E39" s="69"/>
      <c r="F39" s="69"/>
      <c r="G39" s="69"/>
      <c r="H39" s="69"/>
      <c r="I39" s="69"/>
      <c r="J39" s="69"/>
      <c r="K39" s="76"/>
      <c r="L39" s="119"/>
      <c r="M39" s="78"/>
    </row>
    <row r="40" spans="2:13">
      <c r="B40" s="69"/>
      <c r="C40" s="69"/>
      <c r="D40" s="69"/>
      <c r="E40" s="69"/>
      <c r="F40" s="69"/>
      <c r="G40" s="69"/>
      <c r="H40" s="69"/>
      <c r="I40" s="69"/>
      <c r="J40" s="69"/>
      <c r="K40" s="76"/>
      <c r="L40" s="119"/>
      <c r="M40" s="78"/>
    </row>
    <row r="41" spans="2:13">
      <c r="B41" s="69"/>
      <c r="C41" s="69"/>
      <c r="D41" s="69"/>
      <c r="E41" s="69"/>
      <c r="F41" s="69"/>
      <c r="G41" s="69"/>
      <c r="H41" s="69"/>
      <c r="I41" s="69"/>
      <c r="J41" s="69"/>
      <c r="K41" s="76"/>
      <c r="L41" s="97"/>
      <c r="M41" s="78"/>
    </row>
    <row r="42" spans="2:13">
      <c r="B42" s="69"/>
      <c r="C42" s="69"/>
      <c r="D42" s="69"/>
      <c r="E42" s="69"/>
      <c r="F42" s="69"/>
      <c r="G42" s="69"/>
      <c r="H42" s="69"/>
      <c r="I42" s="69"/>
      <c r="J42" s="69"/>
      <c r="K42" s="76"/>
      <c r="L42" s="119"/>
      <c r="M42" s="78"/>
    </row>
    <row r="43" spans="2:13">
      <c r="B43" s="69"/>
      <c r="C43" s="69"/>
      <c r="D43" s="69"/>
      <c r="E43" s="69"/>
      <c r="F43" s="69"/>
      <c r="G43" s="69"/>
      <c r="H43" s="69"/>
      <c r="I43" s="69"/>
      <c r="J43" s="69"/>
      <c r="K43" s="76"/>
      <c r="L43" s="119"/>
      <c r="M43" s="78"/>
    </row>
    <row r="44" spans="2:13">
      <c r="B44" s="69"/>
      <c r="C44" s="69"/>
      <c r="D44" s="69"/>
      <c r="E44" s="69"/>
      <c r="F44" s="69"/>
      <c r="G44" s="69"/>
      <c r="H44" s="69"/>
      <c r="I44" s="69"/>
      <c r="J44" s="69"/>
      <c r="K44" s="76"/>
      <c r="L44" s="119"/>
      <c r="M44" s="78"/>
    </row>
    <row r="45" spans="2:13">
      <c r="B45" s="69"/>
      <c r="C45" s="69"/>
      <c r="D45" s="69"/>
      <c r="E45" s="69"/>
      <c r="F45" s="69"/>
      <c r="G45" s="69"/>
      <c r="H45" s="69"/>
      <c r="I45" s="69"/>
      <c r="J45" s="69"/>
      <c r="K45" s="76"/>
      <c r="L45" s="119"/>
      <c r="M45" s="78"/>
    </row>
    <row r="46" spans="2:13">
      <c r="B46" s="69"/>
      <c r="C46" s="69"/>
      <c r="D46" s="69"/>
      <c r="E46" s="69"/>
      <c r="F46" s="69"/>
      <c r="G46" s="69"/>
      <c r="H46" s="69"/>
      <c r="I46" s="69"/>
      <c r="J46" s="69"/>
      <c r="K46" s="76"/>
      <c r="L46" s="119"/>
      <c r="M46" s="78"/>
    </row>
    <row r="47" spans="2:13">
      <c r="B47" s="69"/>
      <c r="C47" s="69"/>
      <c r="D47" s="69"/>
      <c r="E47" s="69"/>
      <c r="F47" s="69"/>
      <c r="G47" s="69"/>
      <c r="H47" s="69"/>
      <c r="I47" s="69"/>
      <c r="J47" s="69"/>
      <c r="K47" s="76"/>
      <c r="L47" s="119"/>
      <c r="M47" s="78"/>
    </row>
    <row r="48" spans="2:13">
      <c r="B48" s="69"/>
      <c r="C48" s="69"/>
      <c r="D48" s="69"/>
      <c r="E48" s="69"/>
      <c r="F48" s="69"/>
      <c r="G48" s="69"/>
      <c r="H48" s="69"/>
      <c r="I48" s="69"/>
      <c r="J48" s="69"/>
      <c r="K48" s="76"/>
      <c r="L48" s="97"/>
      <c r="M48" s="78"/>
    </row>
    <row r="49" spans="2:13">
      <c r="B49" s="69"/>
      <c r="C49" s="69"/>
      <c r="D49" s="69"/>
      <c r="E49" s="69"/>
      <c r="F49" s="69"/>
      <c r="G49" s="69"/>
      <c r="H49" s="69"/>
      <c r="I49" s="69"/>
      <c r="J49" s="69"/>
      <c r="K49" s="95"/>
      <c r="L49" s="119"/>
      <c r="M49" s="70"/>
    </row>
    <row r="50" spans="2:13">
      <c r="B50" s="69"/>
      <c r="C50" s="69"/>
      <c r="D50" s="69"/>
      <c r="E50" s="69"/>
      <c r="F50" s="69"/>
      <c r="G50" s="69"/>
      <c r="H50" s="69"/>
      <c r="I50" s="69"/>
      <c r="J50" s="69"/>
      <c r="K50" s="89"/>
      <c r="L50" s="119"/>
      <c r="M50" s="81"/>
    </row>
    <row r="51" spans="2:13">
      <c r="B51" s="69"/>
      <c r="C51" s="69"/>
      <c r="D51" s="69"/>
      <c r="E51" s="69"/>
      <c r="F51" s="69"/>
      <c r="G51" s="69"/>
      <c r="H51" s="69"/>
      <c r="I51" s="69"/>
      <c r="J51" s="69"/>
      <c r="K51" s="76"/>
      <c r="L51" s="119"/>
      <c r="M51" s="78"/>
    </row>
    <row r="52" spans="2:13">
      <c r="B52" s="69"/>
      <c r="C52" s="69"/>
      <c r="D52" s="69"/>
      <c r="E52" s="69"/>
      <c r="F52" s="69"/>
      <c r="G52" s="69"/>
      <c r="H52" s="69"/>
      <c r="I52" s="69"/>
      <c r="J52" s="69"/>
      <c r="K52" s="76"/>
      <c r="L52" s="97"/>
      <c r="M52" s="78"/>
    </row>
    <row r="53" spans="2:13">
      <c r="B53" s="69"/>
      <c r="C53" s="69"/>
      <c r="D53" s="69"/>
      <c r="E53" s="69"/>
      <c r="F53" s="69"/>
      <c r="G53" s="69"/>
      <c r="H53" s="69"/>
      <c r="I53" s="69"/>
      <c r="J53" s="69"/>
      <c r="K53" s="76"/>
      <c r="L53" s="97"/>
      <c r="M53" s="78"/>
    </row>
    <row r="54" spans="2:13">
      <c r="B54" s="69"/>
      <c r="C54" s="69"/>
      <c r="D54" s="69"/>
      <c r="E54" s="69"/>
      <c r="F54" s="69"/>
      <c r="G54" s="69"/>
      <c r="H54" s="69"/>
      <c r="I54" s="69"/>
      <c r="J54" s="69"/>
      <c r="K54" s="2"/>
      <c r="L54" s="119"/>
    </row>
    <row r="55" spans="2:13">
      <c r="B55" s="69"/>
      <c r="C55" s="69"/>
      <c r="D55" s="69"/>
      <c r="E55" s="69"/>
      <c r="F55" s="69"/>
      <c r="G55" s="69"/>
      <c r="H55" s="69"/>
      <c r="I55" s="69"/>
      <c r="J55" s="69"/>
    </row>
    <row r="56" spans="2:13">
      <c r="B56" s="69"/>
      <c r="C56" s="69"/>
      <c r="D56" s="69"/>
      <c r="E56" s="69"/>
      <c r="F56" s="69"/>
      <c r="G56" s="69"/>
      <c r="H56" s="69"/>
      <c r="I56" s="69"/>
      <c r="J56" s="69"/>
    </row>
    <row r="57" spans="2:13">
      <c r="B57" s="69"/>
      <c r="C57" s="69"/>
      <c r="D57" s="69"/>
      <c r="E57" s="69"/>
      <c r="F57" s="69"/>
      <c r="G57" s="69"/>
      <c r="H57" s="69"/>
      <c r="I57" s="69"/>
      <c r="J57" s="69"/>
    </row>
    <row r="58" spans="2:13">
      <c r="B58" s="69"/>
      <c r="C58" s="69"/>
      <c r="D58" s="69"/>
      <c r="E58" s="69"/>
      <c r="F58" s="69"/>
      <c r="G58" s="69"/>
      <c r="H58" s="69"/>
      <c r="I58" s="69"/>
      <c r="J58" s="69"/>
    </row>
    <row r="59" spans="2:13">
      <c r="B59" s="69"/>
      <c r="C59" s="69"/>
      <c r="D59" s="69"/>
      <c r="E59" s="69"/>
      <c r="F59" s="69"/>
      <c r="G59" s="69"/>
      <c r="H59" s="69"/>
      <c r="I59" s="69"/>
      <c r="J59" s="69"/>
    </row>
    <row r="60" spans="2:13">
      <c r="B60" s="69"/>
      <c r="C60" s="69"/>
      <c r="D60" s="69"/>
      <c r="E60" s="69"/>
      <c r="F60" s="69"/>
      <c r="G60" s="69"/>
      <c r="H60" s="69"/>
      <c r="I60" s="69"/>
      <c r="J60" s="69"/>
    </row>
    <row r="61" spans="2:13">
      <c r="B61" s="69"/>
      <c r="C61" s="69"/>
      <c r="D61" s="69"/>
      <c r="E61" s="69"/>
      <c r="F61" s="69"/>
      <c r="G61" s="69"/>
      <c r="H61" s="69"/>
      <c r="I61" s="69"/>
      <c r="J61" s="69"/>
    </row>
    <row r="62" spans="2:13">
      <c r="B62" s="69"/>
      <c r="C62" s="69"/>
      <c r="D62" s="69"/>
      <c r="E62" s="69"/>
      <c r="F62" s="69"/>
      <c r="G62" s="69"/>
      <c r="H62" s="69"/>
      <c r="I62" s="69"/>
      <c r="J62" s="69"/>
    </row>
    <row r="63" spans="2:13">
      <c r="B63" s="69"/>
      <c r="C63" s="69"/>
      <c r="D63" s="69"/>
      <c r="E63" s="69"/>
      <c r="F63" s="69"/>
      <c r="G63" s="69"/>
      <c r="H63" s="69"/>
      <c r="I63" s="69"/>
      <c r="J63" s="69"/>
    </row>
    <row r="64" spans="2:13">
      <c r="B64" s="69"/>
      <c r="C64" s="69"/>
      <c r="D64" s="69"/>
      <c r="E64" s="69"/>
      <c r="F64" s="69"/>
      <c r="G64" s="69"/>
      <c r="H64" s="69"/>
      <c r="I64" s="69"/>
      <c r="J64" s="69"/>
    </row>
    <row r="65" spans="2:10">
      <c r="B65" s="69"/>
      <c r="C65" s="69"/>
      <c r="D65" s="69"/>
      <c r="E65" s="69"/>
      <c r="F65" s="69"/>
      <c r="G65" s="69"/>
      <c r="H65" s="69"/>
      <c r="I65" s="69"/>
      <c r="J65" s="69"/>
    </row>
    <row r="66" spans="2:10">
      <c r="B66" s="69"/>
      <c r="C66" s="69"/>
      <c r="D66" s="69"/>
      <c r="E66" s="69"/>
      <c r="F66" s="69"/>
      <c r="G66" s="69"/>
      <c r="H66" s="69"/>
      <c r="I66" s="69"/>
      <c r="J66" s="69"/>
    </row>
    <row r="67" spans="2:10">
      <c r="B67" s="69"/>
      <c r="C67" s="69"/>
      <c r="D67" s="69"/>
      <c r="E67" s="69"/>
      <c r="F67" s="69"/>
      <c r="G67" s="69"/>
      <c r="H67" s="69"/>
      <c r="I67" s="69"/>
      <c r="J67" s="69"/>
    </row>
    <row r="68" spans="2:10">
      <c r="B68" s="69"/>
      <c r="C68" s="69"/>
      <c r="D68" s="69"/>
      <c r="E68" s="69"/>
      <c r="F68" s="69"/>
      <c r="G68" s="69"/>
      <c r="H68" s="69"/>
      <c r="I68" s="69"/>
      <c r="J68" s="69"/>
    </row>
    <row r="69" spans="2:10">
      <c r="B69" s="69"/>
      <c r="C69" s="69"/>
      <c r="D69" s="69"/>
      <c r="E69" s="69"/>
      <c r="F69" s="69"/>
      <c r="G69" s="69"/>
      <c r="H69" s="69"/>
      <c r="I69" s="69"/>
      <c r="J69" s="69"/>
    </row>
    <row r="70" spans="2:10">
      <c r="B70" s="69"/>
      <c r="C70" s="69"/>
      <c r="D70" s="69"/>
      <c r="E70" s="69"/>
      <c r="F70" s="69"/>
      <c r="G70" s="69"/>
      <c r="H70" s="69"/>
      <c r="I70" s="69"/>
      <c r="J70" s="69"/>
    </row>
    <row r="71" spans="2:10">
      <c r="B71" s="69"/>
      <c r="C71" s="69"/>
      <c r="D71" s="69"/>
      <c r="E71" s="69"/>
      <c r="F71" s="69"/>
      <c r="G71" s="69"/>
      <c r="H71" s="69"/>
      <c r="I71" s="69"/>
      <c r="J71" s="69"/>
    </row>
    <row r="72" spans="2:10">
      <c r="B72" s="69"/>
      <c r="C72" s="69"/>
      <c r="D72" s="69"/>
      <c r="E72" s="69"/>
      <c r="F72" s="69"/>
      <c r="G72" s="69"/>
      <c r="H72" s="69"/>
      <c r="I72" s="69"/>
      <c r="J72" s="69"/>
    </row>
    <row r="73" spans="2:10">
      <c r="B73" s="69"/>
      <c r="C73" s="69"/>
      <c r="D73" s="69"/>
      <c r="E73" s="69"/>
      <c r="F73" s="69"/>
      <c r="G73" s="69"/>
      <c r="H73" s="69"/>
      <c r="I73" s="69"/>
      <c r="J73" s="69"/>
    </row>
    <row r="74" spans="2:10">
      <c r="B74" s="69"/>
      <c r="C74" s="69"/>
      <c r="D74" s="69"/>
      <c r="E74" s="69"/>
      <c r="F74" s="69"/>
      <c r="G74" s="69"/>
      <c r="H74" s="69"/>
      <c r="I74" s="69"/>
      <c r="J74" s="69"/>
    </row>
    <row r="75" spans="2:10">
      <c r="B75" s="69"/>
      <c r="C75" s="69"/>
      <c r="D75" s="69"/>
      <c r="E75" s="69"/>
      <c r="F75" s="69"/>
      <c r="G75" s="69"/>
      <c r="H75" s="69"/>
      <c r="I75" s="69"/>
      <c r="J75" s="69"/>
    </row>
    <row r="76" spans="2:10">
      <c r="B76" s="69"/>
      <c r="C76" s="69"/>
      <c r="D76" s="69"/>
      <c r="E76" s="69"/>
      <c r="F76" s="69"/>
      <c r="G76" s="69"/>
      <c r="H76" s="69"/>
      <c r="I76" s="69"/>
      <c r="J76" s="69"/>
    </row>
    <row r="77" spans="2:10">
      <c r="B77" s="69"/>
      <c r="C77" s="69"/>
      <c r="D77" s="69"/>
      <c r="E77" s="69"/>
      <c r="F77" s="69"/>
      <c r="G77" s="69"/>
      <c r="H77" s="69"/>
      <c r="I77" s="69"/>
      <c r="J77" s="69"/>
    </row>
    <row r="78" spans="2:10">
      <c r="B78" s="69"/>
      <c r="C78" s="69"/>
      <c r="D78" s="69"/>
      <c r="E78" s="69"/>
      <c r="F78" s="69"/>
      <c r="G78" s="69"/>
      <c r="H78" s="69"/>
      <c r="I78" s="69"/>
      <c r="J78" s="69"/>
    </row>
    <row r="79" spans="2:10">
      <c r="B79" s="69"/>
      <c r="C79" s="69"/>
      <c r="D79" s="69"/>
      <c r="E79" s="69"/>
      <c r="F79" s="69"/>
      <c r="G79" s="69"/>
      <c r="H79" s="69"/>
      <c r="I79" s="69"/>
      <c r="J79" s="69"/>
    </row>
    <row r="80" spans="2:10">
      <c r="B80" s="69"/>
      <c r="C80" s="69"/>
      <c r="D80" s="69"/>
      <c r="E80" s="69"/>
      <c r="F80" s="69"/>
      <c r="G80" s="69"/>
      <c r="H80" s="69"/>
      <c r="I80" s="69"/>
      <c r="J80" s="69"/>
    </row>
    <row r="81" spans="2:10">
      <c r="B81" s="69"/>
      <c r="C81" s="69"/>
      <c r="D81" s="69"/>
      <c r="E81" s="69"/>
      <c r="F81" s="69"/>
      <c r="G81" s="69"/>
      <c r="H81" s="69"/>
      <c r="I81" s="69"/>
      <c r="J81" s="69"/>
    </row>
    <row r="82" spans="2:10">
      <c r="B82" s="69"/>
      <c r="C82" s="69"/>
      <c r="D82" s="69"/>
      <c r="E82" s="69"/>
      <c r="F82" s="69"/>
      <c r="G82" s="69"/>
      <c r="H82" s="69"/>
      <c r="I82" s="69"/>
      <c r="J82" s="69"/>
    </row>
    <row r="83" spans="2:10">
      <c r="B83" s="69"/>
      <c r="C83" s="69"/>
      <c r="D83" s="69"/>
      <c r="E83" s="69"/>
      <c r="F83" s="69"/>
      <c r="G83" s="69"/>
      <c r="H83" s="69"/>
      <c r="I83" s="69"/>
      <c r="J83" s="69"/>
    </row>
    <row r="84" spans="2:10">
      <c r="B84" s="69"/>
      <c r="C84" s="69"/>
      <c r="D84" s="69"/>
      <c r="E84" s="69"/>
      <c r="F84" s="69"/>
      <c r="G84" s="69"/>
      <c r="H84" s="69"/>
      <c r="I84" s="69"/>
      <c r="J84" s="69"/>
    </row>
    <row r="85" spans="2:10">
      <c r="B85" s="69"/>
      <c r="C85" s="69"/>
      <c r="D85" s="69"/>
      <c r="E85" s="69"/>
      <c r="F85" s="69"/>
      <c r="G85" s="69"/>
      <c r="H85" s="69"/>
      <c r="I85" s="69"/>
      <c r="J85" s="69"/>
    </row>
    <row r="86" spans="2:10">
      <c r="B86" s="69"/>
      <c r="C86" s="69"/>
      <c r="D86" s="69"/>
      <c r="E86" s="69"/>
      <c r="F86" s="69"/>
      <c r="G86" s="69"/>
      <c r="H86" s="69"/>
      <c r="I86" s="69"/>
      <c r="J86" s="69"/>
    </row>
    <row r="87" spans="2:10">
      <c r="B87" s="69"/>
      <c r="C87" s="69"/>
      <c r="D87" s="69"/>
      <c r="E87" s="69"/>
      <c r="F87" s="69"/>
      <c r="G87" s="69"/>
      <c r="H87" s="69"/>
      <c r="I87" s="69"/>
      <c r="J87" s="69"/>
    </row>
    <row r="88" spans="2:10">
      <c r="B88" s="69"/>
      <c r="C88" s="69"/>
      <c r="D88" s="69"/>
      <c r="E88" s="69"/>
      <c r="F88" s="69"/>
      <c r="G88" s="69"/>
      <c r="H88" s="69"/>
      <c r="I88" s="69"/>
      <c r="J88" s="69"/>
    </row>
    <row r="89" spans="2:10">
      <c r="B89" s="69"/>
      <c r="C89" s="69"/>
      <c r="D89" s="69"/>
      <c r="E89" s="69"/>
      <c r="F89" s="69"/>
      <c r="G89" s="69"/>
      <c r="H89" s="69"/>
      <c r="I89" s="69"/>
      <c r="J89" s="69"/>
    </row>
    <row r="90" spans="2:10">
      <c r="B90" s="69"/>
      <c r="C90" s="69"/>
      <c r="D90" s="69"/>
      <c r="E90" s="69"/>
      <c r="F90" s="69"/>
      <c r="G90" s="69"/>
      <c r="H90" s="69"/>
      <c r="I90" s="69"/>
      <c r="J90" s="69"/>
    </row>
    <row r="91" spans="2:10">
      <c r="B91" s="69"/>
      <c r="C91" s="69"/>
      <c r="D91" s="69"/>
      <c r="E91" s="69"/>
      <c r="F91" s="69"/>
      <c r="G91" s="69"/>
      <c r="H91" s="69"/>
      <c r="I91" s="69"/>
      <c r="J91" s="69"/>
    </row>
    <row r="92" spans="2:10">
      <c r="B92" s="69"/>
      <c r="C92" s="69"/>
      <c r="D92" s="69"/>
      <c r="E92" s="69"/>
      <c r="F92" s="69"/>
      <c r="G92" s="69"/>
      <c r="H92" s="69"/>
      <c r="I92" s="69"/>
      <c r="J92" s="69"/>
    </row>
    <row r="93" spans="2:10">
      <c r="B93" s="69"/>
      <c r="C93" s="69"/>
      <c r="D93" s="69"/>
      <c r="E93" s="69"/>
      <c r="F93" s="69"/>
      <c r="G93" s="69"/>
      <c r="H93" s="69"/>
      <c r="I93" s="69"/>
      <c r="J93" s="69"/>
    </row>
    <row r="94" spans="2:10">
      <c r="B94" s="69"/>
      <c r="C94" s="69"/>
      <c r="D94" s="69"/>
      <c r="E94" s="69"/>
      <c r="F94" s="69"/>
      <c r="G94" s="69"/>
      <c r="H94" s="69"/>
      <c r="I94" s="69"/>
      <c r="J94" s="69"/>
    </row>
    <row r="95" spans="2:10">
      <c r="B95" s="69"/>
      <c r="C95" s="69"/>
      <c r="D95" s="69"/>
      <c r="E95" s="69"/>
      <c r="F95" s="69"/>
      <c r="G95" s="69"/>
      <c r="H95" s="69"/>
      <c r="I95" s="69"/>
      <c r="J95" s="69"/>
    </row>
    <row r="96" spans="2:10">
      <c r="B96" s="69"/>
      <c r="C96" s="69"/>
      <c r="D96" s="69"/>
      <c r="E96" s="69"/>
      <c r="F96" s="69"/>
      <c r="G96" s="69"/>
      <c r="H96" s="69"/>
      <c r="I96" s="69"/>
      <c r="J96" s="69"/>
    </row>
    <row r="97" spans="2:10">
      <c r="B97" s="69"/>
      <c r="C97" s="69"/>
      <c r="D97" s="69"/>
      <c r="E97" s="69"/>
      <c r="F97" s="69"/>
      <c r="G97" s="69"/>
      <c r="H97" s="69"/>
      <c r="I97" s="69"/>
      <c r="J97" s="69"/>
    </row>
    <row r="98" spans="2:10">
      <c r="B98" s="69"/>
      <c r="C98" s="69"/>
      <c r="D98" s="69"/>
      <c r="E98" s="69"/>
      <c r="F98" s="69"/>
      <c r="G98" s="69"/>
      <c r="H98" s="69"/>
      <c r="I98" s="69"/>
      <c r="J98" s="69"/>
    </row>
    <row r="99" spans="2:10">
      <c r="B99" s="69"/>
      <c r="C99" s="69"/>
      <c r="D99" s="69"/>
      <c r="E99" s="69"/>
      <c r="F99" s="69"/>
      <c r="G99" s="69"/>
      <c r="H99" s="69"/>
      <c r="I99" s="69"/>
      <c r="J99" s="69"/>
    </row>
    <row r="100" spans="2:10">
      <c r="B100" s="69"/>
      <c r="C100" s="69"/>
      <c r="D100" s="69"/>
      <c r="E100" s="69"/>
      <c r="F100" s="69"/>
      <c r="G100" s="69"/>
      <c r="H100" s="69"/>
      <c r="I100" s="69"/>
      <c r="J100" s="69"/>
    </row>
    <row r="101" spans="2:10">
      <c r="B101" s="69"/>
      <c r="C101" s="69"/>
      <c r="D101" s="69"/>
      <c r="E101" s="69"/>
      <c r="F101" s="69"/>
      <c r="G101" s="69"/>
      <c r="H101" s="69"/>
      <c r="I101" s="69"/>
      <c r="J101" s="69"/>
    </row>
    <row r="102" spans="2:10">
      <c r="B102" s="69"/>
      <c r="C102" s="69"/>
      <c r="D102" s="69"/>
      <c r="E102" s="69"/>
      <c r="F102" s="69"/>
      <c r="G102" s="69"/>
      <c r="H102" s="69"/>
      <c r="I102" s="69"/>
      <c r="J102" s="69"/>
    </row>
    <row r="103" spans="2:10">
      <c r="B103" s="69"/>
      <c r="C103" s="69"/>
      <c r="D103" s="69"/>
      <c r="E103" s="69"/>
      <c r="F103" s="69"/>
      <c r="G103" s="69"/>
      <c r="H103" s="69"/>
      <c r="I103" s="69"/>
      <c r="J103" s="69"/>
    </row>
    <row r="104" spans="2:10">
      <c r="B104" s="69"/>
      <c r="C104" s="69"/>
      <c r="D104" s="69"/>
      <c r="E104" s="69"/>
      <c r="F104" s="69"/>
      <c r="G104" s="69"/>
      <c r="H104" s="69"/>
      <c r="I104" s="69"/>
      <c r="J104" s="69"/>
    </row>
    <row r="105" spans="2:10">
      <c r="B105" s="69"/>
      <c r="C105" s="69"/>
      <c r="D105" s="69"/>
      <c r="E105" s="69"/>
      <c r="F105" s="69"/>
      <c r="G105" s="69"/>
      <c r="H105" s="69"/>
      <c r="I105" s="69"/>
      <c r="J105" s="69"/>
    </row>
    <row r="106" spans="2:10">
      <c r="B106" s="69"/>
      <c r="C106" s="69"/>
      <c r="D106" s="69"/>
      <c r="E106" s="69"/>
      <c r="F106" s="69"/>
      <c r="G106" s="69"/>
      <c r="H106" s="69"/>
      <c r="I106" s="69"/>
      <c r="J106" s="69"/>
    </row>
    <row r="107" spans="2:10">
      <c r="B107" s="69"/>
      <c r="C107" s="69"/>
      <c r="D107" s="69"/>
      <c r="E107" s="69"/>
      <c r="F107" s="69"/>
      <c r="G107" s="69"/>
      <c r="H107" s="69"/>
      <c r="I107" s="69"/>
      <c r="J107" s="69"/>
    </row>
    <row r="108" spans="2:10">
      <c r="B108" s="69"/>
      <c r="C108" s="69"/>
      <c r="D108" s="69"/>
      <c r="E108" s="69"/>
      <c r="F108" s="69"/>
      <c r="G108" s="69"/>
      <c r="H108" s="69"/>
      <c r="I108" s="69"/>
      <c r="J108" s="69"/>
    </row>
    <row r="109" spans="2:10">
      <c r="B109" s="69"/>
      <c r="C109" s="69"/>
      <c r="D109" s="69"/>
      <c r="E109" s="69"/>
      <c r="F109" s="69"/>
      <c r="G109" s="69"/>
      <c r="H109" s="69"/>
      <c r="I109" s="69"/>
      <c r="J109" s="69"/>
    </row>
    <row r="110" spans="2:10">
      <c r="B110" s="69"/>
      <c r="C110" s="69"/>
      <c r="D110" s="69"/>
      <c r="E110" s="69"/>
      <c r="F110" s="69"/>
      <c r="G110" s="69"/>
      <c r="H110" s="69"/>
      <c r="I110" s="69"/>
      <c r="J110" s="69"/>
    </row>
    <row r="111" spans="2:10">
      <c r="B111" s="69"/>
      <c r="C111" s="69"/>
      <c r="D111" s="69"/>
      <c r="E111" s="69"/>
      <c r="F111" s="69"/>
      <c r="G111" s="69"/>
      <c r="H111" s="69"/>
      <c r="I111" s="69"/>
      <c r="J111" s="69"/>
    </row>
    <row r="112" spans="2:10">
      <c r="B112" s="69"/>
      <c r="C112" s="69"/>
      <c r="D112" s="69"/>
      <c r="E112" s="69"/>
      <c r="F112" s="69"/>
      <c r="G112" s="69"/>
      <c r="H112" s="69"/>
      <c r="I112" s="69"/>
      <c r="J112" s="69"/>
    </row>
    <row r="113" spans="2:10">
      <c r="B113" s="69"/>
      <c r="C113" s="69"/>
      <c r="D113" s="69"/>
      <c r="E113" s="69"/>
      <c r="F113" s="69"/>
      <c r="G113" s="69"/>
      <c r="H113" s="69"/>
      <c r="I113" s="69"/>
      <c r="J113" s="69"/>
    </row>
    <row r="114" spans="2:10">
      <c r="B114" s="69"/>
      <c r="C114" s="69"/>
      <c r="D114" s="69"/>
      <c r="E114" s="69"/>
      <c r="F114" s="69"/>
      <c r="G114" s="69"/>
      <c r="H114" s="69"/>
      <c r="I114" s="69"/>
      <c r="J114" s="69"/>
    </row>
    <row r="115" spans="2:10">
      <c r="B115" s="69"/>
      <c r="C115" s="69"/>
      <c r="D115" s="69"/>
      <c r="E115" s="69"/>
      <c r="F115" s="69"/>
      <c r="G115" s="69"/>
      <c r="H115" s="69"/>
      <c r="I115" s="69"/>
      <c r="J115" s="69"/>
    </row>
    <row r="116" spans="2:10">
      <c r="B116" s="69"/>
      <c r="C116" s="69"/>
      <c r="D116" s="69"/>
      <c r="E116" s="69"/>
      <c r="F116" s="69"/>
      <c r="G116" s="69"/>
      <c r="H116" s="69"/>
      <c r="I116" s="69"/>
      <c r="J116" s="69"/>
    </row>
    <row r="117" spans="2:10">
      <c r="B117" s="69"/>
      <c r="C117" s="69"/>
      <c r="D117" s="69"/>
      <c r="E117" s="69"/>
      <c r="F117" s="69"/>
      <c r="G117" s="69"/>
      <c r="H117" s="69"/>
      <c r="I117" s="69"/>
      <c r="J117" s="69"/>
    </row>
    <row r="118" spans="2:10">
      <c r="B118" s="69"/>
      <c r="C118" s="69"/>
      <c r="D118" s="69"/>
      <c r="E118" s="69"/>
      <c r="F118" s="69"/>
      <c r="G118" s="69"/>
      <c r="H118" s="69"/>
      <c r="I118" s="69"/>
      <c r="J118" s="69"/>
    </row>
    <row r="119" spans="2:10">
      <c r="B119" s="69"/>
      <c r="C119" s="69"/>
      <c r="D119" s="69"/>
      <c r="E119" s="69"/>
      <c r="F119" s="69"/>
      <c r="G119" s="69"/>
      <c r="H119" s="69"/>
      <c r="I119" s="69"/>
      <c r="J119" s="69"/>
    </row>
    <row r="120" spans="2:10">
      <c r="B120" s="69"/>
      <c r="C120" s="69"/>
      <c r="D120" s="69"/>
      <c r="E120" s="69"/>
      <c r="F120" s="69"/>
      <c r="G120" s="69"/>
      <c r="H120" s="69"/>
      <c r="I120" s="69"/>
      <c r="J120" s="69"/>
    </row>
    <row r="121" spans="2:10">
      <c r="B121" s="69"/>
      <c r="C121" s="69"/>
      <c r="D121" s="69"/>
      <c r="E121" s="69"/>
      <c r="F121" s="69"/>
      <c r="G121" s="69"/>
      <c r="H121" s="69"/>
      <c r="I121" s="69"/>
      <c r="J121" s="69"/>
    </row>
    <row r="122" spans="2:10">
      <c r="B122" s="69"/>
      <c r="C122" s="69"/>
      <c r="D122" s="69"/>
      <c r="E122" s="69"/>
      <c r="F122" s="69"/>
      <c r="G122" s="69"/>
      <c r="H122" s="69"/>
      <c r="I122" s="69"/>
      <c r="J122" s="69"/>
    </row>
    <row r="123" spans="2:10">
      <c r="B123" s="69"/>
      <c r="C123" s="69"/>
      <c r="D123" s="69"/>
      <c r="E123" s="69"/>
      <c r="F123" s="69"/>
      <c r="G123" s="69"/>
      <c r="H123" s="69"/>
      <c r="I123" s="69"/>
      <c r="J123" s="69"/>
    </row>
    <row r="124" spans="2:10">
      <c r="F124" s="3"/>
      <c r="G124" s="3"/>
      <c r="H124" s="3"/>
      <c r="I124" s="3"/>
    </row>
    <row r="125" spans="2:10">
      <c r="F125" s="3"/>
      <c r="G125" s="3"/>
      <c r="H125" s="3"/>
      <c r="I125" s="3"/>
    </row>
    <row r="126" spans="2:10">
      <c r="F126" s="3"/>
      <c r="G126" s="3"/>
      <c r="H126" s="3"/>
      <c r="I126" s="3"/>
    </row>
    <row r="127" spans="2:10">
      <c r="F127" s="3"/>
      <c r="G127" s="3"/>
      <c r="H127" s="3"/>
      <c r="I127" s="3"/>
    </row>
    <row r="128" spans="2:10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24:J1048576 B27:B28 K54:M1048576 AF28:XFD29 K1:M10 N1:XFD27 N30:XFD1048576 N28:A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>
      <selection activeCell="I10" sqref="I1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175</v>
      </c>
      <c r="C1" s="68" t="s" vm="1">
        <v>259</v>
      </c>
    </row>
    <row r="2" spans="2:60">
      <c r="B2" s="47" t="s">
        <v>174</v>
      </c>
      <c r="C2" s="68" t="s">
        <v>260</v>
      </c>
    </row>
    <row r="3" spans="2:60">
      <c r="B3" s="47" t="s">
        <v>176</v>
      </c>
      <c r="C3" s="68" t="s">
        <v>261</v>
      </c>
    </row>
    <row r="4" spans="2:60">
      <c r="B4" s="47" t="s">
        <v>177</v>
      </c>
      <c r="C4" s="68">
        <v>2207</v>
      </c>
    </row>
    <row r="6" spans="2:60" ht="26.25" customHeight="1">
      <c r="B6" s="126" t="s">
        <v>210</v>
      </c>
      <c r="C6" s="127"/>
      <c r="D6" s="127"/>
      <c r="E6" s="127"/>
      <c r="F6" s="127"/>
      <c r="G6" s="127"/>
      <c r="H6" s="127"/>
      <c r="I6" s="127"/>
      <c r="J6" s="127"/>
      <c r="K6" s="128"/>
    </row>
    <row r="7" spans="2:60" s="3" customFormat="1" ht="63">
      <c r="B7" s="48" t="s">
        <v>112</v>
      </c>
      <c r="C7" s="50" t="s">
        <v>113</v>
      </c>
      <c r="D7" s="50" t="s">
        <v>14</v>
      </c>
      <c r="E7" s="50" t="s">
        <v>15</v>
      </c>
      <c r="F7" s="50" t="s">
        <v>56</v>
      </c>
      <c r="G7" s="50" t="s">
        <v>99</v>
      </c>
      <c r="H7" s="50" t="s">
        <v>52</v>
      </c>
      <c r="I7" s="50" t="s">
        <v>107</v>
      </c>
      <c r="J7" s="50" t="s">
        <v>178</v>
      </c>
      <c r="K7" s="65" t="s">
        <v>179</v>
      </c>
    </row>
    <row r="8" spans="2:60" s="3" customFormat="1" ht="21.75" customHeight="1">
      <c r="B8" s="15"/>
      <c r="C8" s="58"/>
      <c r="D8" s="16"/>
      <c r="E8" s="16"/>
      <c r="F8" s="16" t="s">
        <v>19</v>
      </c>
      <c r="G8" s="16"/>
      <c r="H8" s="16" t="s">
        <v>19</v>
      </c>
      <c r="I8" s="16" t="s">
        <v>239</v>
      </c>
      <c r="J8" s="32" t="s">
        <v>19</v>
      </c>
      <c r="K8" s="17" t="s">
        <v>19</v>
      </c>
    </row>
    <row r="9" spans="2:60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69"/>
      <c r="C10" s="69"/>
      <c r="D10" s="69"/>
      <c r="E10" s="69"/>
      <c r="F10" s="69"/>
      <c r="G10" s="69"/>
      <c r="H10" s="69"/>
      <c r="I10" s="109">
        <v>0</v>
      </c>
      <c r="J10" s="69"/>
      <c r="K10" s="6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03"/>
      <c r="C11" s="69"/>
      <c r="D11" s="69"/>
      <c r="E11" s="69"/>
      <c r="F11" s="69"/>
      <c r="G11" s="69"/>
      <c r="H11" s="69"/>
      <c r="I11" s="69"/>
      <c r="J11" s="69"/>
      <c r="K11" s="69"/>
    </row>
    <row r="12" spans="2:60">
      <c r="B12" s="103"/>
      <c r="C12" s="69"/>
      <c r="D12" s="69"/>
      <c r="E12" s="69"/>
      <c r="F12" s="69"/>
      <c r="G12" s="69"/>
      <c r="H12" s="69"/>
      <c r="I12" s="69"/>
      <c r="J12" s="69"/>
      <c r="K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69"/>
      <c r="C13" s="69"/>
      <c r="D13" s="69"/>
      <c r="E13" s="69"/>
      <c r="F13" s="69"/>
      <c r="G13" s="69"/>
      <c r="H13" s="69"/>
      <c r="I13" s="69"/>
      <c r="J13" s="69"/>
      <c r="K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2:60">
      <c r="B15" s="69"/>
      <c r="C15" s="69"/>
      <c r="D15" s="69"/>
      <c r="E15" s="69"/>
      <c r="F15" s="69"/>
      <c r="G15" s="69"/>
      <c r="H15" s="69"/>
      <c r="I15" s="69"/>
      <c r="J15" s="69"/>
      <c r="K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69"/>
      <c r="C16" s="69"/>
      <c r="D16" s="69"/>
      <c r="E16" s="69"/>
      <c r="F16" s="69"/>
      <c r="G16" s="69"/>
      <c r="H16" s="69"/>
      <c r="I16" s="69"/>
      <c r="J16" s="69"/>
      <c r="K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2:11"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2:11"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2:11"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2:11"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2:11"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2:11"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2:11"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2:11"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2:11"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2:11"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2:11"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2:11"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2:11"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2:11"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2:11"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2:11"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2:11"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2:11"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2:11"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2:11"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2:11"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2:11"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2:11"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2:11"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2:11"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2:11"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2:11"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2:11"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2:11"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2:11"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2:11"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2:11"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2:11"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2:11"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2:11"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2:11"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2:11"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2:11"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2:11"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2:11"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2:11"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2:11"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2:11"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2:11"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2:11"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2:11"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2:11"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2:11"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2:11"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2:11"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2:11"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2:11"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2:11"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2:11"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2:11"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2:11"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2:11"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2:11"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2:11"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2:11"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2:11"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2:11"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2:11"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2:11"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2:11"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2:11"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2:11"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2:11"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2:11"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2:11"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2:11"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2:11"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2:11"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2:11"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2:11"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2:11"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2:11"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2:11"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2:11"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2:11"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2:11"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2:11"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  <row r="101" spans="2:11">
      <c r="B101" s="69"/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2:11">
      <c r="B102" s="69"/>
      <c r="C102" s="69"/>
      <c r="D102" s="69"/>
      <c r="E102" s="69"/>
      <c r="F102" s="69"/>
      <c r="G102" s="69"/>
      <c r="H102" s="69"/>
      <c r="I102" s="69"/>
      <c r="J102" s="69"/>
      <c r="K102" s="69"/>
    </row>
    <row r="103" spans="2:11">
      <c r="B103" s="69"/>
      <c r="C103" s="69"/>
      <c r="D103" s="69"/>
      <c r="E103" s="69"/>
      <c r="F103" s="69"/>
      <c r="G103" s="69"/>
      <c r="H103" s="69"/>
      <c r="I103" s="69"/>
      <c r="J103" s="69"/>
      <c r="K103" s="69"/>
    </row>
    <row r="104" spans="2:11">
      <c r="B104" s="69"/>
      <c r="C104" s="69"/>
      <c r="D104" s="69"/>
      <c r="E104" s="69"/>
      <c r="F104" s="69"/>
      <c r="G104" s="69"/>
      <c r="H104" s="69"/>
      <c r="I104" s="69"/>
      <c r="J104" s="69"/>
      <c r="K104" s="69"/>
    </row>
    <row r="105" spans="2:11">
      <c r="B105" s="69"/>
      <c r="C105" s="69"/>
      <c r="D105" s="69"/>
      <c r="E105" s="69"/>
      <c r="F105" s="69"/>
      <c r="G105" s="69"/>
      <c r="H105" s="69"/>
      <c r="I105" s="69"/>
      <c r="J105" s="69"/>
      <c r="K105" s="69"/>
    </row>
    <row r="106" spans="2:11">
      <c r="B106" s="69"/>
      <c r="C106" s="69"/>
      <c r="D106" s="69"/>
      <c r="E106" s="69"/>
      <c r="F106" s="69"/>
      <c r="G106" s="69"/>
      <c r="H106" s="69"/>
      <c r="I106" s="69"/>
      <c r="J106" s="69"/>
      <c r="K106" s="69"/>
    </row>
    <row r="107" spans="2:11">
      <c r="B107" s="69"/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2:11">
      <c r="B108" s="69"/>
      <c r="C108" s="69"/>
      <c r="D108" s="69"/>
      <c r="E108" s="69"/>
      <c r="F108" s="69"/>
      <c r="G108" s="69"/>
      <c r="H108" s="69"/>
      <c r="I108" s="69"/>
      <c r="J108" s="69"/>
      <c r="K108" s="69"/>
    </row>
    <row r="109" spans="2:11">
      <c r="B109" s="69"/>
      <c r="C109" s="69"/>
      <c r="D109" s="69"/>
      <c r="E109" s="69"/>
      <c r="F109" s="69"/>
      <c r="G109" s="69"/>
      <c r="H109" s="69"/>
      <c r="I109" s="69"/>
      <c r="J109" s="69"/>
      <c r="K109" s="69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AH28:XFD29 D30:XFD1048576 D28:AF29 D1:H27 J1:XFD27 I1:I9 I11:I27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>
      <selection activeCell="H14" sqref="H14"/>
    </sheetView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69.28515625" style="1" bestFit="1" customWidth="1"/>
    <col min="4" max="4" width="4.570312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14.425781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175</v>
      </c>
      <c r="C1" s="68" t="s" vm="1">
        <v>259</v>
      </c>
    </row>
    <row r="2" spans="2:60">
      <c r="B2" s="47" t="s">
        <v>174</v>
      </c>
      <c r="C2" s="68" t="s">
        <v>260</v>
      </c>
    </row>
    <row r="3" spans="2:60">
      <c r="B3" s="47" t="s">
        <v>176</v>
      </c>
      <c r="C3" s="68" t="s">
        <v>261</v>
      </c>
    </row>
    <row r="4" spans="2:60">
      <c r="B4" s="47" t="s">
        <v>177</v>
      </c>
      <c r="C4" s="68">
        <v>2207</v>
      </c>
    </row>
    <row r="6" spans="2:60" ht="26.25" customHeight="1">
      <c r="B6" s="126" t="s">
        <v>211</v>
      </c>
      <c r="C6" s="127"/>
      <c r="D6" s="127"/>
      <c r="E6" s="127"/>
      <c r="F6" s="127"/>
      <c r="G6" s="127"/>
      <c r="H6" s="127"/>
      <c r="I6" s="127"/>
      <c r="J6" s="127"/>
      <c r="K6" s="128"/>
    </row>
    <row r="7" spans="2:60" s="3" customFormat="1" ht="63">
      <c r="B7" s="48" t="s">
        <v>112</v>
      </c>
      <c r="C7" s="50" t="s">
        <v>43</v>
      </c>
      <c r="D7" s="50" t="s">
        <v>14</v>
      </c>
      <c r="E7" s="50" t="s">
        <v>15</v>
      </c>
      <c r="F7" s="50" t="s">
        <v>56</v>
      </c>
      <c r="G7" s="50" t="s">
        <v>99</v>
      </c>
      <c r="H7" s="50" t="s">
        <v>52</v>
      </c>
      <c r="I7" s="50" t="s">
        <v>107</v>
      </c>
      <c r="J7" s="50" t="s">
        <v>178</v>
      </c>
      <c r="K7" s="52" t="s">
        <v>179</v>
      </c>
    </row>
    <row r="8" spans="2:60" s="3" customFormat="1" ht="21.75" customHeight="1">
      <c r="B8" s="15"/>
      <c r="C8" s="16"/>
      <c r="D8" s="16"/>
      <c r="E8" s="16"/>
      <c r="F8" s="16" t="s">
        <v>19</v>
      </c>
      <c r="G8" s="16"/>
      <c r="H8" s="16" t="s">
        <v>19</v>
      </c>
      <c r="I8" s="16" t="s">
        <v>239</v>
      </c>
      <c r="J8" s="32" t="s">
        <v>19</v>
      </c>
      <c r="K8" s="17" t="s">
        <v>19</v>
      </c>
    </row>
    <row r="9" spans="2:60" s="4" customFormat="1" ht="18" customHeight="1">
      <c r="B9" s="18"/>
      <c r="C9" s="20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69" t="s">
        <v>55</v>
      </c>
      <c r="C10" s="70"/>
      <c r="D10" s="70"/>
      <c r="E10" s="70"/>
      <c r="F10" s="70"/>
      <c r="G10" s="70"/>
      <c r="H10" s="84">
        <v>0</v>
      </c>
      <c r="I10" s="77">
        <f>I11</f>
        <v>-59.864056295000005</v>
      </c>
      <c r="J10" s="78">
        <f>I10/$I$10</f>
        <v>1</v>
      </c>
      <c r="K10" s="78">
        <f>I10/'סכום נכסי הקרן'!$C$42</f>
        <v>-1.6499599133910614E-5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95" t="s">
        <v>229</v>
      </c>
      <c r="C11" s="70"/>
      <c r="D11" s="70"/>
      <c r="E11" s="70"/>
      <c r="F11" s="70"/>
      <c r="G11" s="70"/>
      <c r="H11" s="84">
        <v>0</v>
      </c>
      <c r="I11" s="77">
        <f>I12+I13+I14</f>
        <v>-59.864056295000005</v>
      </c>
      <c r="J11" s="78">
        <f t="shared" ref="J11:J14" si="0">I11/$I$10</f>
        <v>1</v>
      </c>
      <c r="K11" s="78">
        <f>I11/'סכום נכסי הקרן'!$C$42</f>
        <v>-1.6499599133910614E-5</v>
      </c>
    </row>
    <row r="12" spans="2:60">
      <c r="B12" s="73" t="s">
        <v>2289</v>
      </c>
      <c r="C12" s="70" t="s">
        <v>2290</v>
      </c>
      <c r="D12" s="70" t="s">
        <v>643</v>
      </c>
      <c r="E12" s="70" t="s">
        <v>291</v>
      </c>
      <c r="F12" s="84">
        <v>0</v>
      </c>
      <c r="G12" s="83" t="s">
        <v>160</v>
      </c>
      <c r="H12" s="84">
        <v>0</v>
      </c>
      <c r="I12" s="77">
        <v>7.7939279269999995</v>
      </c>
      <c r="J12" s="78">
        <f t="shared" si="0"/>
        <v>-0.13019378253609867</v>
      </c>
      <c r="K12" s="78">
        <f>I12/'סכום נכסי הקרן'!$C$42</f>
        <v>2.1481452215731608E-6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76" t="s">
        <v>644</v>
      </c>
      <c r="C13" s="70" t="s">
        <v>645</v>
      </c>
      <c r="D13" s="70" t="s">
        <v>647</v>
      </c>
      <c r="E13" s="70"/>
      <c r="F13" s="84">
        <v>0</v>
      </c>
      <c r="G13" s="83" t="s">
        <v>160</v>
      </c>
      <c r="H13" s="84">
        <v>0</v>
      </c>
      <c r="I13" s="77">
        <v>-49.444121989000003</v>
      </c>
      <c r="J13" s="78">
        <f t="shared" si="0"/>
        <v>0.82594005567126427</v>
      </c>
      <c r="K13" s="78">
        <f>I13/'סכום נכסי הקרן'!$C$42</f>
        <v>-1.3627679827215677E-5</v>
      </c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76" t="s">
        <v>1131</v>
      </c>
      <c r="C14" s="70" t="s">
        <v>1132</v>
      </c>
      <c r="D14" s="70" t="s">
        <v>647</v>
      </c>
      <c r="E14" s="69"/>
      <c r="F14" s="84">
        <v>0</v>
      </c>
      <c r="G14" s="83" t="s">
        <v>160</v>
      </c>
      <c r="H14" s="84">
        <v>0</v>
      </c>
      <c r="I14" s="77">
        <v>-18.213862233</v>
      </c>
      <c r="J14" s="78">
        <f t="shared" si="0"/>
        <v>0.30425372686483437</v>
      </c>
      <c r="K14" s="78">
        <f>I14/'סכום נכסי הקרן'!$C$42</f>
        <v>-5.0200645282680983E-6</v>
      </c>
    </row>
    <row r="15" spans="2:60">
      <c r="B15" s="69"/>
      <c r="C15" s="69"/>
      <c r="D15" s="69"/>
      <c r="E15" s="69"/>
      <c r="F15" s="69"/>
      <c r="G15" s="69"/>
      <c r="H15" s="69"/>
      <c r="I15" s="69"/>
      <c r="J15" s="69"/>
      <c r="K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D16" s="83"/>
      <c r="E16" s="83"/>
      <c r="F16" s="70"/>
      <c r="G16" s="83"/>
      <c r="I16" s="70"/>
      <c r="J16" s="70"/>
      <c r="K16" s="70"/>
      <c r="L16" s="83"/>
      <c r="M16" s="84"/>
      <c r="N16" s="70"/>
      <c r="O16" s="77"/>
      <c r="P16" s="79"/>
      <c r="Q16" s="70"/>
      <c r="S16" s="70"/>
      <c r="T16" s="78"/>
      <c r="U16" s="78"/>
      <c r="V16" s="1"/>
      <c r="W16" s="1"/>
      <c r="X16" s="1"/>
      <c r="Y16" s="1"/>
      <c r="Z16" s="1"/>
    </row>
    <row r="17" spans="2:26">
      <c r="D17" s="83"/>
      <c r="E17" s="83"/>
      <c r="F17" s="70"/>
      <c r="G17" s="83"/>
      <c r="H17" s="83"/>
      <c r="I17" s="77"/>
      <c r="J17" s="79"/>
      <c r="K17" s="70"/>
      <c r="M17" s="70"/>
      <c r="N17" s="78"/>
      <c r="O17" s="78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2:26"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2:26"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2:26"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2:26"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2:26"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2:26"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2:26"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2:26"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2:26"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2:26"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2:26"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2:26"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2:26"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2:26"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2:26"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2:11"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2:11"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2:11"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2:11"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2:11"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2:11"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2:11"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2:11"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2:11"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2:11"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2:11"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2:11"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2:11"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2:11"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2:11"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2:11"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2:11"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2:11"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2:11"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2:11"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2:11"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2:11"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2:11"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2:11"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2:11"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2:11"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2:11"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2:11"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2:11"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2:11"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2:11"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2:11"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2:11"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2:11"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2:11"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2:11"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2:11"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2:11"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2:11"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2:11"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2:11"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2:11"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2:11"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2:11"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2:11"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2:11"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2:11"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2:11"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2:11"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2:11"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2:11"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2:11"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2:11"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2:11"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2:11"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2:11"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2:11"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2:11"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2:11"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2:11"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2:11"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2:11"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2:11"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2:11"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2:11"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2:11"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2:11"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  <row r="101" spans="2:11">
      <c r="B101" s="69"/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2:11">
      <c r="B102" s="69"/>
      <c r="C102" s="69"/>
      <c r="D102" s="69"/>
      <c r="E102" s="69"/>
      <c r="F102" s="69"/>
      <c r="G102" s="69"/>
      <c r="H102" s="69"/>
      <c r="I102" s="69"/>
      <c r="J102" s="69"/>
      <c r="K102" s="69"/>
    </row>
    <row r="103" spans="2:11">
      <c r="B103" s="69"/>
      <c r="C103" s="69"/>
      <c r="D103" s="69"/>
      <c r="E103" s="69"/>
      <c r="F103" s="69"/>
      <c r="G103" s="69"/>
      <c r="H103" s="69"/>
      <c r="I103" s="69"/>
      <c r="J103" s="69"/>
      <c r="K103" s="69"/>
    </row>
    <row r="104" spans="2:11">
      <c r="B104" s="69"/>
      <c r="C104" s="69"/>
      <c r="D104" s="69"/>
      <c r="E104" s="69"/>
      <c r="F104" s="69"/>
      <c r="G104" s="69"/>
      <c r="H104" s="69"/>
      <c r="I104" s="69"/>
      <c r="J104" s="69"/>
      <c r="K104" s="69"/>
    </row>
    <row r="105" spans="2:11">
      <c r="B105" s="69"/>
      <c r="C105" s="69"/>
      <c r="D105" s="69"/>
      <c r="E105" s="69"/>
      <c r="F105" s="69"/>
      <c r="G105" s="69"/>
      <c r="H105" s="69"/>
      <c r="I105" s="69"/>
      <c r="J105" s="69"/>
      <c r="K105" s="69"/>
    </row>
    <row r="106" spans="2:11">
      <c r="B106" s="69"/>
      <c r="C106" s="69"/>
      <c r="D106" s="69"/>
      <c r="E106" s="69"/>
      <c r="F106" s="69"/>
      <c r="G106" s="69"/>
      <c r="H106" s="69"/>
      <c r="I106" s="69"/>
      <c r="J106" s="69"/>
      <c r="K106" s="69"/>
    </row>
    <row r="107" spans="2:11">
      <c r="B107" s="69"/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2:11">
      <c r="B108" s="69"/>
      <c r="C108" s="69"/>
      <c r="D108" s="69"/>
      <c r="E108" s="69"/>
      <c r="F108" s="69"/>
      <c r="G108" s="69"/>
      <c r="H108" s="69"/>
      <c r="I108" s="69"/>
      <c r="J108" s="69"/>
      <c r="K108" s="69"/>
    </row>
    <row r="109" spans="2:11">
      <c r="B109" s="69"/>
      <c r="C109" s="69"/>
      <c r="D109" s="69"/>
      <c r="E109" s="69"/>
      <c r="F109" s="69"/>
      <c r="G109" s="69"/>
      <c r="H109" s="69"/>
      <c r="I109" s="69"/>
      <c r="J109" s="69"/>
      <c r="K109" s="69"/>
    </row>
    <row r="110" spans="2:11">
      <c r="B110" s="69"/>
      <c r="C110" s="69"/>
      <c r="D110" s="69"/>
      <c r="E110" s="69"/>
      <c r="F110" s="69"/>
      <c r="G110" s="69"/>
      <c r="H110" s="69"/>
      <c r="I110" s="69"/>
      <c r="J110" s="69"/>
      <c r="K110" s="69"/>
    </row>
    <row r="111" spans="2:11">
      <c r="B111" s="69"/>
      <c r="C111" s="69"/>
      <c r="D111" s="69"/>
      <c r="E111" s="69"/>
      <c r="F111" s="69"/>
      <c r="G111" s="69"/>
      <c r="H111" s="69"/>
      <c r="I111" s="69"/>
      <c r="J111" s="69"/>
      <c r="K111" s="69"/>
    </row>
    <row r="112" spans="2:11">
      <c r="B112" s="69"/>
      <c r="C112" s="69"/>
      <c r="D112" s="69"/>
      <c r="E112" s="69"/>
      <c r="F112" s="69"/>
      <c r="G112" s="69"/>
      <c r="H112" s="69"/>
      <c r="I112" s="69"/>
      <c r="J112" s="69"/>
      <c r="K112" s="69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phoneticPr fontId="3" type="noConversion"/>
  <conditionalFormatting sqref="B13">
    <cfRule type="cellIs" dxfId="1" priority="2" operator="equal">
      <formula>"NR3"</formula>
    </cfRule>
  </conditionalFormatting>
  <conditionalFormatting sqref="B13">
    <cfRule type="containsText" dxfId="0" priority="1" operator="containsText" text="הפרשה ">
      <formula>NOT(ISERROR(SEARCH("הפרשה ",B13)))</formula>
    </cfRule>
  </conditionalFormatting>
  <dataValidations count="8">
    <dataValidation allowBlank="1" showInputMessage="1" showErrorMessage="1" sqref="A18:C1048576 AH28:XFD29 D30:XFD1048576 D28:AF29 D18:XFD27 A1:A15 B1:B12 C5:C12 D1:D12 B15:D15 E1:G15 H15 H1:H9 J1:XFD15 I15 I1:I12"/>
    <dataValidation type="list" allowBlank="1" showInputMessage="1" showErrorMessage="1" sqref="G16">
      <formula1>$BK$7:$BK$29</formula1>
    </dataValidation>
    <dataValidation type="list" allowBlank="1" showInputMessage="1" showErrorMessage="1" sqref="L16">
      <formula1>$BN$7:$BN$20</formula1>
    </dataValidation>
    <dataValidation type="list" allowBlank="1" showInputMessage="1" showErrorMessage="1" sqref="E16">
      <formula1>$BI$7:$BI$24</formula1>
    </dataValidation>
    <dataValidation type="list" allowBlank="1" showInputMessage="1" showErrorMessage="1" sqref="I16">
      <formula1>$BM$7:$BM$10</formula1>
    </dataValidation>
    <dataValidation type="list" allowBlank="1" showInputMessage="1" showErrorMessage="1" sqref="G17">
      <formula1>$BH$6:$BH$29</formula1>
    </dataValidation>
    <dataValidation type="list" allowBlank="1" showInputMessage="1" showErrorMessage="1" sqref="H17">
      <formula1>$BJ$6:$BJ$19</formula1>
    </dataValidation>
    <dataValidation type="list" allowBlank="1" showInputMessage="1" showErrorMessage="1" sqref="E17">
      <formula1>$BF$6:$BF$23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10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47" t="s">
        <v>175</v>
      </c>
      <c r="C1" s="68" t="s" vm="1">
        <v>259</v>
      </c>
    </row>
    <row r="2" spans="2:47">
      <c r="B2" s="47" t="s">
        <v>174</v>
      </c>
      <c r="C2" s="68" t="s">
        <v>260</v>
      </c>
    </row>
    <row r="3" spans="2:47">
      <c r="B3" s="47" t="s">
        <v>176</v>
      </c>
      <c r="C3" s="68" t="s">
        <v>261</v>
      </c>
    </row>
    <row r="4" spans="2:47">
      <c r="B4" s="47" t="s">
        <v>177</v>
      </c>
      <c r="C4" s="68">
        <v>2207</v>
      </c>
    </row>
    <row r="6" spans="2:47" ht="26.25" customHeight="1">
      <c r="B6" s="126" t="s">
        <v>212</v>
      </c>
      <c r="C6" s="127"/>
      <c r="D6" s="128"/>
    </row>
    <row r="7" spans="2:47" s="3" customFormat="1" ht="33">
      <c r="B7" s="48" t="s">
        <v>112</v>
      </c>
      <c r="C7" s="53" t="s">
        <v>104</v>
      </c>
      <c r="D7" s="54" t="s">
        <v>103</v>
      </c>
    </row>
    <row r="8" spans="2:47" s="3" customFormat="1">
      <c r="B8" s="15"/>
      <c r="C8" s="32" t="s">
        <v>239</v>
      </c>
      <c r="D8" s="17" t="s">
        <v>21</v>
      </c>
    </row>
    <row r="9" spans="2:47" s="4" customFormat="1" ht="18" customHeight="1">
      <c r="B9" s="18"/>
      <c r="C9" s="19" t="s">
        <v>0</v>
      </c>
      <c r="D9" s="20" t="s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96" t="s">
        <v>2293</v>
      </c>
      <c r="C10" s="80">
        <f>C11+C23</f>
        <v>32785.662326766163</v>
      </c>
      <c r="D10" s="96"/>
      <c r="E10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71" t="s">
        <v>24</v>
      </c>
      <c r="C11" s="80">
        <v>15772.942326766166</v>
      </c>
      <c r="D11" s="121"/>
      <c r="E11"/>
    </row>
    <row r="12" spans="2:47">
      <c r="B12" s="76" t="s">
        <v>2294</v>
      </c>
      <c r="C12" s="77">
        <v>463.22</v>
      </c>
      <c r="D12" s="97">
        <v>47453</v>
      </c>
      <c r="E12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76" t="s">
        <v>2315</v>
      </c>
      <c r="C13" s="77">
        <v>2173.7107099999998</v>
      </c>
      <c r="D13" s="97">
        <v>44255</v>
      </c>
      <c r="E1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76" t="s">
        <v>2295</v>
      </c>
      <c r="C14" s="77">
        <v>1056.26</v>
      </c>
      <c r="D14" s="97">
        <v>46113</v>
      </c>
      <c r="E14"/>
    </row>
    <row r="15" spans="2:47">
      <c r="B15" s="76" t="s">
        <v>2316</v>
      </c>
      <c r="C15" s="77">
        <v>950.7645</v>
      </c>
      <c r="D15" s="97">
        <v>44561</v>
      </c>
      <c r="E15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76" t="s">
        <v>2317</v>
      </c>
      <c r="C16" s="77">
        <v>15.377190000000001</v>
      </c>
      <c r="D16" s="97">
        <v>44246</v>
      </c>
      <c r="E16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5">
      <c r="B17" s="76" t="s">
        <v>2318</v>
      </c>
      <c r="C17" s="77">
        <v>2466.2768767661682</v>
      </c>
      <c r="D17" s="97">
        <v>51774</v>
      </c>
      <c r="E17"/>
    </row>
    <row r="18" spans="2:5">
      <c r="B18" s="76" t="s">
        <v>2319</v>
      </c>
      <c r="C18" s="77">
        <v>4839.1781700000001</v>
      </c>
      <c r="D18" s="97">
        <v>46100</v>
      </c>
      <c r="E18"/>
    </row>
    <row r="19" spans="2:5">
      <c r="B19" s="76" t="s">
        <v>2320</v>
      </c>
      <c r="C19" s="77">
        <v>2374.1571999999996</v>
      </c>
      <c r="D19" s="97">
        <v>44545</v>
      </c>
      <c r="E19"/>
    </row>
    <row r="20" spans="2:5">
      <c r="B20" s="76" t="s">
        <v>2321</v>
      </c>
      <c r="C20" s="77">
        <v>181.024</v>
      </c>
      <c r="D20" s="97">
        <v>44926</v>
      </c>
      <c r="E20"/>
    </row>
    <row r="21" spans="2:5">
      <c r="B21" s="76" t="s">
        <v>2322</v>
      </c>
      <c r="C21" s="77">
        <v>1252.9736799999998</v>
      </c>
      <c r="D21" s="97">
        <v>44739</v>
      </c>
      <c r="E21"/>
    </row>
    <row r="22" spans="2:5">
      <c r="B22" s="76"/>
      <c r="C22" s="77"/>
      <c r="D22" s="97"/>
      <c r="E22"/>
    </row>
    <row r="23" spans="2:5">
      <c r="B23" s="71" t="s">
        <v>2296</v>
      </c>
      <c r="C23" s="80">
        <v>17012.72</v>
      </c>
      <c r="D23" s="121"/>
      <c r="E23"/>
    </row>
    <row r="24" spans="2:5">
      <c r="B24" s="76" t="s">
        <v>2297</v>
      </c>
      <c r="C24" s="77">
        <v>1079.77</v>
      </c>
      <c r="D24" s="97">
        <v>44409</v>
      </c>
      <c r="E24"/>
    </row>
    <row r="25" spans="2:5">
      <c r="B25" s="76" t="s">
        <v>2298</v>
      </c>
      <c r="C25" s="77">
        <v>4174.04</v>
      </c>
      <c r="D25" s="97">
        <v>46600</v>
      </c>
      <c r="E25"/>
    </row>
    <row r="26" spans="2:5">
      <c r="B26" s="76" t="s">
        <v>2299</v>
      </c>
      <c r="C26" s="77">
        <v>2101.42</v>
      </c>
      <c r="D26" s="97">
        <v>45352</v>
      </c>
      <c r="E26"/>
    </row>
    <row r="27" spans="2:5">
      <c r="B27" s="76" t="s">
        <v>2300</v>
      </c>
      <c r="C27" s="77">
        <v>1604.1</v>
      </c>
      <c r="D27" s="97">
        <v>44713</v>
      </c>
      <c r="E27"/>
    </row>
    <row r="28" spans="2:5">
      <c r="B28" s="76" t="s">
        <v>2301</v>
      </c>
      <c r="C28" s="77">
        <v>2093.7800000000002</v>
      </c>
      <c r="D28" s="97">
        <v>45992</v>
      </c>
      <c r="E28"/>
    </row>
    <row r="29" spans="2:5">
      <c r="B29" s="76" t="s">
        <v>1891</v>
      </c>
      <c r="C29" s="77">
        <v>205.44</v>
      </c>
      <c r="D29" s="97">
        <v>46997</v>
      </c>
      <c r="E29"/>
    </row>
    <row r="30" spans="2:5">
      <c r="B30" s="76" t="s">
        <v>2302</v>
      </c>
      <c r="C30" s="77">
        <v>36.69</v>
      </c>
      <c r="D30" s="97">
        <v>46935</v>
      </c>
      <c r="E30"/>
    </row>
    <row r="31" spans="2:5">
      <c r="B31" s="76" t="s">
        <v>2303</v>
      </c>
      <c r="C31" s="77">
        <v>710.52</v>
      </c>
      <c r="D31" s="97">
        <v>46997</v>
      </c>
      <c r="E31"/>
    </row>
    <row r="32" spans="2:5">
      <c r="B32" s="76" t="s">
        <v>2304</v>
      </c>
      <c r="C32" s="77">
        <v>56.96</v>
      </c>
      <c r="D32" s="97">
        <v>46661</v>
      </c>
      <c r="E32"/>
    </row>
    <row r="33" spans="2:5">
      <c r="B33" s="76" t="s">
        <v>2305</v>
      </c>
      <c r="C33" s="77">
        <v>57.47</v>
      </c>
      <c r="D33" s="97">
        <v>46935</v>
      </c>
      <c r="E33"/>
    </row>
    <row r="34" spans="2:5">
      <c r="B34" s="76" t="s">
        <v>2306</v>
      </c>
      <c r="C34" s="77">
        <v>10.14</v>
      </c>
      <c r="D34" s="97">
        <v>46935</v>
      </c>
      <c r="E34"/>
    </row>
    <row r="35" spans="2:5">
      <c r="B35" s="76" t="s">
        <v>1895</v>
      </c>
      <c r="C35" s="77">
        <v>52.48</v>
      </c>
      <c r="D35" s="97">
        <v>46935</v>
      </c>
      <c r="E35"/>
    </row>
    <row r="36" spans="2:5">
      <c r="B36" s="76" t="s">
        <v>1896</v>
      </c>
      <c r="C36" s="77">
        <v>4.37</v>
      </c>
      <c r="D36" s="97">
        <v>46935</v>
      </c>
      <c r="E36"/>
    </row>
    <row r="37" spans="2:5">
      <c r="B37" s="76" t="s">
        <v>2307</v>
      </c>
      <c r="C37" s="77">
        <v>139.56</v>
      </c>
      <c r="D37" s="97">
        <v>46935</v>
      </c>
      <c r="E37"/>
    </row>
    <row r="38" spans="2:5">
      <c r="B38" s="76" t="s">
        <v>1878</v>
      </c>
      <c r="C38" s="77">
        <v>1594.15</v>
      </c>
      <c r="D38" s="97">
        <v>47239</v>
      </c>
      <c r="E38"/>
    </row>
    <row r="39" spans="2:5">
      <c r="B39" s="76" t="s">
        <v>1902</v>
      </c>
      <c r="C39" s="77">
        <v>44.25</v>
      </c>
      <c r="D39" s="97">
        <v>46935</v>
      </c>
      <c r="E39"/>
    </row>
    <row r="40" spans="2:5">
      <c r="B40" s="76" t="s">
        <v>2308</v>
      </c>
      <c r="C40" s="77">
        <v>43.5</v>
      </c>
      <c r="D40" s="97">
        <v>46935</v>
      </c>
      <c r="E40"/>
    </row>
    <row r="41" spans="2:5">
      <c r="B41" s="76" t="s">
        <v>2309</v>
      </c>
      <c r="C41" s="77">
        <v>0.5</v>
      </c>
      <c r="D41" s="97">
        <v>46935</v>
      </c>
      <c r="E41"/>
    </row>
    <row r="42" spans="2:5">
      <c r="B42" s="76" t="s">
        <v>2310</v>
      </c>
      <c r="C42" s="77">
        <v>550.48</v>
      </c>
      <c r="D42" s="97">
        <v>46722</v>
      </c>
      <c r="E42"/>
    </row>
    <row r="43" spans="2:5">
      <c r="B43" s="76" t="s">
        <v>1880</v>
      </c>
      <c r="C43" s="77">
        <v>141.1</v>
      </c>
      <c r="D43" s="97">
        <v>45931</v>
      </c>
      <c r="E43"/>
    </row>
    <row r="44" spans="2:5">
      <c r="B44" s="76" t="s">
        <v>2311</v>
      </c>
      <c r="C44" s="77">
        <v>760.96</v>
      </c>
      <c r="D44" s="97">
        <v>47027</v>
      </c>
      <c r="E44"/>
    </row>
    <row r="45" spans="2:5">
      <c r="B45" s="76" t="s">
        <v>2312</v>
      </c>
      <c r="C45" s="77">
        <v>140.26</v>
      </c>
      <c r="D45" s="97">
        <v>46054</v>
      </c>
      <c r="E45"/>
    </row>
    <row r="46" spans="2:5">
      <c r="B46" s="76" t="s">
        <v>2313</v>
      </c>
      <c r="C46" s="77">
        <v>273.68</v>
      </c>
      <c r="D46" s="97">
        <v>47088</v>
      </c>
      <c r="E46"/>
    </row>
    <row r="47" spans="2:5">
      <c r="B47" s="76" t="s">
        <v>2314</v>
      </c>
      <c r="C47" s="77">
        <v>786.89</v>
      </c>
      <c r="D47" s="97">
        <v>46478</v>
      </c>
      <c r="E47"/>
    </row>
    <row r="48" spans="2:5">
      <c r="B48" s="76" t="s">
        <v>1912</v>
      </c>
      <c r="C48" s="77">
        <v>148.53</v>
      </c>
      <c r="D48" s="97">
        <v>46997</v>
      </c>
      <c r="E48"/>
    </row>
    <row r="49" spans="2:5">
      <c r="B49" s="76" t="s">
        <v>1913</v>
      </c>
      <c r="C49" s="77">
        <v>201.68</v>
      </c>
      <c r="D49" s="97">
        <v>46905</v>
      </c>
      <c r="E49"/>
    </row>
    <row r="50" spans="2:5">
      <c r="B50" s="76"/>
      <c r="C50" s="77"/>
      <c r="D50" s="97"/>
      <c r="E50"/>
    </row>
    <row r="51" spans="2:5">
      <c r="B51" s="69"/>
      <c r="C51" s="69"/>
      <c r="D51" s="69"/>
    </row>
    <row r="52" spans="2:5">
      <c r="B52" s="69"/>
      <c r="C52" s="69"/>
      <c r="D52" s="69"/>
    </row>
    <row r="53" spans="2:5">
      <c r="B53" s="69"/>
      <c r="C53" s="69"/>
      <c r="D53" s="69"/>
    </row>
    <row r="54" spans="2:5">
      <c r="B54" s="69"/>
      <c r="C54" s="69"/>
      <c r="D54" s="69"/>
    </row>
    <row r="55" spans="2:5">
      <c r="B55" s="69"/>
      <c r="C55" s="69"/>
      <c r="D55" s="69"/>
    </row>
    <row r="56" spans="2:5">
      <c r="B56" s="69"/>
      <c r="C56" s="69"/>
      <c r="D56" s="69"/>
    </row>
    <row r="57" spans="2:5">
      <c r="B57" s="69"/>
      <c r="C57" s="69"/>
      <c r="D57" s="69"/>
    </row>
    <row r="58" spans="2:5">
      <c r="B58" s="69"/>
      <c r="C58" s="69"/>
      <c r="D58" s="69"/>
    </row>
    <row r="59" spans="2:5">
      <c r="B59" s="69"/>
      <c r="C59" s="69"/>
      <c r="D59" s="69"/>
    </row>
    <row r="60" spans="2:5">
      <c r="B60" s="69"/>
      <c r="C60" s="69"/>
      <c r="D60" s="69"/>
    </row>
    <row r="61" spans="2:5">
      <c r="B61" s="69"/>
      <c r="C61" s="69"/>
      <c r="D61" s="69"/>
    </row>
    <row r="62" spans="2:5">
      <c r="B62" s="69"/>
      <c r="C62" s="69"/>
      <c r="D62" s="69"/>
    </row>
    <row r="63" spans="2:5">
      <c r="B63" s="69"/>
      <c r="C63" s="69"/>
      <c r="D63" s="69"/>
    </row>
    <row r="64" spans="2:5">
      <c r="B64" s="69"/>
      <c r="C64" s="69"/>
      <c r="D64" s="69"/>
    </row>
    <row r="65" spans="2:4">
      <c r="B65" s="69"/>
      <c r="C65" s="69"/>
      <c r="D65" s="69"/>
    </row>
    <row r="66" spans="2:4">
      <c r="B66" s="69"/>
      <c r="C66" s="69"/>
      <c r="D66" s="69"/>
    </row>
    <row r="67" spans="2:4">
      <c r="B67" s="69"/>
      <c r="C67" s="69"/>
      <c r="D67" s="69"/>
    </row>
    <row r="68" spans="2:4">
      <c r="B68" s="69"/>
      <c r="C68" s="69"/>
      <c r="D68" s="69"/>
    </row>
    <row r="69" spans="2:4">
      <c r="B69" s="69"/>
      <c r="C69" s="69"/>
      <c r="D69" s="69"/>
    </row>
    <row r="70" spans="2:4">
      <c r="B70" s="69"/>
      <c r="C70" s="69"/>
      <c r="D70" s="69"/>
    </row>
    <row r="71" spans="2:4">
      <c r="B71" s="69"/>
      <c r="C71" s="69"/>
      <c r="D71" s="69"/>
    </row>
    <row r="72" spans="2:4">
      <c r="B72" s="69"/>
      <c r="C72" s="69"/>
      <c r="D72" s="69"/>
    </row>
    <row r="73" spans="2:4">
      <c r="B73" s="69"/>
      <c r="C73" s="69"/>
      <c r="D73" s="69"/>
    </row>
    <row r="74" spans="2:4">
      <c r="B74" s="69"/>
      <c r="C74" s="69"/>
      <c r="D74" s="69"/>
    </row>
    <row r="75" spans="2:4">
      <c r="B75" s="69"/>
      <c r="C75" s="69"/>
      <c r="D75" s="69"/>
    </row>
    <row r="76" spans="2:4">
      <c r="B76" s="69"/>
      <c r="C76" s="69"/>
      <c r="D76" s="69"/>
    </row>
    <row r="77" spans="2:4">
      <c r="B77" s="69"/>
      <c r="C77" s="69"/>
      <c r="D77" s="69"/>
    </row>
    <row r="78" spans="2:4">
      <c r="B78" s="69"/>
      <c r="C78" s="69"/>
      <c r="D78" s="69"/>
    </row>
    <row r="79" spans="2:4">
      <c r="B79" s="69"/>
      <c r="C79" s="69"/>
      <c r="D79" s="69"/>
    </row>
    <row r="80" spans="2:4">
      <c r="B80" s="69"/>
      <c r="C80" s="69"/>
      <c r="D80" s="69"/>
    </row>
    <row r="81" spans="2:4">
      <c r="B81" s="69"/>
      <c r="C81" s="69"/>
      <c r="D81" s="69"/>
    </row>
    <row r="82" spans="2:4">
      <c r="B82" s="69"/>
      <c r="C82" s="69"/>
      <c r="D82" s="69"/>
    </row>
    <row r="83" spans="2:4">
      <c r="B83" s="69"/>
      <c r="C83" s="69"/>
      <c r="D83" s="69"/>
    </row>
    <row r="84" spans="2:4">
      <c r="B84" s="69"/>
      <c r="C84" s="69"/>
      <c r="D84" s="69"/>
    </row>
    <row r="85" spans="2:4">
      <c r="B85" s="69"/>
      <c r="C85" s="69"/>
      <c r="D85" s="69"/>
    </row>
    <row r="86" spans="2:4">
      <c r="B86" s="69"/>
      <c r="C86" s="69"/>
      <c r="D86" s="69"/>
    </row>
    <row r="87" spans="2:4">
      <c r="B87" s="69"/>
      <c r="C87" s="69"/>
      <c r="D87" s="69"/>
    </row>
    <row r="88" spans="2:4">
      <c r="B88" s="69"/>
      <c r="C88" s="69"/>
      <c r="D88" s="69"/>
    </row>
    <row r="89" spans="2:4">
      <c r="B89" s="69"/>
      <c r="C89" s="69"/>
      <c r="D89" s="69"/>
    </row>
    <row r="90" spans="2:4">
      <c r="B90" s="69"/>
      <c r="C90" s="69"/>
      <c r="D90" s="69"/>
    </row>
    <row r="91" spans="2:4">
      <c r="B91" s="69"/>
      <c r="C91" s="69"/>
      <c r="D91" s="69"/>
    </row>
    <row r="92" spans="2:4">
      <c r="B92" s="69"/>
      <c r="C92" s="69"/>
      <c r="D92" s="69"/>
    </row>
    <row r="93" spans="2:4">
      <c r="B93" s="69"/>
      <c r="C93" s="69"/>
      <c r="D93" s="69"/>
    </row>
    <row r="94" spans="2:4">
      <c r="B94" s="69"/>
      <c r="C94" s="69"/>
      <c r="D94" s="69"/>
    </row>
    <row r="95" spans="2:4">
      <c r="B95" s="69"/>
      <c r="C95" s="69"/>
      <c r="D95" s="69"/>
    </row>
    <row r="96" spans="2:4">
      <c r="B96" s="69"/>
      <c r="C96" s="69"/>
      <c r="D96" s="69"/>
    </row>
    <row r="97" spans="2:4">
      <c r="B97" s="69"/>
      <c r="C97" s="69"/>
      <c r="D97" s="69"/>
    </row>
    <row r="98" spans="2:4">
      <c r="B98" s="69"/>
      <c r="C98" s="69"/>
      <c r="D98" s="69"/>
    </row>
    <row r="99" spans="2:4">
      <c r="B99" s="69"/>
      <c r="C99" s="69"/>
      <c r="D99" s="69"/>
    </row>
    <row r="100" spans="2:4">
      <c r="B100" s="69"/>
      <c r="C100" s="69"/>
      <c r="D100" s="69"/>
    </row>
    <row r="101" spans="2:4">
      <c r="B101" s="69"/>
      <c r="C101" s="69"/>
      <c r="D101" s="69"/>
    </row>
    <row r="102" spans="2:4">
      <c r="B102" s="69"/>
      <c r="C102" s="69"/>
      <c r="D102" s="69"/>
    </row>
    <row r="103" spans="2:4">
      <c r="B103" s="69"/>
      <c r="C103" s="69"/>
      <c r="D103" s="69"/>
    </row>
    <row r="104" spans="2:4">
      <c r="B104" s="69"/>
      <c r="C104" s="69"/>
      <c r="D104" s="69"/>
    </row>
    <row r="105" spans="2:4">
      <c r="B105" s="69"/>
      <c r="C105" s="69"/>
      <c r="D105" s="69"/>
    </row>
    <row r="106" spans="2:4">
      <c r="B106" s="69"/>
      <c r="C106" s="69"/>
      <c r="D106" s="69"/>
    </row>
    <row r="107" spans="2:4">
      <c r="B107" s="69"/>
      <c r="C107" s="69"/>
      <c r="D107" s="69"/>
    </row>
    <row r="108" spans="2:4">
      <c r="B108" s="69"/>
      <c r="C108" s="69"/>
      <c r="D108" s="69"/>
    </row>
    <row r="109" spans="2:4">
      <c r="B109" s="69"/>
      <c r="C109" s="69"/>
      <c r="D109" s="69"/>
    </row>
    <row r="110" spans="2:4">
      <c r="B110" s="69"/>
      <c r="C110" s="69"/>
      <c r="D110" s="69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28 D31:XFD1048576 D29:AF30 AH29:XFD30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>
      <selection activeCell="M10" sqref="M1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175</v>
      </c>
      <c r="C1" s="68" t="s" vm="1">
        <v>259</v>
      </c>
    </row>
    <row r="2" spans="2:18">
      <c r="B2" s="47" t="s">
        <v>174</v>
      </c>
      <c r="C2" s="68" t="s">
        <v>260</v>
      </c>
    </row>
    <row r="3" spans="2:18">
      <c r="B3" s="47" t="s">
        <v>176</v>
      </c>
      <c r="C3" s="68" t="s">
        <v>261</v>
      </c>
    </row>
    <row r="4" spans="2:18">
      <c r="B4" s="47" t="s">
        <v>177</v>
      </c>
      <c r="C4" s="68">
        <v>2207</v>
      </c>
    </row>
    <row r="6" spans="2:18" ht="26.25" customHeight="1">
      <c r="B6" s="126" t="s">
        <v>215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8"/>
    </row>
    <row r="7" spans="2:18" s="3" customFormat="1" ht="78.75">
      <c r="B7" s="22" t="s">
        <v>112</v>
      </c>
      <c r="C7" s="30" t="s">
        <v>43</v>
      </c>
      <c r="D7" s="30" t="s">
        <v>63</v>
      </c>
      <c r="E7" s="30" t="s">
        <v>14</v>
      </c>
      <c r="F7" s="30" t="s">
        <v>64</v>
      </c>
      <c r="G7" s="30" t="s">
        <v>100</v>
      </c>
      <c r="H7" s="30" t="s">
        <v>17</v>
      </c>
      <c r="I7" s="30" t="s">
        <v>99</v>
      </c>
      <c r="J7" s="30" t="s">
        <v>16</v>
      </c>
      <c r="K7" s="30" t="s">
        <v>213</v>
      </c>
      <c r="L7" s="30" t="s">
        <v>241</v>
      </c>
      <c r="M7" s="30" t="s">
        <v>214</v>
      </c>
      <c r="N7" s="30" t="s">
        <v>57</v>
      </c>
      <c r="O7" s="30" t="s">
        <v>178</v>
      </c>
      <c r="P7" s="31" t="s">
        <v>180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243</v>
      </c>
      <c r="M8" s="32" t="s">
        <v>239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109">
        <v>0</v>
      </c>
      <c r="N10" s="69"/>
      <c r="O10" s="69"/>
      <c r="P10" s="69"/>
      <c r="Q10" s="5"/>
    </row>
    <row r="11" spans="2:18" ht="20.25" customHeight="1">
      <c r="B11" s="85" t="s">
        <v>251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2:18">
      <c r="B12" s="85" t="s">
        <v>108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2:18">
      <c r="B13" s="85" t="s">
        <v>242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spans="2:18"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2:18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spans="2:18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2:16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8" spans="2:16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</row>
    <row r="19" spans="2:16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</row>
    <row r="20" spans="2:16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2:16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2:16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2:16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2:16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2:16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2:16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2:16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2:16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2:16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2:16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2:16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2:16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2:16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spans="2:16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</row>
    <row r="35" spans="2:16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2:16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spans="2:16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</row>
    <row r="38" spans="2:16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2:16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</row>
    <row r="40" spans="2:16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1" spans="2:16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2:16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2:16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2:16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2:16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2:16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2:16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</row>
    <row r="48" spans="2:16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</row>
    <row r="49" spans="2:16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</row>
    <row r="50" spans="2:16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</row>
    <row r="51" spans="2:16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</row>
    <row r="52" spans="2:16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</row>
    <row r="53" spans="2:16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</row>
    <row r="54" spans="2:16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spans="2:16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</row>
    <row r="56" spans="2:16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</row>
    <row r="57" spans="2:16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</row>
    <row r="58" spans="2:16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</row>
    <row r="59" spans="2:16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</row>
    <row r="60" spans="2:16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</row>
    <row r="61" spans="2:16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</row>
    <row r="62" spans="2:16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</row>
    <row r="63" spans="2:16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</row>
    <row r="64" spans="2:16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</row>
    <row r="65" spans="2:16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</row>
    <row r="66" spans="2:16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</row>
    <row r="67" spans="2:16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</row>
    <row r="68" spans="2:16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</row>
    <row r="69" spans="2:16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</row>
    <row r="70" spans="2:16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</row>
    <row r="71" spans="2:16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</row>
    <row r="72" spans="2:16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</row>
    <row r="73" spans="2:16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</row>
    <row r="74" spans="2:16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</row>
    <row r="75" spans="2:16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</row>
    <row r="76" spans="2:16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</row>
    <row r="77" spans="2:16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</row>
    <row r="78" spans="2:16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</row>
    <row r="79" spans="2:16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</row>
    <row r="80" spans="2:16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2:16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</row>
    <row r="82" spans="2:16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2:16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</row>
    <row r="84" spans="2:16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6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2:16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</row>
    <row r="87" spans="2:16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</row>
    <row r="88" spans="2:16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</row>
    <row r="89" spans="2:16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</row>
    <row r="90" spans="2:16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</row>
    <row r="91" spans="2:16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2:16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</row>
    <row r="93" spans="2:16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</row>
    <row r="94" spans="2:16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spans="2:16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</row>
    <row r="96" spans="2:16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2:16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2:16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2:16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2:16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2:16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02" spans="2:16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</row>
    <row r="103" spans="2:16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</row>
    <row r="104" spans="2:16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</row>
    <row r="105" spans="2:16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</row>
    <row r="106" spans="2:16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</row>
    <row r="107" spans="2:16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</row>
    <row r="108" spans="2:16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</row>
    <row r="109" spans="2:16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AH31:XFD33 B1:B23 Q1:XFD30 Q34:XFD1048576 Q31:AF33 D1:L23 N1:P23 M1:M9 M11:M23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>
      <selection activeCell="M10" sqref="M1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175</v>
      </c>
      <c r="C1" s="68" t="s" vm="1">
        <v>259</v>
      </c>
    </row>
    <row r="2" spans="2:18">
      <c r="B2" s="47" t="s">
        <v>174</v>
      </c>
      <c r="C2" s="68" t="s">
        <v>260</v>
      </c>
    </row>
    <row r="3" spans="2:18">
      <c r="B3" s="47" t="s">
        <v>176</v>
      </c>
      <c r="C3" s="68" t="s">
        <v>261</v>
      </c>
    </row>
    <row r="4" spans="2:18">
      <c r="B4" s="47" t="s">
        <v>177</v>
      </c>
      <c r="C4" s="68">
        <v>2207</v>
      </c>
    </row>
    <row r="6" spans="2:18" ht="26.25" customHeight="1">
      <c r="B6" s="126" t="s">
        <v>216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8"/>
    </row>
    <row r="7" spans="2:18" s="3" customFormat="1" ht="78.75">
      <c r="B7" s="22" t="s">
        <v>112</v>
      </c>
      <c r="C7" s="30" t="s">
        <v>43</v>
      </c>
      <c r="D7" s="30" t="s">
        <v>63</v>
      </c>
      <c r="E7" s="30" t="s">
        <v>14</v>
      </c>
      <c r="F7" s="30" t="s">
        <v>64</v>
      </c>
      <c r="G7" s="30" t="s">
        <v>100</v>
      </c>
      <c r="H7" s="30" t="s">
        <v>17</v>
      </c>
      <c r="I7" s="30" t="s">
        <v>99</v>
      </c>
      <c r="J7" s="30" t="s">
        <v>16</v>
      </c>
      <c r="K7" s="30" t="s">
        <v>213</v>
      </c>
      <c r="L7" s="30" t="s">
        <v>236</v>
      </c>
      <c r="M7" s="30" t="s">
        <v>214</v>
      </c>
      <c r="N7" s="30" t="s">
        <v>57</v>
      </c>
      <c r="O7" s="30" t="s">
        <v>178</v>
      </c>
      <c r="P7" s="31" t="s">
        <v>180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243</v>
      </c>
      <c r="M8" s="32" t="s">
        <v>239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109">
        <v>0</v>
      </c>
      <c r="N10" s="69"/>
      <c r="O10" s="69"/>
      <c r="P10" s="69"/>
      <c r="Q10" s="5"/>
    </row>
    <row r="11" spans="2:18" ht="20.25" customHeight="1">
      <c r="B11" s="85" t="s">
        <v>251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2:18">
      <c r="B12" s="85" t="s">
        <v>108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2:18">
      <c r="B13" s="85" t="s">
        <v>242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spans="2:18"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2:18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spans="2:18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2:16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8" spans="2:16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</row>
    <row r="19" spans="2:16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</row>
    <row r="20" spans="2:16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2:16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2:16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2:16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2:16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2:16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2:16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2:16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2:16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2:16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2:16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2:16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2:16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2:16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spans="2:16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</row>
    <row r="35" spans="2:16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2:16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spans="2:16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</row>
    <row r="38" spans="2:16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2:16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</row>
    <row r="40" spans="2:16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1" spans="2:16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2:16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2:16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2:16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2:16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2:16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2:16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</row>
    <row r="48" spans="2:16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</row>
    <row r="49" spans="2:16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</row>
    <row r="50" spans="2:16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</row>
    <row r="51" spans="2:16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</row>
    <row r="52" spans="2:16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</row>
    <row r="53" spans="2:16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</row>
    <row r="54" spans="2:16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spans="2:16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</row>
    <row r="56" spans="2:16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</row>
    <row r="57" spans="2:16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</row>
    <row r="58" spans="2:16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</row>
    <row r="59" spans="2:16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</row>
    <row r="60" spans="2:16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</row>
    <row r="61" spans="2:16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</row>
    <row r="62" spans="2:16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</row>
    <row r="63" spans="2:16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</row>
    <row r="64" spans="2:16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</row>
    <row r="65" spans="2:16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</row>
    <row r="66" spans="2:16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</row>
    <row r="67" spans="2:16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</row>
    <row r="68" spans="2:16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</row>
    <row r="69" spans="2:16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</row>
    <row r="70" spans="2:16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</row>
    <row r="71" spans="2:16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</row>
    <row r="72" spans="2:16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</row>
    <row r="73" spans="2:16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</row>
    <row r="74" spans="2:16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</row>
    <row r="75" spans="2:16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</row>
    <row r="76" spans="2:16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</row>
    <row r="77" spans="2:16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</row>
    <row r="78" spans="2:16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</row>
    <row r="79" spans="2:16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</row>
    <row r="80" spans="2:16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2:16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</row>
    <row r="82" spans="2:16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2:16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</row>
    <row r="84" spans="2:16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6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2:16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</row>
    <row r="87" spans="2:16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</row>
    <row r="88" spans="2:16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</row>
    <row r="89" spans="2:16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</row>
    <row r="90" spans="2:16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</row>
    <row r="91" spans="2:16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2:16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</row>
    <row r="93" spans="2:16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</row>
    <row r="94" spans="2:16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spans="2:16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</row>
    <row r="96" spans="2:16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2:16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2:16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2:16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2:16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2:16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02" spans="2:16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</row>
    <row r="103" spans="2:16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</row>
    <row r="104" spans="2:16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</row>
    <row r="105" spans="2:16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</row>
    <row r="106" spans="2:16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</row>
    <row r="107" spans="2:16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</row>
    <row r="108" spans="2:16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</row>
    <row r="109" spans="2:16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AH31:XFD33 B1:B23 Q1:XFD30 Q34:XFD1048576 Q31:AF33 D1:L23 N1:P23 M1:M9 M11:M2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workbookViewId="0">
      <selection activeCell="Q12" sqref="Q12:Q25"/>
    </sheetView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36.570312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47" t="s">
        <v>175</v>
      </c>
      <c r="C1" s="68" t="s" vm="1">
        <v>259</v>
      </c>
    </row>
    <row r="2" spans="2:53">
      <c r="B2" s="47" t="s">
        <v>174</v>
      </c>
      <c r="C2" s="68" t="s">
        <v>260</v>
      </c>
    </row>
    <row r="3" spans="2:53">
      <c r="B3" s="47" t="s">
        <v>176</v>
      </c>
      <c r="C3" s="68" t="s">
        <v>261</v>
      </c>
    </row>
    <row r="4" spans="2:53">
      <c r="B4" s="47" t="s">
        <v>177</v>
      </c>
      <c r="C4" s="68">
        <v>2207</v>
      </c>
    </row>
    <row r="6" spans="2:53" ht="21.75" customHeight="1">
      <c r="B6" s="129" t="s">
        <v>205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1"/>
    </row>
    <row r="7" spans="2:53" ht="27.75" customHeight="1">
      <c r="B7" s="132" t="s">
        <v>85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4"/>
      <c r="AU7" s="3"/>
      <c r="AV7" s="3"/>
    </row>
    <row r="8" spans="2:53" s="3" customFormat="1" ht="66" customHeight="1">
      <c r="B8" s="22" t="s">
        <v>111</v>
      </c>
      <c r="C8" s="30" t="s">
        <v>43</v>
      </c>
      <c r="D8" s="30" t="s">
        <v>115</v>
      </c>
      <c r="E8" s="30" t="s">
        <v>14</v>
      </c>
      <c r="F8" s="30" t="s">
        <v>64</v>
      </c>
      <c r="G8" s="30" t="s">
        <v>100</v>
      </c>
      <c r="H8" s="30" t="s">
        <v>17</v>
      </c>
      <c r="I8" s="30" t="s">
        <v>99</v>
      </c>
      <c r="J8" s="30" t="s">
        <v>16</v>
      </c>
      <c r="K8" s="30" t="s">
        <v>18</v>
      </c>
      <c r="L8" s="30" t="s">
        <v>236</v>
      </c>
      <c r="M8" s="30" t="s">
        <v>235</v>
      </c>
      <c r="N8" s="30" t="s">
        <v>250</v>
      </c>
      <c r="O8" s="30" t="s">
        <v>60</v>
      </c>
      <c r="P8" s="30" t="s">
        <v>238</v>
      </c>
      <c r="Q8" s="30" t="s">
        <v>178</v>
      </c>
      <c r="R8" s="60" t="s">
        <v>180</v>
      </c>
      <c r="AM8" s="1"/>
      <c r="AU8" s="1"/>
      <c r="AV8" s="1"/>
      <c r="AW8" s="1"/>
    </row>
    <row r="9" spans="2:53" s="3" customFormat="1" ht="21.75" customHeight="1">
      <c r="B9" s="15"/>
      <c r="C9" s="32"/>
      <c r="D9" s="32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243</v>
      </c>
      <c r="M9" s="32"/>
      <c r="N9" s="16" t="s">
        <v>239</v>
      </c>
      <c r="O9" s="32" t="s">
        <v>244</v>
      </c>
      <c r="P9" s="32" t="s">
        <v>19</v>
      </c>
      <c r="Q9" s="32" t="s">
        <v>19</v>
      </c>
      <c r="R9" s="33" t="s">
        <v>19</v>
      </c>
      <c r="AU9" s="1"/>
      <c r="AV9" s="1"/>
    </row>
    <row r="10" spans="2:53" s="4" customFormat="1" ht="18" customHeight="1">
      <c r="B10" s="18"/>
      <c r="C10" s="34" t="s">
        <v>0</v>
      </c>
      <c r="D10" s="34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109</v>
      </c>
      <c r="R10" s="20" t="s">
        <v>110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96" t="s">
        <v>25</v>
      </c>
      <c r="C11" s="72"/>
      <c r="D11" s="72"/>
      <c r="E11" s="72"/>
      <c r="F11" s="72"/>
      <c r="G11" s="72"/>
      <c r="H11" s="80">
        <v>15.296371206544841</v>
      </c>
      <c r="I11" s="72"/>
      <c r="J11" s="72"/>
      <c r="K11" s="81">
        <v>-1.8078383653210533E-3</v>
      </c>
      <c r="L11" s="80"/>
      <c r="M11" s="82"/>
      <c r="N11" s="72"/>
      <c r="O11" s="80">
        <v>978306.94522534986</v>
      </c>
      <c r="P11" s="72"/>
      <c r="Q11" s="81">
        <f>O11/$O$11</f>
        <v>1</v>
      </c>
      <c r="R11" s="81">
        <f>O11/'סכום נכסי הקרן'!$C$42</f>
        <v>0.2696388020650568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86"/>
      <c r="AV11" s="86"/>
      <c r="AW11" s="3"/>
      <c r="BA11" s="86"/>
    </row>
    <row r="12" spans="2:53" ht="22.5" customHeight="1">
      <c r="B12" s="71" t="s">
        <v>229</v>
      </c>
      <c r="C12" s="72"/>
      <c r="D12" s="72"/>
      <c r="E12" s="72"/>
      <c r="F12" s="72"/>
      <c r="G12" s="72"/>
      <c r="H12" s="80">
        <v>15.296371206544839</v>
      </c>
      <c r="I12" s="72"/>
      <c r="J12" s="72"/>
      <c r="K12" s="81">
        <v>-1.8078383653210533E-3</v>
      </c>
      <c r="L12" s="80"/>
      <c r="M12" s="82"/>
      <c r="N12" s="72"/>
      <c r="O12" s="80">
        <v>978306.94522534998</v>
      </c>
      <c r="P12" s="72"/>
      <c r="Q12" s="81">
        <f t="shared" ref="Q12:Q25" si="0">O12/$O$11</f>
        <v>1.0000000000000002</v>
      </c>
      <c r="R12" s="81">
        <f>O12/'סכום נכסי הקרן'!$C$42</f>
        <v>0.2696388020650568</v>
      </c>
      <c r="AW12" s="4"/>
    </row>
    <row r="13" spans="2:53">
      <c r="B13" s="73" t="s">
        <v>23</v>
      </c>
      <c r="C13" s="70"/>
      <c r="D13" s="70"/>
      <c r="E13" s="70"/>
      <c r="F13" s="70"/>
      <c r="G13" s="70"/>
      <c r="H13" s="77">
        <v>15.296371206544839</v>
      </c>
      <c r="I13" s="70"/>
      <c r="J13" s="70"/>
      <c r="K13" s="78">
        <v>-1.8078383653210533E-3</v>
      </c>
      <c r="L13" s="77"/>
      <c r="M13" s="79"/>
      <c r="N13" s="70"/>
      <c r="O13" s="77">
        <v>978306.94522534998</v>
      </c>
      <c r="P13" s="70"/>
      <c r="Q13" s="78">
        <f t="shared" si="0"/>
        <v>1.0000000000000002</v>
      </c>
      <c r="R13" s="78">
        <f>O13/'סכום נכסי הקרן'!$C$42</f>
        <v>0.2696388020650568</v>
      </c>
    </row>
    <row r="14" spans="2:53">
      <c r="B14" s="74" t="s">
        <v>22</v>
      </c>
      <c r="C14" s="72"/>
      <c r="D14" s="72"/>
      <c r="E14" s="72"/>
      <c r="F14" s="72"/>
      <c r="G14" s="72"/>
      <c r="H14" s="80">
        <v>15.296371206544839</v>
      </c>
      <c r="I14" s="72"/>
      <c r="J14" s="72"/>
      <c r="K14" s="81">
        <v>-1.8078383653210533E-3</v>
      </c>
      <c r="L14" s="80"/>
      <c r="M14" s="82"/>
      <c r="N14" s="72"/>
      <c r="O14" s="80">
        <v>978306.94522534998</v>
      </c>
      <c r="P14" s="72"/>
      <c r="Q14" s="81">
        <f t="shared" si="0"/>
        <v>1.0000000000000002</v>
      </c>
      <c r="R14" s="81">
        <f>O14/'סכום נכסי הקרן'!$C$42</f>
        <v>0.2696388020650568</v>
      </c>
    </row>
    <row r="15" spans="2:53">
      <c r="B15" s="75" t="s">
        <v>262</v>
      </c>
      <c r="C15" s="70" t="s">
        <v>263</v>
      </c>
      <c r="D15" s="83" t="s">
        <v>116</v>
      </c>
      <c r="E15" s="70" t="s">
        <v>264</v>
      </c>
      <c r="F15" s="70"/>
      <c r="G15" s="70"/>
      <c r="H15" s="77">
        <v>1.04</v>
      </c>
      <c r="I15" s="83" t="s">
        <v>160</v>
      </c>
      <c r="J15" s="84">
        <v>0.04</v>
      </c>
      <c r="K15" s="78">
        <v>-8.0000000000000004E-4</v>
      </c>
      <c r="L15" s="77">
        <v>14729439.167548001</v>
      </c>
      <c r="M15" s="79">
        <v>140.97</v>
      </c>
      <c r="N15" s="70"/>
      <c r="O15" s="77">
        <v>20764.090413800001</v>
      </c>
      <c r="P15" s="78">
        <v>9.4736442043228352E-4</v>
      </c>
      <c r="Q15" s="78">
        <f t="shared" si="0"/>
        <v>2.1224514979822678E-2</v>
      </c>
      <c r="R15" s="78">
        <f>O15/'סכום נכסי הקרן'!$C$42</f>
        <v>5.722952793571239E-3</v>
      </c>
    </row>
    <row r="16" spans="2:53" ht="20.25">
      <c r="B16" s="75" t="s">
        <v>265</v>
      </c>
      <c r="C16" s="70" t="s">
        <v>266</v>
      </c>
      <c r="D16" s="83" t="s">
        <v>116</v>
      </c>
      <c r="E16" s="70" t="s">
        <v>264</v>
      </c>
      <c r="F16" s="70"/>
      <c r="G16" s="70"/>
      <c r="H16" s="77">
        <v>3.7600000000000673</v>
      </c>
      <c r="I16" s="83" t="s">
        <v>160</v>
      </c>
      <c r="J16" s="84">
        <v>0.04</v>
      </c>
      <c r="K16" s="78">
        <v>-5.0000000000002395E-3</v>
      </c>
      <c r="L16" s="77">
        <v>13769256.122788999</v>
      </c>
      <c r="M16" s="79">
        <v>150.97999999999999</v>
      </c>
      <c r="N16" s="70"/>
      <c r="O16" s="77">
        <v>20788.823140985001</v>
      </c>
      <c r="P16" s="78">
        <v>1.1851766010938815E-3</v>
      </c>
      <c r="Q16" s="78">
        <f t="shared" si="0"/>
        <v>2.1249796132436088E-2</v>
      </c>
      <c r="R16" s="78">
        <f>O16/'סכום נכסי הקרן'!$C$42</f>
        <v>5.7297695732767429E-3</v>
      </c>
      <c r="AU16" s="4"/>
    </row>
    <row r="17" spans="2:48" ht="20.25">
      <c r="B17" s="75" t="s">
        <v>267</v>
      </c>
      <c r="C17" s="70" t="s">
        <v>268</v>
      </c>
      <c r="D17" s="83" t="s">
        <v>116</v>
      </c>
      <c r="E17" s="70" t="s">
        <v>264</v>
      </c>
      <c r="F17" s="70"/>
      <c r="G17" s="70"/>
      <c r="H17" s="77">
        <v>6.7700000000001754</v>
      </c>
      <c r="I17" s="83" t="s">
        <v>160</v>
      </c>
      <c r="J17" s="84">
        <v>7.4999999999999997E-3</v>
      </c>
      <c r="K17" s="78">
        <v>-6.6999999999999759E-3</v>
      </c>
      <c r="L17" s="77">
        <v>24824395.871252999</v>
      </c>
      <c r="M17" s="79">
        <v>111.25</v>
      </c>
      <c r="N17" s="70"/>
      <c r="O17" s="77">
        <v>27617.139316920995</v>
      </c>
      <c r="P17" s="78">
        <v>1.5540648989109142E-3</v>
      </c>
      <c r="Q17" s="78">
        <f t="shared" si="0"/>
        <v>2.8229523925703579E-2</v>
      </c>
      <c r="R17" s="78">
        <f>O17/'סכום נכסי הקרן'!$C$42</f>
        <v>7.611775014193572E-3</v>
      </c>
      <c r="AV17" s="4"/>
    </row>
    <row r="18" spans="2:48">
      <c r="B18" s="75" t="s">
        <v>269</v>
      </c>
      <c r="C18" s="70" t="s">
        <v>270</v>
      </c>
      <c r="D18" s="83" t="s">
        <v>116</v>
      </c>
      <c r="E18" s="70" t="s">
        <v>264</v>
      </c>
      <c r="F18" s="70"/>
      <c r="G18" s="70"/>
      <c r="H18" s="77">
        <v>13.069999999999981</v>
      </c>
      <c r="I18" s="83" t="s">
        <v>160</v>
      </c>
      <c r="J18" s="84">
        <v>0.04</v>
      </c>
      <c r="K18" s="78">
        <v>-3.6999999999999911E-3</v>
      </c>
      <c r="L18" s="77">
        <v>104281564.65266401</v>
      </c>
      <c r="M18" s="79">
        <v>204.5</v>
      </c>
      <c r="N18" s="70"/>
      <c r="O18" s="77">
        <v>213255.80024835997</v>
      </c>
      <c r="P18" s="78">
        <v>6.4285610153733885E-3</v>
      </c>
      <c r="Q18" s="78">
        <f t="shared" si="0"/>
        <v>0.21798455105441084</v>
      </c>
      <c r="R18" s="78">
        <f>O18/'סכום נכסי הקרן'!$C$42</f>
        <v>5.8777093215000548E-2</v>
      </c>
      <c r="AU18" s="3"/>
    </row>
    <row r="19" spans="2:48">
      <c r="B19" s="75" t="s">
        <v>271</v>
      </c>
      <c r="C19" s="70" t="s">
        <v>272</v>
      </c>
      <c r="D19" s="83" t="s">
        <v>116</v>
      </c>
      <c r="E19" s="70" t="s">
        <v>264</v>
      </c>
      <c r="F19" s="70"/>
      <c r="G19" s="70"/>
      <c r="H19" s="77">
        <v>17.250000000000043</v>
      </c>
      <c r="I19" s="83" t="s">
        <v>160</v>
      </c>
      <c r="J19" s="84">
        <v>2.75E-2</v>
      </c>
      <c r="K19" s="78">
        <v>-8.0000000000001402E-4</v>
      </c>
      <c r="L19" s="77">
        <v>114721996.74841999</v>
      </c>
      <c r="M19" s="79">
        <v>174.21</v>
      </c>
      <c r="N19" s="70"/>
      <c r="O19" s="77">
        <v>199857.19394658398</v>
      </c>
      <c r="P19" s="78">
        <v>6.4906117045225335E-3</v>
      </c>
      <c r="Q19" s="78">
        <f t="shared" si="0"/>
        <v>0.20428884300780215</v>
      </c>
      <c r="R19" s="78">
        <f>O19/'סכום נכסי הקרן'!$C$42</f>
        <v>5.5084198903880222E-2</v>
      </c>
      <c r="AV19" s="3"/>
    </row>
    <row r="20" spans="2:48">
      <c r="B20" s="75" t="s">
        <v>273</v>
      </c>
      <c r="C20" s="70" t="s">
        <v>274</v>
      </c>
      <c r="D20" s="83" t="s">
        <v>116</v>
      </c>
      <c r="E20" s="70" t="s">
        <v>264</v>
      </c>
      <c r="F20" s="70"/>
      <c r="G20" s="70"/>
      <c r="H20" s="77">
        <v>3.1500000000000234</v>
      </c>
      <c r="I20" s="83" t="s">
        <v>160</v>
      </c>
      <c r="J20" s="84">
        <v>1.7500000000000002E-2</v>
      </c>
      <c r="K20" s="78">
        <v>-4.3000000000002212E-3</v>
      </c>
      <c r="L20" s="77">
        <v>20956906.181575</v>
      </c>
      <c r="M20" s="79">
        <v>110.28</v>
      </c>
      <c r="N20" s="70"/>
      <c r="O20" s="77">
        <v>23111.275639943</v>
      </c>
      <c r="P20" s="78">
        <v>1.2400942718225794E-3</v>
      </c>
      <c r="Q20" s="78">
        <f t="shared" si="0"/>
        <v>2.3623746874882293E-2</v>
      </c>
      <c r="R20" s="78">
        <f>O20/'סכום נכסי הקרן'!$C$42</f>
        <v>6.3698788076313895E-3</v>
      </c>
    </row>
    <row r="21" spans="2:48">
      <c r="B21" s="75" t="s">
        <v>275</v>
      </c>
      <c r="C21" s="70" t="s">
        <v>276</v>
      </c>
      <c r="D21" s="83" t="s">
        <v>116</v>
      </c>
      <c r="E21" s="70" t="s">
        <v>264</v>
      </c>
      <c r="F21" s="70"/>
      <c r="G21" s="70"/>
      <c r="H21" s="77">
        <v>0.32999999999338608</v>
      </c>
      <c r="I21" s="83" t="s">
        <v>160</v>
      </c>
      <c r="J21" s="84">
        <v>1E-3</v>
      </c>
      <c r="K21" s="78">
        <v>-8.4000000001322791E-3</v>
      </c>
      <c r="L21" s="77">
        <v>47818.614796000002</v>
      </c>
      <c r="M21" s="79">
        <v>101.18</v>
      </c>
      <c r="N21" s="70"/>
      <c r="O21" s="77">
        <v>48.382873103999998</v>
      </c>
      <c r="P21" s="78">
        <v>3.972049536692598E-6</v>
      </c>
      <c r="Q21" s="78">
        <f t="shared" si="0"/>
        <v>4.9455718719092975E-5</v>
      </c>
      <c r="R21" s="78">
        <f>O21/'סכום נכסי הקרן'!$C$42</f>
        <v>1.3335180750682634E-5</v>
      </c>
    </row>
    <row r="22" spans="2:48">
      <c r="B22" s="75" t="s">
        <v>277</v>
      </c>
      <c r="C22" s="70" t="s">
        <v>278</v>
      </c>
      <c r="D22" s="83" t="s">
        <v>116</v>
      </c>
      <c r="E22" s="70" t="s">
        <v>264</v>
      </c>
      <c r="F22" s="70"/>
      <c r="G22" s="70"/>
      <c r="H22" s="77">
        <v>5.2299999999999969</v>
      </c>
      <c r="I22" s="83" t="s">
        <v>160</v>
      </c>
      <c r="J22" s="84">
        <v>7.4999999999999997E-3</v>
      </c>
      <c r="K22" s="78">
        <v>-6.0999999999997966E-3</v>
      </c>
      <c r="L22" s="77">
        <v>19058222.894593</v>
      </c>
      <c r="M22" s="79">
        <v>108.32</v>
      </c>
      <c r="N22" s="70"/>
      <c r="O22" s="77">
        <v>20643.867378922001</v>
      </c>
      <c r="P22" s="78">
        <v>1.1249442086668855E-3</v>
      </c>
      <c r="Q22" s="78">
        <f t="shared" si="0"/>
        <v>2.110162610995954E-2</v>
      </c>
      <c r="R22" s="78">
        <f>O22/'סכום נכסי הקרן'!$C$42</f>
        <v>5.6898171859142144E-3</v>
      </c>
    </row>
    <row r="23" spans="2:48">
      <c r="B23" s="75" t="s">
        <v>279</v>
      </c>
      <c r="C23" s="70" t="s">
        <v>280</v>
      </c>
      <c r="D23" s="83" t="s">
        <v>116</v>
      </c>
      <c r="E23" s="70" t="s">
        <v>264</v>
      </c>
      <c r="F23" s="70"/>
      <c r="G23" s="70"/>
      <c r="H23" s="77">
        <v>8.7499999999999254</v>
      </c>
      <c r="I23" s="83" t="s">
        <v>160</v>
      </c>
      <c r="J23" s="84">
        <v>5.0000000000000001E-3</v>
      </c>
      <c r="K23" s="78">
        <v>-6.9000000000000103E-3</v>
      </c>
      <c r="L23" s="77">
        <v>95020739.594710007</v>
      </c>
      <c r="M23" s="79">
        <v>111</v>
      </c>
      <c r="N23" s="70"/>
      <c r="O23" s="77">
        <v>105473.017043281</v>
      </c>
      <c r="P23" s="78">
        <v>6.9825571608615952E-3</v>
      </c>
      <c r="Q23" s="78">
        <f t="shared" si="0"/>
        <v>0.10781178397847889</v>
      </c>
      <c r="R23" s="78">
        <f>O23/'סכום נכסי הקרן'!$C$42</f>
        <v>2.907024028045373E-2</v>
      </c>
    </row>
    <row r="24" spans="2:48">
      <c r="B24" s="75" t="s">
        <v>281</v>
      </c>
      <c r="C24" s="70" t="s">
        <v>282</v>
      </c>
      <c r="D24" s="83" t="s">
        <v>116</v>
      </c>
      <c r="E24" s="70" t="s">
        <v>264</v>
      </c>
      <c r="F24" s="70"/>
      <c r="G24" s="70"/>
      <c r="H24" s="77">
        <v>22.480000000000029</v>
      </c>
      <c r="I24" s="83" t="s">
        <v>160</v>
      </c>
      <c r="J24" s="84">
        <v>0.01</v>
      </c>
      <c r="K24" s="78">
        <v>1.4999999999999738E-3</v>
      </c>
      <c r="L24" s="77">
        <v>266293391.69726101</v>
      </c>
      <c r="M24" s="79">
        <v>121.79</v>
      </c>
      <c r="N24" s="70"/>
      <c r="O24" s="77">
        <v>324318.71246173902</v>
      </c>
      <c r="P24" s="78">
        <v>1.6128120150830497E-2</v>
      </c>
      <c r="Q24" s="78">
        <f t="shared" si="0"/>
        <v>0.33151018097600571</v>
      </c>
      <c r="R24" s="78">
        <f>O24/'סכום נכסי הקרן'!$C$42</f>
        <v>8.9388008070740349E-2</v>
      </c>
    </row>
    <row r="25" spans="2:48">
      <c r="B25" s="75" t="s">
        <v>283</v>
      </c>
      <c r="C25" s="70" t="s">
        <v>284</v>
      </c>
      <c r="D25" s="83" t="s">
        <v>116</v>
      </c>
      <c r="E25" s="70" t="s">
        <v>264</v>
      </c>
      <c r="F25" s="70"/>
      <c r="G25" s="70"/>
      <c r="H25" s="77">
        <v>2.1700000000000057</v>
      </c>
      <c r="I25" s="83" t="s">
        <v>160</v>
      </c>
      <c r="J25" s="84">
        <v>2.75E-2</v>
      </c>
      <c r="K25" s="78">
        <v>-2.0999999999998615E-3</v>
      </c>
      <c r="L25" s="77">
        <v>19911792.780797001</v>
      </c>
      <c r="M25" s="79">
        <v>112.64</v>
      </c>
      <c r="N25" s="70"/>
      <c r="O25" s="77">
        <v>22428.642761711002</v>
      </c>
      <c r="P25" s="78">
        <v>1.1857445239909722E-3</v>
      </c>
      <c r="Q25" s="78">
        <f t="shared" si="0"/>
        <v>2.2925977241779302E-2</v>
      </c>
      <c r="R25" s="78">
        <f>O25/'סכום נכסי הקרן'!$C$42</f>
        <v>6.1817330396441257E-3</v>
      </c>
    </row>
    <row r="26" spans="2:48">
      <c r="B26" s="76"/>
      <c r="C26" s="70"/>
      <c r="D26" s="70"/>
      <c r="E26" s="70"/>
      <c r="F26" s="70"/>
      <c r="G26" s="70"/>
      <c r="H26" s="70"/>
      <c r="I26" s="70"/>
      <c r="J26" s="70"/>
      <c r="K26" s="78"/>
      <c r="L26" s="77"/>
      <c r="M26" s="79"/>
      <c r="N26" s="70"/>
      <c r="O26" s="70"/>
      <c r="P26" s="70"/>
      <c r="Q26" s="78"/>
      <c r="R26" s="70"/>
    </row>
    <row r="27" spans="2:48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2:48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</row>
    <row r="29" spans="2:48">
      <c r="B29" s="85" t="s">
        <v>108</v>
      </c>
      <c r="C29" s="86"/>
      <c r="D29" s="86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</row>
    <row r="30" spans="2:48">
      <c r="B30" s="85" t="s">
        <v>234</v>
      </c>
      <c r="C30" s="86"/>
      <c r="D30" s="86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</row>
    <row r="31" spans="2:48">
      <c r="B31" s="135" t="s">
        <v>242</v>
      </c>
      <c r="C31" s="135"/>
      <c r="D31" s="135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2:48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</row>
    <row r="33" spans="2:18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2:18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</row>
    <row r="35" spans="2:18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</row>
    <row r="36" spans="2:18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2:18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2:18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</row>
    <row r="39" spans="2:18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</row>
    <row r="40" spans="2:18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</row>
    <row r="41" spans="2:18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</row>
    <row r="42" spans="2:18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2:18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2:18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2:18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2:18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</row>
    <row r="47" spans="2:18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2:18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2:18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2:18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  <row r="51" spans="2:18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</row>
    <row r="52" spans="2:18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</row>
    <row r="53" spans="2:18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</row>
    <row r="54" spans="2:18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</row>
    <row r="55" spans="2:18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</row>
    <row r="56" spans="2:18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  <row r="57" spans="2:18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</row>
    <row r="58" spans="2:18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</row>
    <row r="59" spans="2:18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</row>
    <row r="60" spans="2:18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spans="2:18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</row>
    <row r="62" spans="2:18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spans="2:18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</row>
    <row r="64" spans="2:18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</row>
    <row r="65" spans="2:18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</row>
    <row r="66" spans="2:18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</row>
    <row r="67" spans="2:18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</row>
    <row r="68" spans="2:18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</row>
    <row r="69" spans="2:18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</row>
    <row r="70" spans="2:18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</row>
    <row r="71" spans="2:18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</row>
    <row r="72" spans="2:18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</row>
    <row r="73" spans="2:18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</row>
    <row r="74" spans="2:18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</row>
    <row r="75" spans="2:18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</row>
    <row r="76" spans="2:18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</row>
    <row r="77" spans="2:18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</row>
    <row r="78" spans="2:18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</row>
    <row r="79" spans="2:18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</row>
    <row r="80" spans="2:18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</row>
    <row r="81" spans="2:18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</row>
    <row r="82" spans="2:18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</row>
    <row r="83" spans="2:18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2:18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</row>
    <row r="85" spans="2:18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</row>
    <row r="86" spans="2:18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</row>
    <row r="87" spans="2:18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</row>
    <row r="88" spans="2:18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</row>
    <row r="89" spans="2:18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</row>
    <row r="90" spans="2:18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</row>
    <row r="91" spans="2:18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</row>
    <row r="92" spans="2:18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</row>
    <row r="93" spans="2:18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</row>
    <row r="94" spans="2:18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</row>
    <row r="95" spans="2:18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</row>
    <row r="96" spans="2:18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</row>
    <row r="97" spans="2:18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spans="2:18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</row>
    <row r="99" spans="2:18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</row>
    <row r="100" spans="2:18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</row>
    <row r="101" spans="2:18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</row>
    <row r="102" spans="2:18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</row>
    <row r="103" spans="2:18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spans="2:18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</row>
    <row r="105" spans="2:18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</row>
    <row r="106" spans="2:18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</row>
    <row r="107" spans="2:18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</row>
    <row r="108" spans="2:18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</row>
    <row r="109" spans="2:18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</row>
    <row r="110" spans="2:18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</row>
    <row r="111" spans="2:18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</row>
    <row r="112" spans="2:18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</row>
    <row r="113" spans="2:18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</row>
    <row r="114" spans="2:18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</row>
    <row r="115" spans="2:18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</row>
    <row r="116" spans="2:18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</row>
    <row r="117" spans="2:18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</row>
    <row r="118" spans="2:18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</row>
    <row r="119" spans="2:18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</row>
    <row r="120" spans="2:18"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</row>
    <row r="121" spans="2:18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</row>
    <row r="122" spans="2:18"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</row>
    <row r="123" spans="2:18"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</row>
    <row r="124" spans="2:18"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</row>
    <row r="125" spans="2:18"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</row>
    <row r="126" spans="2:18">
      <c r="C126" s="1"/>
      <c r="D126" s="1"/>
    </row>
    <row r="127" spans="2:18">
      <c r="C127" s="1"/>
      <c r="D127" s="1"/>
    </row>
    <row r="128" spans="2:18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31:D31"/>
  </mergeCells>
  <phoneticPr fontId="3" type="noConversion"/>
  <dataValidations count="1">
    <dataValidation allowBlank="1" showInputMessage="1" showErrorMessage="1" sqref="N10:Q10 N9 N1:N7 N32:N1048576 B32:B1048576 O1:Q9 O11:Q1048576 C32:I1048576 J1:M1048576 E1:I30 D1:D28 B29:B31 R1:AF1048576 AJ1:XFD1048576 AG1:AI27 AG31:AI1048576 C29:D30 A1:A1048576 B1:B28 C5:C28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>
      <selection activeCell="M10" sqref="M1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175</v>
      </c>
      <c r="C1" s="68" t="s" vm="1">
        <v>259</v>
      </c>
    </row>
    <row r="2" spans="2:18">
      <c r="B2" s="47" t="s">
        <v>174</v>
      </c>
      <c r="C2" s="68" t="s">
        <v>260</v>
      </c>
    </row>
    <row r="3" spans="2:18">
      <c r="B3" s="47" t="s">
        <v>176</v>
      </c>
      <c r="C3" s="68" t="s">
        <v>261</v>
      </c>
    </row>
    <row r="4" spans="2:18">
      <c r="B4" s="47" t="s">
        <v>177</v>
      </c>
      <c r="C4" s="68">
        <v>2207</v>
      </c>
    </row>
    <row r="6" spans="2:18" ht="26.25" customHeight="1">
      <c r="B6" s="126" t="s">
        <v>218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8"/>
    </row>
    <row r="7" spans="2:18" s="3" customFormat="1" ht="78.75">
      <c r="B7" s="22" t="s">
        <v>112</v>
      </c>
      <c r="C7" s="30" t="s">
        <v>43</v>
      </c>
      <c r="D7" s="30" t="s">
        <v>63</v>
      </c>
      <c r="E7" s="30" t="s">
        <v>14</v>
      </c>
      <c r="F7" s="30" t="s">
        <v>64</v>
      </c>
      <c r="G7" s="30" t="s">
        <v>100</v>
      </c>
      <c r="H7" s="30" t="s">
        <v>17</v>
      </c>
      <c r="I7" s="30" t="s">
        <v>99</v>
      </c>
      <c r="J7" s="30" t="s">
        <v>16</v>
      </c>
      <c r="K7" s="30" t="s">
        <v>213</v>
      </c>
      <c r="L7" s="30" t="s">
        <v>236</v>
      </c>
      <c r="M7" s="30" t="s">
        <v>214</v>
      </c>
      <c r="N7" s="30" t="s">
        <v>57</v>
      </c>
      <c r="O7" s="30" t="s">
        <v>178</v>
      </c>
      <c r="P7" s="31" t="s">
        <v>180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243</v>
      </c>
      <c r="M8" s="32" t="s">
        <v>239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109">
        <v>0</v>
      </c>
      <c r="N10" s="69"/>
      <c r="O10" s="69"/>
      <c r="P10" s="69"/>
      <c r="Q10" s="5"/>
    </row>
    <row r="11" spans="2:18" ht="20.25" customHeight="1">
      <c r="B11" s="85" t="s">
        <v>251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2:18">
      <c r="B12" s="85" t="s">
        <v>108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2:18">
      <c r="B13" s="85" t="s">
        <v>242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spans="2:18"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2:18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spans="2:18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2:23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8" spans="2:23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</row>
    <row r="19" spans="2:23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</row>
    <row r="20" spans="2:23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2:23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2:23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2:23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2:23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2:23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2:23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2:23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2:23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2:23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2:23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2:23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2"/>
      <c r="R31" s="2"/>
      <c r="S31" s="2"/>
      <c r="T31" s="2"/>
      <c r="U31" s="2"/>
      <c r="V31" s="2"/>
      <c r="W31" s="2"/>
    </row>
    <row r="32" spans="2:23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2"/>
      <c r="R32" s="2"/>
      <c r="S32" s="2"/>
      <c r="T32" s="2"/>
      <c r="U32" s="2"/>
      <c r="V32" s="2"/>
      <c r="W32" s="2"/>
    </row>
    <row r="33" spans="2:23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2"/>
      <c r="R33" s="2"/>
      <c r="S33" s="2"/>
      <c r="T33" s="2"/>
      <c r="U33" s="2"/>
      <c r="V33" s="2"/>
      <c r="W33" s="2"/>
    </row>
    <row r="34" spans="2:23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2"/>
      <c r="R34" s="2"/>
      <c r="S34" s="2"/>
      <c r="T34" s="2"/>
      <c r="U34" s="2"/>
      <c r="V34" s="2"/>
      <c r="W34" s="2"/>
    </row>
    <row r="35" spans="2:23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2"/>
      <c r="R35" s="2"/>
      <c r="S35" s="2"/>
      <c r="T35" s="2"/>
      <c r="U35" s="2"/>
      <c r="V35" s="2"/>
      <c r="W35" s="2"/>
    </row>
    <row r="36" spans="2:23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2"/>
      <c r="R36" s="2"/>
      <c r="S36" s="2"/>
      <c r="T36" s="2"/>
      <c r="U36" s="2"/>
      <c r="V36" s="2"/>
      <c r="W36" s="2"/>
    </row>
    <row r="37" spans="2:23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2"/>
      <c r="R37" s="2"/>
      <c r="S37" s="2"/>
      <c r="T37" s="2"/>
      <c r="U37" s="2"/>
      <c r="V37" s="2"/>
      <c r="W37" s="2"/>
    </row>
    <row r="38" spans="2:23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2"/>
      <c r="R38" s="2"/>
      <c r="S38" s="2"/>
      <c r="T38" s="2"/>
      <c r="U38" s="2"/>
      <c r="V38" s="2"/>
      <c r="W38" s="2"/>
    </row>
    <row r="39" spans="2:23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2"/>
      <c r="R39" s="2"/>
      <c r="S39" s="2"/>
      <c r="T39" s="2"/>
      <c r="U39" s="2"/>
      <c r="V39" s="2"/>
      <c r="W39" s="2"/>
    </row>
    <row r="40" spans="2:23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2"/>
      <c r="R40" s="2"/>
      <c r="S40" s="2"/>
      <c r="T40" s="2"/>
      <c r="U40" s="2"/>
      <c r="V40" s="2"/>
      <c r="W40" s="2"/>
    </row>
    <row r="41" spans="2:23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2"/>
      <c r="R41" s="2"/>
      <c r="S41" s="2"/>
      <c r="T41" s="2"/>
      <c r="U41" s="2"/>
      <c r="V41" s="2"/>
      <c r="W41" s="2"/>
    </row>
    <row r="42" spans="2:23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2"/>
      <c r="R42" s="2"/>
      <c r="S42" s="2"/>
      <c r="T42" s="2"/>
      <c r="U42" s="2"/>
      <c r="V42" s="2"/>
      <c r="W42" s="2"/>
    </row>
    <row r="43" spans="2:23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2:23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2:23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2:23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2:23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</row>
    <row r="48" spans="2:23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</row>
    <row r="49" spans="2:16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</row>
    <row r="50" spans="2:16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</row>
    <row r="51" spans="2:16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</row>
    <row r="52" spans="2:16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</row>
    <row r="53" spans="2:16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</row>
    <row r="54" spans="2:16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spans="2:16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</row>
    <row r="56" spans="2:16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</row>
    <row r="57" spans="2:16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</row>
    <row r="58" spans="2:16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</row>
    <row r="59" spans="2:16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</row>
    <row r="60" spans="2:16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</row>
    <row r="61" spans="2:16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</row>
    <row r="62" spans="2:16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</row>
    <row r="63" spans="2:16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</row>
    <row r="64" spans="2:16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</row>
    <row r="65" spans="2:16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</row>
    <row r="66" spans="2:16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</row>
    <row r="67" spans="2:16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</row>
    <row r="68" spans="2:16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</row>
    <row r="69" spans="2:16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</row>
    <row r="70" spans="2:16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</row>
    <row r="71" spans="2:16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</row>
    <row r="72" spans="2:16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</row>
    <row r="73" spans="2:16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</row>
    <row r="74" spans="2:16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</row>
    <row r="75" spans="2:16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</row>
    <row r="76" spans="2:16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</row>
    <row r="77" spans="2:16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</row>
    <row r="78" spans="2:16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</row>
    <row r="79" spans="2:16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</row>
    <row r="80" spans="2:16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2:16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</row>
    <row r="82" spans="2:16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2:16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</row>
    <row r="84" spans="2:16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6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2:16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</row>
    <row r="87" spans="2:16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</row>
    <row r="88" spans="2:16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</row>
    <row r="89" spans="2:16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</row>
    <row r="90" spans="2:16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</row>
    <row r="91" spans="2:16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2:16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</row>
    <row r="93" spans="2:16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</row>
    <row r="94" spans="2:16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spans="2:16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</row>
    <row r="96" spans="2:16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2:16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2:16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2:16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2:16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2:16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02" spans="2:16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</row>
    <row r="103" spans="2:16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</row>
    <row r="104" spans="2:16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</row>
    <row r="105" spans="2:16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</row>
    <row r="106" spans="2:16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</row>
    <row r="107" spans="2:16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</row>
    <row r="108" spans="2:16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</row>
    <row r="109" spans="2:16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AH31:XFD33 B1:B23 Q1:XFD30 Q34:XFD1048576 Q31:AF33 D1:L23 N1:P23 M1:M9 M11:M2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>
      <selection activeCell="Q11" sqref="Q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47" t="s">
        <v>175</v>
      </c>
      <c r="C1" s="68" t="s" vm="1">
        <v>259</v>
      </c>
    </row>
    <row r="2" spans="2:67">
      <c r="B2" s="47" t="s">
        <v>174</v>
      </c>
      <c r="C2" s="68" t="s">
        <v>260</v>
      </c>
    </row>
    <row r="3" spans="2:67">
      <c r="B3" s="47" t="s">
        <v>176</v>
      </c>
      <c r="C3" s="68" t="s">
        <v>261</v>
      </c>
    </row>
    <row r="4" spans="2:67">
      <c r="B4" s="47" t="s">
        <v>177</v>
      </c>
      <c r="C4" s="68">
        <v>2207</v>
      </c>
    </row>
    <row r="6" spans="2:67" ht="26.25" customHeight="1">
      <c r="B6" s="132" t="s">
        <v>205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7"/>
      <c r="BO6" s="3"/>
    </row>
    <row r="7" spans="2:67" ht="26.25" customHeight="1">
      <c r="B7" s="132" t="s">
        <v>86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7"/>
      <c r="AZ7" s="42"/>
      <c r="BJ7" s="3"/>
      <c r="BO7" s="3"/>
    </row>
    <row r="8" spans="2:67" s="3" customFormat="1" ht="78.75">
      <c r="B8" s="37" t="s">
        <v>111</v>
      </c>
      <c r="C8" s="13" t="s">
        <v>43</v>
      </c>
      <c r="D8" s="13" t="s">
        <v>115</v>
      </c>
      <c r="E8" s="13" t="s">
        <v>221</v>
      </c>
      <c r="F8" s="13" t="s">
        <v>113</v>
      </c>
      <c r="G8" s="13" t="s">
        <v>63</v>
      </c>
      <c r="H8" s="13" t="s">
        <v>14</v>
      </c>
      <c r="I8" s="13" t="s">
        <v>64</v>
      </c>
      <c r="J8" s="13" t="s">
        <v>100</v>
      </c>
      <c r="K8" s="13" t="s">
        <v>17</v>
      </c>
      <c r="L8" s="13" t="s">
        <v>99</v>
      </c>
      <c r="M8" s="13" t="s">
        <v>16</v>
      </c>
      <c r="N8" s="13" t="s">
        <v>18</v>
      </c>
      <c r="O8" s="13" t="s">
        <v>236</v>
      </c>
      <c r="P8" s="13" t="s">
        <v>235</v>
      </c>
      <c r="Q8" s="13" t="s">
        <v>60</v>
      </c>
      <c r="R8" s="13" t="s">
        <v>57</v>
      </c>
      <c r="S8" s="13" t="s">
        <v>178</v>
      </c>
      <c r="T8" s="38" t="s">
        <v>180</v>
      </c>
      <c r="V8" s="1"/>
      <c r="AZ8" s="42"/>
      <c r="BJ8" s="1"/>
      <c r="BK8" s="1"/>
      <c r="BL8" s="1"/>
      <c r="BO8" s="4"/>
    </row>
    <row r="9" spans="2:67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21</v>
      </c>
      <c r="K9" s="16" t="s">
        <v>20</v>
      </c>
      <c r="L9" s="16"/>
      <c r="M9" s="16" t="s">
        <v>19</v>
      </c>
      <c r="N9" s="16" t="s">
        <v>19</v>
      </c>
      <c r="O9" s="16" t="s">
        <v>243</v>
      </c>
      <c r="P9" s="16"/>
      <c r="Q9" s="16" t="s">
        <v>239</v>
      </c>
      <c r="R9" s="16" t="s">
        <v>19</v>
      </c>
      <c r="S9" s="16" t="s">
        <v>19</v>
      </c>
      <c r="T9" s="62" t="s">
        <v>19</v>
      </c>
      <c r="BJ9" s="1"/>
      <c r="BL9" s="1"/>
      <c r="BO9" s="4"/>
    </row>
    <row r="10" spans="2:67" s="4" customFormat="1" ht="18" customHeight="1">
      <c r="B10" s="40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109</v>
      </c>
      <c r="R10" s="19" t="s">
        <v>110</v>
      </c>
      <c r="S10" s="44" t="s">
        <v>181</v>
      </c>
      <c r="T10" s="61" t="s">
        <v>222</v>
      </c>
      <c r="U10" s="5"/>
      <c r="BJ10" s="1"/>
      <c r="BK10" s="3"/>
      <c r="BL10" s="1"/>
      <c r="BO10" s="1"/>
    </row>
    <row r="11" spans="2:67" s="4" customFormat="1" ht="18" customHeight="1"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109">
        <v>0</v>
      </c>
      <c r="R11" s="69"/>
      <c r="S11" s="69"/>
      <c r="T11" s="69"/>
      <c r="U11" s="5"/>
      <c r="BJ11" s="1"/>
      <c r="BK11" s="3"/>
      <c r="BL11" s="1"/>
      <c r="BO11" s="1"/>
    </row>
    <row r="12" spans="2:67" ht="20.25">
      <c r="B12" s="85" t="s">
        <v>251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BK12" s="4"/>
    </row>
    <row r="13" spans="2:67">
      <c r="B13" s="85" t="s">
        <v>108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</row>
    <row r="14" spans="2:67">
      <c r="B14" s="85" t="s">
        <v>234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</row>
    <row r="15" spans="2:67">
      <c r="B15" s="85" t="s">
        <v>242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</row>
    <row r="16" spans="2:67" ht="20.25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BJ16" s="4"/>
    </row>
    <row r="17" spans="2:20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</row>
    <row r="18" spans="2:20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</row>
    <row r="19" spans="2:20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2:20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</row>
    <row r="21" spans="2:20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</row>
    <row r="22" spans="2:20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2:20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2:20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</row>
    <row r="25" spans="2:20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</row>
    <row r="26" spans="2:20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</row>
    <row r="27" spans="2:20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</row>
    <row r="28" spans="2:20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29" spans="2:20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</row>
    <row r="30" spans="2:20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</row>
    <row r="31" spans="2:20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</row>
    <row r="32" spans="2:20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</row>
    <row r="33" spans="2:20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2:20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2:20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</row>
    <row r="36" spans="2:20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</row>
    <row r="37" spans="2:20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</row>
    <row r="38" spans="2:20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</row>
    <row r="39" spans="2:20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</row>
    <row r="40" spans="2:20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</row>
    <row r="41" spans="2:20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2:20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</row>
    <row r="43" spans="2:20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</row>
    <row r="44" spans="2:20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</row>
    <row r="45" spans="2:20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</row>
    <row r="46" spans="2:20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</row>
    <row r="47" spans="2:20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</row>
    <row r="48" spans="2:20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</row>
    <row r="49" spans="2:20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</row>
    <row r="50" spans="2:20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</row>
    <row r="51" spans="2:20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</row>
    <row r="52" spans="2:20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</row>
    <row r="53" spans="2:20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</row>
    <row r="54" spans="2:20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</row>
    <row r="55" spans="2:20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</row>
    <row r="56" spans="2:20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</row>
    <row r="57" spans="2:20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</row>
    <row r="58" spans="2:20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</row>
    <row r="59" spans="2:20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</row>
    <row r="60" spans="2:20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</row>
    <row r="61" spans="2:20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</row>
    <row r="62" spans="2:20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</row>
    <row r="63" spans="2:20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</row>
    <row r="64" spans="2:20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</row>
    <row r="65" spans="2:20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</row>
    <row r="66" spans="2:20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</row>
    <row r="67" spans="2:20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</row>
    <row r="68" spans="2:20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</row>
    <row r="69" spans="2:20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</row>
    <row r="70" spans="2:20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</row>
    <row r="71" spans="2:20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</row>
    <row r="72" spans="2:20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</row>
    <row r="73" spans="2:20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</row>
    <row r="74" spans="2:20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</row>
    <row r="75" spans="2:20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</row>
    <row r="76" spans="2:20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</row>
    <row r="77" spans="2:20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</row>
    <row r="78" spans="2:20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</row>
    <row r="79" spans="2:20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</row>
    <row r="80" spans="2:20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</row>
    <row r="81" spans="2:20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</row>
    <row r="82" spans="2:20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</row>
    <row r="83" spans="2:20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</row>
    <row r="84" spans="2:20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</row>
    <row r="85" spans="2:20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</row>
    <row r="86" spans="2:20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</row>
    <row r="87" spans="2:20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</row>
    <row r="88" spans="2:20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</row>
    <row r="89" spans="2:20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</row>
    <row r="90" spans="2:20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</row>
    <row r="91" spans="2:20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</row>
    <row r="92" spans="2:20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</row>
    <row r="93" spans="2:20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</row>
    <row r="94" spans="2:20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</row>
    <row r="95" spans="2:20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</row>
    <row r="96" spans="2:20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</row>
    <row r="97" spans="2:20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</row>
    <row r="98" spans="2:20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</row>
    <row r="99" spans="2:20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</row>
    <row r="100" spans="2:20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</row>
    <row r="101" spans="2:20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</row>
    <row r="102" spans="2:20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</row>
    <row r="103" spans="2:20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</row>
    <row r="104" spans="2:20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</row>
    <row r="105" spans="2:20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</row>
    <row r="106" spans="2:20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</row>
    <row r="107" spans="2:20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</row>
    <row r="108" spans="2:20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</row>
    <row r="109" spans="2:20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</row>
    <row r="110" spans="2:20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2"/>
      <c r="C697" s="1"/>
      <c r="D697" s="1"/>
      <c r="E697" s="1"/>
      <c r="F697" s="1"/>
      <c r="G697" s="1"/>
    </row>
    <row r="698" spans="2:7">
      <c r="B698" s="42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29"/>
  <sheetViews>
    <sheetView rightToLeft="1" zoomScale="90" zoomScaleNormal="90" workbookViewId="0"/>
  </sheetViews>
  <sheetFormatPr defaultColWidth="9.140625" defaultRowHeight="18"/>
  <cols>
    <col min="1" max="1" width="6.28515625" style="1" customWidth="1"/>
    <col min="2" max="2" width="34.28515625" style="2" bestFit="1" customWidth="1"/>
    <col min="3" max="3" width="21.5703125" style="2" customWidth="1"/>
    <col min="4" max="4" width="6.42578125" style="2" customWidth="1"/>
    <col min="5" max="5" width="8.5703125" style="2" customWidth="1"/>
    <col min="6" max="6" width="17.42578125" style="2" customWidth="1"/>
    <col min="7" max="7" width="16.42578125" style="1" bestFit="1" customWidth="1"/>
    <col min="8" max="8" width="6.140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9" style="1" bestFit="1" customWidth="1"/>
    <col min="13" max="13" width="6.85546875" style="1" bestFit="1" customWidth="1"/>
    <col min="14" max="14" width="8" style="1" bestFit="1" customWidth="1"/>
    <col min="15" max="15" width="13.140625" style="1" bestFit="1" customWidth="1"/>
    <col min="16" max="16" width="11.85546875" style="1" bestFit="1" customWidth="1"/>
    <col min="17" max="17" width="9" style="1" bestFit="1" customWidth="1"/>
    <col min="18" max="18" width="10.140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47" t="s">
        <v>175</v>
      </c>
      <c r="C1" s="68" t="s" vm="1">
        <v>259</v>
      </c>
    </row>
    <row r="2" spans="2:66">
      <c r="B2" s="47" t="s">
        <v>174</v>
      </c>
      <c r="C2" s="68" t="s">
        <v>260</v>
      </c>
    </row>
    <row r="3" spans="2:66">
      <c r="B3" s="47" t="s">
        <v>176</v>
      </c>
      <c r="C3" s="68" t="s">
        <v>261</v>
      </c>
    </row>
    <row r="4" spans="2:66">
      <c r="B4" s="47" t="s">
        <v>177</v>
      </c>
      <c r="C4" s="68">
        <v>2207</v>
      </c>
    </row>
    <row r="6" spans="2:66" ht="26.25" customHeight="1">
      <c r="B6" s="126" t="s">
        <v>205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8"/>
    </row>
    <row r="7" spans="2:66" ht="26.25" customHeight="1">
      <c r="B7" s="126" t="s">
        <v>87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8"/>
      <c r="BN7" s="3"/>
    </row>
    <row r="8" spans="2:66" s="3" customFormat="1" ht="78.75">
      <c r="B8" s="22" t="s">
        <v>111</v>
      </c>
      <c r="C8" s="30" t="s">
        <v>43</v>
      </c>
      <c r="D8" s="30" t="s">
        <v>115</v>
      </c>
      <c r="E8" s="30" t="s">
        <v>221</v>
      </c>
      <c r="F8" s="30" t="s">
        <v>113</v>
      </c>
      <c r="G8" s="30" t="s">
        <v>63</v>
      </c>
      <c r="H8" s="30" t="s">
        <v>14</v>
      </c>
      <c r="I8" s="30" t="s">
        <v>64</v>
      </c>
      <c r="J8" s="30" t="s">
        <v>100</v>
      </c>
      <c r="K8" s="30" t="s">
        <v>17</v>
      </c>
      <c r="L8" s="30" t="s">
        <v>99</v>
      </c>
      <c r="M8" s="30" t="s">
        <v>16</v>
      </c>
      <c r="N8" s="30" t="s">
        <v>18</v>
      </c>
      <c r="O8" s="13" t="s">
        <v>236</v>
      </c>
      <c r="P8" s="30" t="s">
        <v>235</v>
      </c>
      <c r="Q8" s="30" t="s">
        <v>250</v>
      </c>
      <c r="R8" s="30" t="s">
        <v>60</v>
      </c>
      <c r="S8" s="13" t="s">
        <v>57</v>
      </c>
      <c r="T8" s="30" t="s">
        <v>178</v>
      </c>
      <c r="U8" s="14" t="s">
        <v>180</v>
      </c>
      <c r="V8" s="1"/>
      <c r="W8" s="1"/>
      <c r="BJ8" s="1"/>
      <c r="BK8" s="1"/>
    </row>
    <row r="9" spans="2:66" s="3" customFormat="1" ht="20.25">
      <c r="B9" s="15"/>
      <c r="C9" s="16"/>
      <c r="D9" s="16"/>
      <c r="E9" s="16"/>
      <c r="F9" s="16"/>
      <c r="G9" s="16"/>
      <c r="H9" s="32"/>
      <c r="I9" s="32"/>
      <c r="J9" s="32" t="s">
        <v>21</v>
      </c>
      <c r="K9" s="32" t="s">
        <v>20</v>
      </c>
      <c r="L9" s="32"/>
      <c r="M9" s="32" t="s">
        <v>19</v>
      </c>
      <c r="N9" s="32" t="s">
        <v>19</v>
      </c>
      <c r="O9" s="32" t="s">
        <v>243</v>
      </c>
      <c r="P9" s="32"/>
      <c r="Q9" s="16" t="s">
        <v>239</v>
      </c>
      <c r="R9" s="32" t="s">
        <v>239</v>
      </c>
      <c r="S9" s="16" t="s">
        <v>19</v>
      </c>
      <c r="T9" s="32" t="s">
        <v>239</v>
      </c>
      <c r="U9" s="17" t="s">
        <v>19</v>
      </c>
      <c r="BI9" s="1"/>
      <c r="BJ9" s="1"/>
      <c r="BK9" s="1"/>
      <c r="BN9" s="4"/>
    </row>
    <row r="10" spans="2:66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34" t="s">
        <v>13</v>
      </c>
      <c r="Q10" s="41" t="s">
        <v>109</v>
      </c>
      <c r="R10" s="19" t="s">
        <v>110</v>
      </c>
      <c r="S10" s="19" t="s">
        <v>181</v>
      </c>
      <c r="T10" s="19" t="s">
        <v>222</v>
      </c>
      <c r="U10" s="20" t="s">
        <v>245</v>
      </c>
      <c r="V10" s="5"/>
      <c r="BI10" s="1"/>
      <c r="BJ10" s="3"/>
      <c r="BK10" s="1"/>
    </row>
    <row r="11" spans="2:66" s="4" customFormat="1" ht="18" customHeight="1">
      <c r="B11" s="87" t="s">
        <v>31</v>
      </c>
      <c r="C11" s="88"/>
      <c r="D11" s="88"/>
      <c r="E11" s="88"/>
      <c r="F11" s="88"/>
      <c r="G11" s="88"/>
      <c r="H11" s="88"/>
      <c r="I11" s="88"/>
      <c r="J11" s="88"/>
      <c r="K11" s="90">
        <v>4.619545103539699</v>
      </c>
      <c r="L11" s="88"/>
      <c r="M11" s="88"/>
      <c r="N11" s="91">
        <v>2.2726032851442316E-2</v>
      </c>
      <c r="O11" s="90"/>
      <c r="P11" s="92"/>
      <c r="Q11" s="90">
        <v>1509.986909187</v>
      </c>
      <c r="R11" s="90">
        <f>R12</f>
        <v>91976.674949716748</v>
      </c>
      <c r="S11" s="88"/>
      <c r="T11" s="93">
        <f t="shared" ref="T11:T42" si="0">R11/$R$11</f>
        <v>1</v>
      </c>
      <c r="U11" s="93">
        <f>R11/'סכום נכסי הקרן'!$C$42</f>
        <v>2.5350408246009159E-2</v>
      </c>
      <c r="V11" s="5"/>
      <c r="BI11" s="1"/>
      <c r="BJ11" s="3"/>
      <c r="BK11" s="1"/>
      <c r="BN11" s="1"/>
    </row>
    <row r="12" spans="2:66">
      <c r="B12" s="71" t="s">
        <v>229</v>
      </c>
      <c r="C12" s="72"/>
      <c r="D12" s="72"/>
      <c r="E12" s="72"/>
      <c r="F12" s="72"/>
      <c r="G12" s="72"/>
      <c r="H12" s="72"/>
      <c r="I12" s="72"/>
      <c r="J12" s="72"/>
      <c r="K12" s="80">
        <v>4.6195451035396982</v>
      </c>
      <c r="L12" s="72"/>
      <c r="M12" s="72"/>
      <c r="N12" s="94">
        <v>2.2726032851442299E-2</v>
      </c>
      <c r="O12" s="80"/>
      <c r="P12" s="82"/>
      <c r="Q12" s="80">
        <v>1509.986909187</v>
      </c>
      <c r="R12" s="80">
        <f>R13+R161+R245</f>
        <v>91976.674949716748</v>
      </c>
      <c r="S12" s="72"/>
      <c r="T12" s="81">
        <f t="shared" si="0"/>
        <v>1</v>
      </c>
      <c r="U12" s="81">
        <f>R12/'סכום נכסי הקרן'!$C$42</f>
        <v>2.5350408246009159E-2</v>
      </c>
      <c r="BJ12" s="3"/>
    </row>
    <row r="13" spans="2:66" ht="20.25">
      <c r="B13" s="89" t="s">
        <v>30</v>
      </c>
      <c r="C13" s="72"/>
      <c r="D13" s="72"/>
      <c r="E13" s="72"/>
      <c r="F13" s="72"/>
      <c r="G13" s="72"/>
      <c r="H13" s="72"/>
      <c r="I13" s="72"/>
      <c r="J13" s="72"/>
      <c r="K13" s="80">
        <v>4.5942939620481473</v>
      </c>
      <c r="L13" s="72"/>
      <c r="M13" s="72"/>
      <c r="N13" s="94">
        <v>1.5696234018821226E-2</v>
      </c>
      <c r="O13" s="80"/>
      <c r="P13" s="82"/>
      <c r="Q13" s="80">
        <v>1438.5215952880001</v>
      </c>
      <c r="R13" s="80">
        <f>SUM(R14:R159)</f>
        <v>71055.586419358006</v>
      </c>
      <c r="S13" s="72"/>
      <c r="T13" s="81">
        <f t="shared" si="0"/>
        <v>0.77253919494484646</v>
      </c>
      <c r="U13" s="81">
        <f>R13/'סכום נכסי הקרן'!$C$42</f>
        <v>1.9584183977895114E-2</v>
      </c>
      <c r="BJ13" s="4"/>
    </row>
    <row r="14" spans="2:66">
      <c r="B14" s="76" t="s">
        <v>285</v>
      </c>
      <c r="C14" s="70" t="s">
        <v>286</v>
      </c>
      <c r="D14" s="83" t="s">
        <v>116</v>
      </c>
      <c r="E14" s="83" t="s">
        <v>287</v>
      </c>
      <c r="F14" s="70" t="s">
        <v>288</v>
      </c>
      <c r="G14" s="83" t="s">
        <v>289</v>
      </c>
      <c r="H14" s="70" t="s">
        <v>290</v>
      </c>
      <c r="I14" s="70" t="s">
        <v>291</v>
      </c>
      <c r="J14" s="70"/>
      <c r="K14" s="77">
        <v>2.3199999999993066</v>
      </c>
      <c r="L14" s="83" t="s">
        <v>160</v>
      </c>
      <c r="M14" s="84">
        <v>6.1999999999999998E-3</v>
      </c>
      <c r="N14" s="84">
        <v>8.8999999999954203E-3</v>
      </c>
      <c r="O14" s="77">
        <v>1605788.1969590003</v>
      </c>
      <c r="P14" s="79">
        <v>100.59</v>
      </c>
      <c r="Q14" s="70"/>
      <c r="R14" s="77">
        <v>1615.2623554660001</v>
      </c>
      <c r="S14" s="78">
        <v>3.2424398821805241E-4</v>
      </c>
      <c r="T14" s="78">
        <f t="shared" si="0"/>
        <v>1.7561651976971956E-2</v>
      </c>
      <c r="U14" s="78">
        <f>R14/'סכום נכסי הקרן'!$C$42</f>
        <v>4.4519504709057293E-4</v>
      </c>
    </row>
    <row r="15" spans="2:66">
      <c r="B15" s="76" t="s">
        <v>292</v>
      </c>
      <c r="C15" s="70" t="s">
        <v>293</v>
      </c>
      <c r="D15" s="83" t="s">
        <v>116</v>
      </c>
      <c r="E15" s="83" t="s">
        <v>287</v>
      </c>
      <c r="F15" s="70" t="s">
        <v>288</v>
      </c>
      <c r="G15" s="83" t="s">
        <v>289</v>
      </c>
      <c r="H15" s="70" t="s">
        <v>290</v>
      </c>
      <c r="I15" s="70" t="s">
        <v>291</v>
      </c>
      <c r="J15" s="70"/>
      <c r="K15" s="77">
        <v>5.5399999999993348</v>
      </c>
      <c r="L15" s="83" t="s">
        <v>160</v>
      </c>
      <c r="M15" s="84">
        <v>5.0000000000000001E-4</v>
      </c>
      <c r="N15" s="84">
        <v>7.0999999999935256E-3</v>
      </c>
      <c r="O15" s="77">
        <v>596760.60751400003</v>
      </c>
      <c r="P15" s="79">
        <v>95.75</v>
      </c>
      <c r="Q15" s="70"/>
      <c r="R15" s="77">
        <v>571.39827984700003</v>
      </c>
      <c r="S15" s="78">
        <v>7.4845621657749324E-4</v>
      </c>
      <c r="T15" s="78">
        <f t="shared" si="0"/>
        <v>6.2124259238484211E-3</v>
      </c>
      <c r="U15" s="78">
        <f>R15/'סכום נכסי הקרן'!$C$42</f>
        <v>1.5748753336764811E-4</v>
      </c>
    </row>
    <row r="16" spans="2:66">
      <c r="B16" s="76" t="s">
        <v>294</v>
      </c>
      <c r="C16" s="70" t="s">
        <v>295</v>
      </c>
      <c r="D16" s="83" t="s">
        <v>116</v>
      </c>
      <c r="E16" s="83" t="s">
        <v>287</v>
      </c>
      <c r="F16" s="70" t="s">
        <v>296</v>
      </c>
      <c r="G16" s="83" t="s">
        <v>297</v>
      </c>
      <c r="H16" s="70" t="s">
        <v>290</v>
      </c>
      <c r="I16" s="70" t="s">
        <v>291</v>
      </c>
      <c r="J16" s="70"/>
      <c r="K16" s="77">
        <v>1.5300000000070615</v>
      </c>
      <c r="L16" s="83" t="s">
        <v>160</v>
      </c>
      <c r="M16" s="84">
        <v>3.5499999999999997E-2</v>
      </c>
      <c r="N16" s="84">
        <v>1.330000000001412E-2</v>
      </c>
      <c r="O16" s="77">
        <v>153924.94158000001</v>
      </c>
      <c r="P16" s="79">
        <v>115</v>
      </c>
      <c r="Q16" s="70"/>
      <c r="R16" s="77">
        <v>177.01367447500002</v>
      </c>
      <c r="S16" s="78">
        <v>5.399103858207922E-4</v>
      </c>
      <c r="T16" s="78">
        <f t="shared" si="0"/>
        <v>1.924549616212726E-3</v>
      </c>
      <c r="U16" s="78">
        <f>R16/'סכום נכסי הקרן'!$C$42</f>
        <v>4.8788118460692855E-5</v>
      </c>
    </row>
    <row r="17" spans="2:61" ht="20.25">
      <c r="B17" s="76" t="s">
        <v>298</v>
      </c>
      <c r="C17" s="70" t="s">
        <v>299</v>
      </c>
      <c r="D17" s="83" t="s">
        <v>116</v>
      </c>
      <c r="E17" s="83" t="s">
        <v>287</v>
      </c>
      <c r="F17" s="70" t="s">
        <v>296</v>
      </c>
      <c r="G17" s="83" t="s">
        <v>297</v>
      </c>
      <c r="H17" s="70" t="s">
        <v>290</v>
      </c>
      <c r="I17" s="70" t="s">
        <v>291</v>
      </c>
      <c r="J17" s="70"/>
      <c r="K17" s="77">
        <v>0.43999999999050793</v>
      </c>
      <c r="L17" s="83" t="s">
        <v>160</v>
      </c>
      <c r="M17" s="84">
        <v>4.6500000000000007E-2</v>
      </c>
      <c r="N17" s="84">
        <v>2.5999999999367198E-3</v>
      </c>
      <c r="O17" s="77">
        <v>50298.854734000008</v>
      </c>
      <c r="P17" s="79">
        <v>125.67</v>
      </c>
      <c r="Q17" s="70"/>
      <c r="R17" s="77">
        <v>63.21056754</v>
      </c>
      <c r="S17" s="78">
        <v>2.5323906168250035E-4</v>
      </c>
      <c r="T17" s="78">
        <f t="shared" si="0"/>
        <v>6.8724562585630478E-4</v>
      </c>
      <c r="U17" s="78">
        <f>R17/'סכום נכסי הקרן'!$C$42</f>
        <v>1.7421957180741394E-5</v>
      </c>
      <c r="BI17" s="4"/>
    </row>
    <row r="18" spans="2:61">
      <c r="B18" s="76" t="s">
        <v>300</v>
      </c>
      <c r="C18" s="70" t="s">
        <v>301</v>
      </c>
      <c r="D18" s="83" t="s">
        <v>116</v>
      </c>
      <c r="E18" s="83" t="s">
        <v>287</v>
      </c>
      <c r="F18" s="70" t="s">
        <v>296</v>
      </c>
      <c r="G18" s="83" t="s">
        <v>297</v>
      </c>
      <c r="H18" s="70" t="s">
        <v>290</v>
      </c>
      <c r="I18" s="70" t="s">
        <v>291</v>
      </c>
      <c r="J18" s="70"/>
      <c r="K18" s="77">
        <v>4.9399999999945408</v>
      </c>
      <c r="L18" s="83" t="s">
        <v>160</v>
      </c>
      <c r="M18" s="84">
        <v>1.4999999999999999E-2</v>
      </c>
      <c r="N18" s="84">
        <v>4.1000000000068811E-3</v>
      </c>
      <c r="O18" s="77">
        <v>425165.84707199998</v>
      </c>
      <c r="P18" s="79">
        <v>105.97</v>
      </c>
      <c r="Q18" s="70"/>
      <c r="R18" s="77">
        <v>450.54824810899999</v>
      </c>
      <c r="S18" s="78">
        <v>9.1478972679617668E-4</v>
      </c>
      <c r="T18" s="78">
        <f t="shared" si="0"/>
        <v>4.8985054999576005E-3</v>
      </c>
      <c r="U18" s="78">
        <f>R18/'סכום נכסי הקרן'!$C$42</f>
        <v>1.241791142192464E-4</v>
      </c>
    </row>
    <row r="19" spans="2:61">
      <c r="B19" s="76" t="s">
        <v>302</v>
      </c>
      <c r="C19" s="70" t="s">
        <v>303</v>
      </c>
      <c r="D19" s="83" t="s">
        <v>116</v>
      </c>
      <c r="E19" s="83" t="s">
        <v>287</v>
      </c>
      <c r="F19" s="70" t="s">
        <v>304</v>
      </c>
      <c r="G19" s="83" t="s">
        <v>297</v>
      </c>
      <c r="H19" s="70" t="s">
        <v>305</v>
      </c>
      <c r="I19" s="70" t="s">
        <v>156</v>
      </c>
      <c r="J19" s="70"/>
      <c r="K19" s="77">
        <v>5.1799999999977642</v>
      </c>
      <c r="L19" s="83" t="s">
        <v>160</v>
      </c>
      <c r="M19" s="84">
        <v>1E-3</v>
      </c>
      <c r="N19" s="84">
        <v>2.600000000001147E-3</v>
      </c>
      <c r="O19" s="77">
        <v>707949.27591199998</v>
      </c>
      <c r="P19" s="79">
        <v>98.56</v>
      </c>
      <c r="Q19" s="70"/>
      <c r="R19" s="77">
        <v>697.75482039200006</v>
      </c>
      <c r="S19" s="78">
        <v>4.7196618394133334E-4</v>
      </c>
      <c r="T19" s="78">
        <f t="shared" si="0"/>
        <v>7.5862148829957121E-3</v>
      </c>
      <c r="U19" s="78">
        <f>R19/'סכום נכסי הקרן'!$C$42</f>
        <v>1.923136443258919E-4</v>
      </c>
      <c r="BI19" s="3"/>
    </row>
    <row r="20" spans="2:61">
      <c r="B20" s="76" t="s">
        <v>306</v>
      </c>
      <c r="C20" s="70" t="s">
        <v>307</v>
      </c>
      <c r="D20" s="83" t="s">
        <v>116</v>
      </c>
      <c r="E20" s="83" t="s">
        <v>287</v>
      </c>
      <c r="F20" s="70" t="s">
        <v>304</v>
      </c>
      <c r="G20" s="83" t="s">
        <v>297</v>
      </c>
      <c r="H20" s="70" t="s">
        <v>305</v>
      </c>
      <c r="I20" s="70" t="s">
        <v>156</v>
      </c>
      <c r="J20" s="70"/>
      <c r="K20" s="77">
        <v>0.750000000002633</v>
      </c>
      <c r="L20" s="83" t="s">
        <v>160</v>
      </c>
      <c r="M20" s="84">
        <v>8.0000000000000002E-3</v>
      </c>
      <c r="N20" s="84">
        <v>6.1999999999978938E-3</v>
      </c>
      <c r="O20" s="77">
        <v>186442.41275200003</v>
      </c>
      <c r="P20" s="79">
        <v>101.85</v>
      </c>
      <c r="Q20" s="70"/>
      <c r="R20" s="77">
        <v>189.89159524200002</v>
      </c>
      <c r="S20" s="78">
        <v>8.6779116973496363E-4</v>
      </c>
      <c r="T20" s="78">
        <f t="shared" si="0"/>
        <v>2.0645625137657229E-3</v>
      </c>
      <c r="U20" s="78">
        <f>R20/'סכום נכסי הקרן'!$C$42</f>
        <v>5.2337502573367983E-5</v>
      </c>
    </row>
    <row r="21" spans="2:61">
      <c r="B21" s="76" t="s">
        <v>308</v>
      </c>
      <c r="C21" s="70" t="s">
        <v>309</v>
      </c>
      <c r="D21" s="83" t="s">
        <v>116</v>
      </c>
      <c r="E21" s="83" t="s">
        <v>287</v>
      </c>
      <c r="F21" s="70" t="s">
        <v>310</v>
      </c>
      <c r="G21" s="83" t="s">
        <v>297</v>
      </c>
      <c r="H21" s="70" t="s">
        <v>305</v>
      </c>
      <c r="I21" s="70" t="s">
        <v>156</v>
      </c>
      <c r="J21" s="70"/>
      <c r="K21" s="77">
        <v>4.9199999999994564</v>
      </c>
      <c r="L21" s="83" t="s">
        <v>160</v>
      </c>
      <c r="M21" s="84">
        <v>8.3000000000000001E-3</v>
      </c>
      <c r="N21" s="84">
        <v>2.3999999999936589E-3</v>
      </c>
      <c r="O21" s="77">
        <v>429442.73237400001</v>
      </c>
      <c r="P21" s="79">
        <v>102.81</v>
      </c>
      <c r="Q21" s="70"/>
      <c r="R21" s="77">
        <v>441.51007457199995</v>
      </c>
      <c r="S21" s="78">
        <v>3.3394459619897823E-4</v>
      </c>
      <c r="T21" s="78">
        <f t="shared" si="0"/>
        <v>4.8002395695796963E-3</v>
      </c>
      <c r="U21" s="78">
        <f>R21/'סכום נכסי הקרן'!$C$42</f>
        <v>1.2168803276749259E-4</v>
      </c>
    </row>
    <row r="22" spans="2:61">
      <c r="B22" s="76" t="s">
        <v>311</v>
      </c>
      <c r="C22" s="70" t="s">
        <v>312</v>
      </c>
      <c r="D22" s="83" t="s">
        <v>116</v>
      </c>
      <c r="E22" s="83" t="s">
        <v>287</v>
      </c>
      <c r="F22" s="70" t="s">
        <v>313</v>
      </c>
      <c r="G22" s="83" t="s">
        <v>297</v>
      </c>
      <c r="H22" s="70" t="s">
        <v>305</v>
      </c>
      <c r="I22" s="70" t="s">
        <v>156</v>
      </c>
      <c r="J22" s="70"/>
      <c r="K22" s="77">
        <v>0.7</v>
      </c>
      <c r="L22" s="83" t="s">
        <v>160</v>
      </c>
      <c r="M22" s="84">
        <v>4.0999999999999995E-3</v>
      </c>
      <c r="N22" s="84">
        <v>2.2993492407809108E-3</v>
      </c>
      <c r="O22" s="77">
        <v>4.6100000000000004E-3</v>
      </c>
      <c r="P22" s="79">
        <v>100.05</v>
      </c>
      <c r="Q22" s="70"/>
      <c r="R22" s="77">
        <v>4.6100000000000008E-6</v>
      </c>
      <c r="S22" s="78">
        <v>5.6086866618771327E-12</v>
      </c>
      <c r="T22" s="78">
        <f t="shared" si="0"/>
        <v>5.0121403089644936E-11</v>
      </c>
      <c r="U22" s="78">
        <f>R22/'סכום נכסי הקרן'!$C$42</f>
        <v>1.270598030185284E-12</v>
      </c>
    </row>
    <row r="23" spans="2:61">
      <c r="B23" s="76" t="s">
        <v>314</v>
      </c>
      <c r="C23" s="70" t="s">
        <v>315</v>
      </c>
      <c r="D23" s="83" t="s">
        <v>116</v>
      </c>
      <c r="E23" s="83" t="s">
        <v>287</v>
      </c>
      <c r="F23" s="70" t="s">
        <v>313</v>
      </c>
      <c r="G23" s="83" t="s">
        <v>297</v>
      </c>
      <c r="H23" s="70" t="s">
        <v>305</v>
      </c>
      <c r="I23" s="70" t="s">
        <v>156</v>
      </c>
      <c r="J23" s="70"/>
      <c r="K23" s="77">
        <v>2.2100000000017026</v>
      </c>
      <c r="L23" s="83" t="s">
        <v>160</v>
      </c>
      <c r="M23" s="84">
        <v>9.8999999999999991E-3</v>
      </c>
      <c r="N23" s="84">
        <v>7.6999999999914871E-3</v>
      </c>
      <c r="O23" s="77">
        <v>414358.76864299999</v>
      </c>
      <c r="P23" s="79">
        <v>102.05</v>
      </c>
      <c r="Q23" s="70"/>
      <c r="R23" s="77">
        <v>422.85310946800001</v>
      </c>
      <c r="S23" s="78">
        <v>1.3748377292580912E-4</v>
      </c>
      <c r="T23" s="78">
        <f t="shared" si="0"/>
        <v>4.5973950428102777E-3</v>
      </c>
      <c r="U23" s="78">
        <f>R23/'סכום נכסי הקרן'!$C$42</f>
        <v>1.1654584120341929E-4</v>
      </c>
    </row>
    <row r="24" spans="2:61">
      <c r="B24" s="76" t="s">
        <v>316</v>
      </c>
      <c r="C24" s="70" t="s">
        <v>317</v>
      </c>
      <c r="D24" s="83" t="s">
        <v>116</v>
      </c>
      <c r="E24" s="83" t="s">
        <v>287</v>
      </c>
      <c r="F24" s="70" t="s">
        <v>313</v>
      </c>
      <c r="G24" s="83" t="s">
        <v>297</v>
      </c>
      <c r="H24" s="70" t="s">
        <v>305</v>
      </c>
      <c r="I24" s="70" t="s">
        <v>156</v>
      </c>
      <c r="J24" s="70"/>
      <c r="K24" s="77">
        <v>4.1699999999991366</v>
      </c>
      <c r="L24" s="83" t="s">
        <v>160</v>
      </c>
      <c r="M24" s="84">
        <v>8.6E-3</v>
      </c>
      <c r="N24" s="84">
        <v>4.4999999999958892E-3</v>
      </c>
      <c r="O24" s="77">
        <v>942105.40169299999</v>
      </c>
      <c r="P24" s="79">
        <v>103.29</v>
      </c>
      <c r="Q24" s="70"/>
      <c r="R24" s="77">
        <v>973.10067575199992</v>
      </c>
      <c r="S24" s="78">
        <v>3.7663862516416126E-4</v>
      </c>
      <c r="T24" s="78">
        <f t="shared" si="0"/>
        <v>1.0579863604375673E-2</v>
      </c>
      <c r="U24" s="78">
        <f>R24/'סכום נכסי הקרן'!$C$42</f>
        <v>2.6820386155801726E-4</v>
      </c>
    </row>
    <row r="25" spans="2:61">
      <c r="B25" s="76" t="s">
        <v>318</v>
      </c>
      <c r="C25" s="70" t="s">
        <v>319</v>
      </c>
      <c r="D25" s="83" t="s">
        <v>116</v>
      </c>
      <c r="E25" s="83" t="s">
        <v>287</v>
      </c>
      <c r="F25" s="70" t="s">
        <v>313</v>
      </c>
      <c r="G25" s="83" t="s">
        <v>297</v>
      </c>
      <c r="H25" s="70" t="s">
        <v>305</v>
      </c>
      <c r="I25" s="70" t="s">
        <v>156</v>
      </c>
      <c r="J25" s="70"/>
      <c r="K25" s="77">
        <v>5.9200000000007948</v>
      </c>
      <c r="L25" s="83" t="s">
        <v>160</v>
      </c>
      <c r="M25" s="84">
        <v>3.8E-3</v>
      </c>
      <c r="N25" s="84">
        <v>3.2999999999984643E-3</v>
      </c>
      <c r="O25" s="77">
        <v>1582125.7691349997</v>
      </c>
      <c r="P25" s="79">
        <v>98.72</v>
      </c>
      <c r="Q25" s="70"/>
      <c r="R25" s="77">
        <v>1561.8745935279997</v>
      </c>
      <c r="S25" s="78">
        <v>5.2737525637833323E-4</v>
      </c>
      <c r="T25" s="78">
        <f t="shared" si="0"/>
        <v>1.6981203053729327E-2</v>
      </c>
      <c r="U25" s="78">
        <f>R25/'סכום נכסי הקרן'!$C$42</f>
        <v>4.3048042992041585E-4</v>
      </c>
    </row>
    <row r="26" spans="2:61">
      <c r="B26" s="76" t="s">
        <v>320</v>
      </c>
      <c r="C26" s="70" t="s">
        <v>321</v>
      </c>
      <c r="D26" s="83" t="s">
        <v>116</v>
      </c>
      <c r="E26" s="83" t="s">
        <v>287</v>
      </c>
      <c r="F26" s="70" t="s">
        <v>313</v>
      </c>
      <c r="G26" s="83" t="s">
        <v>297</v>
      </c>
      <c r="H26" s="70" t="s">
        <v>305</v>
      </c>
      <c r="I26" s="70" t="s">
        <v>156</v>
      </c>
      <c r="J26" s="70"/>
      <c r="K26" s="77">
        <v>3.3200000000045211</v>
      </c>
      <c r="L26" s="83" t="s">
        <v>160</v>
      </c>
      <c r="M26" s="84">
        <v>1E-3</v>
      </c>
      <c r="N26" s="84">
        <v>4.5999999999943482E-3</v>
      </c>
      <c r="O26" s="77">
        <v>252256.579417</v>
      </c>
      <c r="P26" s="79">
        <v>98.21</v>
      </c>
      <c r="Q26" s="70"/>
      <c r="R26" s="77">
        <v>247.741200209</v>
      </c>
      <c r="S26" s="78">
        <v>9.9156213214692264E-5</v>
      </c>
      <c r="T26" s="78">
        <f t="shared" si="0"/>
        <v>2.6935220298454914E-3</v>
      </c>
      <c r="U26" s="78">
        <f>R26/'סכום נכסי הקרן'!$C$42</f>
        <v>6.8281883076202473E-5</v>
      </c>
    </row>
    <row r="27" spans="2:61">
      <c r="B27" s="76" t="s">
        <v>322</v>
      </c>
      <c r="C27" s="70" t="s">
        <v>323</v>
      </c>
      <c r="D27" s="83" t="s">
        <v>116</v>
      </c>
      <c r="E27" s="83" t="s">
        <v>287</v>
      </c>
      <c r="F27" s="70" t="s">
        <v>313</v>
      </c>
      <c r="G27" s="83" t="s">
        <v>297</v>
      </c>
      <c r="H27" s="70" t="s">
        <v>305</v>
      </c>
      <c r="I27" s="70" t="s">
        <v>156</v>
      </c>
      <c r="J27" s="70"/>
      <c r="K27" s="77">
        <v>9.7600000000591063</v>
      </c>
      <c r="L27" s="83" t="s">
        <v>160</v>
      </c>
      <c r="M27" s="84">
        <v>5.1000000000000004E-3</v>
      </c>
      <c r="N27" s="84">
        <v>5.6999999999974528E-3</v>
      </c>
      <c r="O27" s="77">
        <v>39464.749349999998</v>
      </c>
      <c r="P27" s="79">
        <v>99.46</v>
      </c>
      <c r="Q27" s="70"/>
      <c r="R27" s="77">
        <v>39.251638192999998</v>
      </c>
      <c r="S27" s="78">
        <v>5.6223438263523129E-5</v>
      </c>
      <c r="T27" s="78">
        <f t="shared" si="0"/>
        <v>4.2675643813454555E-4</v>
      </c>
      <c r="U27" s="78">
        <f>R27/'סכום נכסי הקרן'!$C$42</f>
        <v>1.0818449928323481E-5</v>
      </c>
    </row>
    <row r="28" spans="2:61">
      <c r="B28" s="76" t="s">
        <v>324</v>
      </c>
      <c r="C28" s="70" t="s">
        <v>325</v>
      </c>
      <c r="D28" s="83" t="s">
        <v>116</v>
      </c>
      <c r="E28" s="83" t="s">
        <v>287</v>
      </c>
      <c r="F28" s="70" t="s">
        <v>326</v>
      </c>
      <c r="G28" s="83" t="s">
        <v>152</v>
      </c>
      <c r="H28" s="70" t="s">
        <v>290</v>
      </c>
      <c r="I28" s="70" t="s">
        <v>291</v>
      </c>
      <c r="J28" s="70"/>
      <c r="K28" s="77">
        <v>15.400000000003136</v>
      </c>
      <c r="L28" s="83" t="s">
        <v>160</v>
      </c>
      <c r="M28" s="84">
        <v>2.07E-2</v>
      </c>
      <c r="N28" s="84">
        <v>7.4000000000010897E-3</v>
      </c>
      <c r="O28" s="77">
        <v>1225148.5499829999</v>
      </c>
      <c r="P28" s="79">
        <v>119.75</v>
      </c>
      <c r="Q28" s="70"/>
      <c r="R28" s="77">
        <v>1467.115388616</v>
      </c>
      <c r="S28" s="78">
        <v>8.2863731052410872E-4</v>
      </c>
      <c r="T28" s="78">
        <f t="shared" si="0"/>
        <v>1.5950950492807724E-2</v>
      </c>
      <c r="U28" s="78">
        <f>R28/'סכום נכסי הקרן'!$C$42</f>
        <v>4.0436310690455674E-4</v>
      </c>
    </row>
    <row r="29" spans="2:61">
      <c r="B29" s="76" t="s">
        <v>327</v>
      </c>
      <c r="C29" s="70" t="s">
        <v>328</v>
      </c>
      <c r="D29" s="83" t="s">
        <v>116</v>
      </c>
      <c r="E29" s="83" t="s">
        <v>287</v>
      </c>
      <c r="F29" s="70" t="s">
        <v>329</v>
      </c>
      <c r="G29" s="83" t="s">
        <v>297</v>
      </c>
      <c r="H29" s="70" t="s">
        <v>305</v>
      </c>
      <c r="I29" s="70" t="s">
        <v>156</v>
      </c>
      <c r="J29" s="70"/>
      <c r="K29" s="77">
        <v>1.9999999999987332</v>
      </c>
      <c r="L29" s="83" t="s">
        <v>160</v>
      </c>
      <c r="M29" s="84">
        <v>0.05</v>
      </c>
      <c r="N29" s="84">
        <v>8.0999999999939194E-3</v>
      </c>
      <c r="O29" s="77">
        <v>690997.66107999999</v>
      </c>
      <c r="P29" s="79">
        <v>114.21</v>
      </c>
      <c r="Q29" s="70"/>
      <c r="R29" s="77">
        <v>789.18843360799997</v>
      </c>
      <c r="S29" s="78">
        <v>2.1925248328233819E-4</v>
      </c>
      <c r="T29" s="78">
        <f t="shared" si="0"/>
        <v>8.5803105411175803E-3</v>
      </c>
      <c r="U29" s="78">
        <f>R29/'סכום נכסי הקרן'!$C$42</f>
        <v>2.1751437509486644E-4</v>
      </c>
    </row>
    <row r="30" spans="2:61">
      <c r="B30" s="76" t="s">
        <v>330</v>
      </c>
      <c r="C30" s="70" t="s">
        <v>331</v>
      </c>
      <c r="D30" s="83" t="s">
        <v>116</v>
      </c>
      <c r="E30" s="83" t="s">
        <v>287</v>
      </c>
      <c r="F30" s="70" t="s">
        <v>329</v>
      </c>
      <c r="G30" s="83" t="s">
        <v>297</v>
      </c>
      <c r="H30" s="70" t="s">
        <v>305</v>
      </c>
      <c r="I30" s="70" t="s">
        <v>156</v>
      </c>
      <c r="J30" s="70"/>
      <c r="K30" s="77">
        <v>0.20997645673925844</v>
      </c>
      <c r="L30" s="83" t="s">
        <v>160</v>
      </c>
      <c r="M30" s="84">
        <v>1.6E-2</v>
      </c>
      <c r="N30" s="84">
        <v>-1.3100353148911123E-2</v>
      </c>
      <c r="O30" s="77">
        <v>6.6769999999999998E-3</v>
      </c>
      <c r="P30" s="79">
        <v>101.47</v>
      </c>
      <c r="Q30" s="70"/>
      <c r="R30" s="77">
        <v>6.7959999999999998E-6</v>
      </c>
      <c r="S30" s="78">
        <v>6.3614314534024179E-12</v>
      </c>
      <c r="T30" s="78">
        <f t="shared" si="0"/>
        <v>7.3888298350808438E-11</v>
      </c>
      <c r="U30" s="78">
        <f>R30/'סכום נכסי הקרן'!$C$42</f>
        <v>1.8730985277959191E-12</v>
      </c>
    </row>
    <row r="31" spans="2:61">
      <c r="B31" s="76" t="s">
        <v>332</v>
      </c>
      <c r="C31" s="70" t="s">
        <v>333</v>
      </c>
      <c r="D31" s="83" t="s">
        <v>116</v>
      </c>
      <c r="E31" s="83" t="s">
        <v>287</v>
      </c>
      <c r="F31" s="70" t="s">
        <v>329</v>
      </c>
      <c r="G31" s="83" t="s">
        <v>297</v>
      </c>
      <c r="H31" s="70" t="s">
        <v>305</v>
      </c>
      <c r="I31" s="70" t="s">
        <v>156</v>
      </c>
      <c r="J31" s="70"/>
      <c r="K31" s="77">
        <v>1.720000000002871</v>
      </c>
      <c r="L31" s="83" t="s">
        <v>160</v>
      </c>
      <c r="M31" s="84">
        <v>6.9999999999999993E-3</v>
      </c>
      <c r="N31" s="84">
        <v>8.1000000000002563E-3</v>
      </c>
      <c r="O31" s="77">
        <v>384342.79878700001</v>
      </c>
      <c r="P31" s="79">
        <v>101.5</v>
      </c>
      <c r="Q31" s="70"/>
      <c r="R31" s="77">
        <v>390.10795657900002</v>
      </c>
      <c r="S31" s="78">
        <v>1.8025942436909084E-4</v>
      </c>
      <c r="T31" s="78">
        <f t="shared" si="0"/>
        <v>4.2413792061114447E-3</v>
      </c>
      <c r="U31" s="78">
        <f>R31/'סכום נכסי הקרן'!$C$42</f>
        <v>1.0752069440105935E-4</v>
      </c>
    </row>
    <row r="32" spans="2:61">
      <c r="B32" s="76" t="s">
        <v>334</v>
      </c>
      <c r="C32" s="70" t="s">
        <v>335</v>
      </c>
      <c r="D32" s="83" t="s">
        <v>116</v>
      </c>
      <c r="E32" s="83" t="s">
        <v>287</v>
      </c>
      <c r="F32" s="70" t="s">
        <v>329</v>
      </c>
      <c r="G32" s="83" t="s">
        <v>297</v>
      </c>
      <c r="H32" s="70" t="s">
        <v>305</v>
      </c>
      <c r="I32" s="70" t="s">
        <v>156</v>
      </c>
      <c r="J32" s="70"/>
      <c r="K32" s="77">
        <v>4.2799999999970035</v>
      </c>
      <c r="L32" s="83" t="s">
        <v>160</v>
      </c>
      <c r="M32" s="84">
        <v>6.0000000000000001E-3</v>
      </c>
      <c r="N32" s="84">
        <v>4.2000000000004542E-3</v>
      </c>
      <c r="O32" s="77">
        <v>433309.11739600002</v>
      </c>
      <c r="P32" s="79">
        <v>101.67</v>
      </c>
      <c r="Q32" s="70"/>
      <c r="R32" s="77">
        <v>440.54537351900001</v>
      </c>
      <c r="S32" s="78">
        <v>2.4352566795105536E-4</v>
      </c>
      <c r="T32" s="78">
        <f t="shared" si="0"/>
        <v>4.7897510293761353E-3</v>
      </c>
      <c r="U32" s="78">
        <f>R32/'סכום נכסי הקרן'!$C$42</f>
        <v>1.2142214399142764E-4</v>
      </c>
    </row>
    <row r="33" spans="2:21">
      <c r="B33" s="76" t="s">
        <v>336</v>
      </c>
      <c r="C33" s="70" t="s">
        <v>337</v>
      </c>
      <c r="D33" s="83" t="s">
        <v>116</v>
      </c>
      <c r="E33" s="83" t="s">
        <v>287</v>
      </c>
      <c r="F33" s="70" t="s">
        <v>329</v>
      </c>
      <c r="G33" s="83" t="s">
        <v>297</v>
      </c>
      <c r="H33" s="70" t="s">
        <v>305</v>
      </c>
      <c r="I33" s="70" t="s">
        <v>156</v>
      </c>
      <c r="J33" s="70"/>
      <c r="K33" s="77">
        <v>5.2399999999985214</v>
      </c>
      <c r="L33" s="83" t="s">
        <v>160</v>
      </c>
      <c r="M33" s="84">
        <v>1.7500000000000002E-2</v>
      </c>
      <c r="N33" s="84">
        <v>3.3000000000004289E-3</v>
      </c>
      <c r="O33" s="77">
        <v>1730302.5026159999</v>
      </c>
      <c r="P33" s="79">
        <v>107.89</v>
      </c>
      <c r="Q33" s="70"/>
      <c r="R33" s="77">
        <v>1866.8233427240002</v>
      </c>
      <c r="S33" s="78">
        <v>4.363517291934686E-4</v>
      </c>
      <c r="T33" s="78">
        <f t="shared" si="0"/>
        <v>2.0296703960483289E-2</v>
      </c>
      <c r="U33" s="78">
        <f>R33/'סכום נכסי הקרן'!$C$42</f>
        <v>5.1452973144664241E-4</v>
      </c>
    </row>
    <row r="34" spans="2:21">
      <c r="B34" s="76" t="s">
        <v>338</v>
      </c>
      <c r="C34" s="70" t="s">
        <v>339</v>
      </c>
      <c r="D34" s="83" t="s">
        <v>116</v>
      </c>
      <c r="E34" s="83" t="s">
        <v>287</v>
      </c>
      <c r="F34" s="70" t="s">
        <v>304</v>
      </c>
      <c r="G34" s="83" t="s">
        <v>297</v>
      </c>
      <c r="H34" s="70" t="s">
        <v>340</v>
      </c>
      <c r="I34" s="70" t="s">
        <v>156</v>
      </c>
      <c r="J34" s="70"/>
      <c r="K34" s="77">
        <v>0.57999999999516361</v>
      </c>
      <c r="L34" s="83" t="s">
        <v>160</v>
      </c>
      <c r="M34" s="84">
        <v>3.1E-2</v>
      </c>
      <c r="N34" s="84">
        <v>1.5799999999951634E-2</v>
      </c>
      <c r="O34" s="77">
        <v>110947.803546</v>
      </c>
      <c r="P34" s="79">
        <v>108.09</v>
      </c>
      <c r="Q34" s="70"/>
      <c r="R34" s="77">
        <v>119.923478751</v>
      </c>
      <c r="S34" s="78">
        <v>6.4498012146445652E-4</v>
      </c>
      <c r="T34" s="78">
        <f t="shared" si="0"/>
        <v>1.3038466417334793E-3</v>
      </c>
      <c r="U34" s="78">
        <f>R34/'סכום נכסי הקרן'!$C$42</f>
        <v>3.3053044658131743E-5</v>
      </c>
    </row>
    <row r="35" spans="2:21">
      <c r="B35" s="76" t="s">
        <v>341</v>
      </c>
      <c r="C35" s="70" t="s">
        <v>342</v>
      </c>
      <c r="D35" s="83" t="s">
        <v>116</v>
      </c>
      <c r="E35" s="83" t="s">
        <v>287</v>
      </c>
      <c r="F35" s="70" t="s">
        <v>304</v>
      </c>
      <c r="G35" s="83" t="s">
        <v>297</v>
      </c>
      <c r="H35" s="70" t="s">
        <v>340</v>
      </c>
      <c r="I35" s="70" t="s">
        <v>156</v>
      </c>
      <c r="J35" s="70"/>
      <c r="K35" s="77">
        <v>0.70999999997877328</v>
      </c>
      <c r="L35" s="83" t="s">
        <v>160</v>
      </c>
      <c r="M35" s="84">
        <v>4.2000000000000003E-2</v>
      </c>
      <c r="N35" s="84">
        <v>2.0300000000237243E-2</v>
      </c>
      <c r="O35" s="77">
        <v>6431.7238880000004</v>
      </c>
      <c r="P35" s="79">
        <v>124.52</v>
      </c>
      <c r="Q35" s="70"/>
      <c r="R35" s="77">
        <v>8.0087823269999987</v>
      </c>
      <c r="S35" s="78">
        <v>2.4658681470689724E-4</v>
      </c>
      <c r="T35" s="78">
        <f t="shared" si="0"/>
        <v>8.7074057975876663E-5</v>
      </c>
      <c r="U35" s="78">
        <f>R35/'סכום נכסי הקרן'!$C$42</f>
        <v>2.2073629173251432E-6</v>
      </c>
    </row>
    <row r="36" spans="2:21">
      <c r="B36" s="76" t="s">
        <v>343</v>
      </c>
      <c r="C36" s="70" t="s">
        <v>344</v>
      </c>
      <c r="D36" s="83" t="s">
        <v>116</v>
      </c>
      <c r="E36" s="83" t="s">
        <v>287</v>
      </c>
      <c r="F36" s="70" t="s">
        <v>345</v>
      </c>
      <c r="G36" s="83" t="s">
        <v>297</v>
      </c>
      <c r="H36" s="70" t="s">
        <v>340</v>
      </c>
      <c r="I36" s="70" t="s">
        <v>156</v>
      </c>
      <c r="J36" s="70"/>
      <c r="K36" s="77">
        <v>1.4199999999915549</v>
      </c>
      <c r="L36" s="83" t="s">
        <v>160</v>
      </c>
      <c r="M36" s="84">
        <v>3.85E-2</v>
      </c>
      <c r="N36" s="84">
        <v>1.0699999999931788E-2</v>
      </c>
      <c r="O36" s="77">
        <v>82237.740447999997</v>
      </c>
      <c r="P36" s="79">
        <v>112.31</v>
      </c>
      <c r="Q36" s="70"/>
      <c r="R36" s="77">
        <v>92.361207508999996</v>
      </c>
      <c r="S36" s="78">
        <v>3.8615341120786602E-4</v>
      </c>
      <c r="T36" s="78">
        <f t="shared" si="0"/>
        <v>1.004180761693043E-3</v>
      </c>
      <c r="U36" s="78">
        <f>R36/'סכום נכסי הקרן'!$C$42</f>
        <v>2.5456392261707079E-5</v>
      </c>
    </row>
    <row r="37" spans="2:21">
      <c r="B37" s="76" t="s">
        <v>346</v>
      </c>
      <c r="C37" s="70" t="s">
        <v>347</v>
      </c>
      <c r="D37" s="83" t="s">
        <v>116</v>
      </c>
      <c r="E37" s="83" t="s">
        <v>287</v>
      </c>
      <c r="F37" s="70" t="s">
        <v>348</v>
      </c>
      <c r="G37" s="83" t="s">
        <v>297</v>
      </c>
      <c r="H37" s="70" t="s">
        <v>340</v>
      </c>
      <c r="I37" s="70" t="s">
        <v>156</v>
      </c>
      <c r="J37" s="70"/>
      <c r="K37" s="77">
        <v>1.2899356348741953</v>
      </c>
      <c r="L37" s="83" t="s">
        <v>160</v>
      </c>
      <c r="M37" s="84">
        <v>4.7500000000000001E-2</v>
      </c>
      <c r="N37" s="84">
        <v>1.4299297834991224E-2</v>
      </c>
      <c r="O37" s="77">
        <v>1.0691000000000001E-2</v>
      </c>
      <c r="P37" s="79">
        <v>126.84</v>
      </c>
      <c r="Q37" s="70"/>
      <c r="R37" s="77">
        <v>1.3672000000000001E-5</v>
      </c>
      <c r="S37" s="78">
        <v>4.9113580495325461E-11</v>
      </c>
      <c r="T37" s="78">
        <f t="shared" si="0"/>
        <v>1.4864638243853046E-10</v>
      </c>
      <c r="U37" s="78">
        <f>R37/'סכום נכסי הקרן'!$C$42</f>
        <v>3.768246479109154E-12</v>
      </c>
    </row>
    <row r="38" spans="2:21">
      <c r="B38" s="76" t="s">
        <v>349</v>
      </c>
      <c r="C38" s="70" t="s">
        <v>350</v>
      </c>
      <c r="D38" s="83" t="s">
        <v>116</v>
      </c>
      <c r="E38" s="83" t="s">
        <v>287</v>
      </c>
      <c r="F38" s="70" t="s">
        <v>351</v>
      </c>
      <c r="G38" s="83" t="s">
        <v>352</v>
      </c>
      <c r="H38" s="70" t="s">
        <v>353</v>
      </c>
      <c r="I38" s="70" t="s">
        <v>291</v>
      </c>
      <c r="J38" s="70"/>
      <c r="K38" s="77">
        <v>1.1600000000129642</v>
      </c>
      <c r="L38" s="83" t="s">
        <v>160</v>
      </c>
      <c r="M38" s="84">
        <v>3.6400000000000002E-2</v>
      </c>
      <c r="N38" s="84">
        <v>1.0200000000016205E-2</v>
      </c>
      <c r="O38" s="77">
        <v>21739.638757000001</v>
      </c>
      <c r="P38" s="79">
        <v>113.54</v>
      </c>
      <c r="Q38" s="70"/>
      <c r="R38" s="77">
        <v>24.683184848</v>
      </c>
      <c r="S38" s="78">
        <v>3.9436986407256235E-4</v>
      </c>
      <c r="T38" s="78">
        <f t="shared" si="0"/>
        <v>2.6836352652989676E-4</v>
      </c>
      <c r="U38" s="78">
        <f>R38/'סכום נכסי הקרן'!$C$42</f>
        <v>6.803124955871592E-6</v>
      </c>
    </row>
    <row r="39" spans="2:21">
      <c r="B39" s="76" t="s">
        <v>354</v>
      </c>
      <c r="C39" s="70" t="s">
        <v>355</v>
      </c>
      <c r="D39" s="83" t="s">
        <v>116</v>
      </c>
      <c r="E39" s="83" t="s">
        <v>287</v>
      </c>
      <c r="F39" s="70" t="s">
        <v>310</v>
      </c>
      <c r="G39" s="83" t="s">
        <v>297</v>
      </c>
      <c r="H39" s="70" t="s">
        <v>340</v>
      </c>
      <c r="I39" s="70" t="s">
        <v>156</v>
      </c>
      <c r="J39" s="70"/>
      <c r="K39" s="77">
        <v>0.36000000000105731</v>
      </c>
      <c r="L39" s="83" t="s">
        <v>160</v>
      </c>
      <c r="M39" s="84">
        <v>3.4000000000000002E-2</v>
      </c>
      <c r="N39" s="84">
        <v>1.5500000000024548E-2</v>
      </c>
      <c r="O39" s="77">
        <v>249639.46017700003</v>
      </c>
      <c r="P39" s="79">
        <v>106.08</v>
      </c>
      <c r="Q39" s="70"/>
      <c r="R39" s="77">
        <v>264.81753167699998</v>
      </c>
      <c r="S39" s="78">
        <v>2.7928753575092927E-4</v>
      </c>
      <c r="T39" s="78">
        <f t="shared" si="0"/>
        <v>2.879181399216427E-3</v>
      </c>
      <c r="U39" s="78">
        <f>R39/'סכום נכסי הקרן'!$C$42</f>
        <v>7.2988423884452305E-5</v>
      </c>
    </row>
    <row r="40" spans="2:21">
      <c r="B40" s="76" t="s">
        <v>356</v>
      </c>
      <c r="C40" s="70" t="s">
        <v>357</v>
      </c>
      <c r="D40" s="83" t="s">
        <v>116</v>
      </c>
      <c r="E40" s="83" t="s">
        <v>287</v>
      </c>
      <c r="F40" s="70" t="s">
        <v>358</v>
      </c>
      <c r="G40" s="83" t="s">
        <v>352</v>
      </c>
      <c r="H40" s="70" t="s">
        <v>340</v>
      </c>
      <c r="I40" s="70" t="s">
        <v>156</v>
      </c>
      <c r="J40" s="70"/>
      <c r="K40" s="77">
        <v>5.0399999999976561</v>
      </c>
      <c r="L40" s="83" t="s">
        <v>160</v>
      </c>
      <c r="M40" s="84">
        <v>8.3000000000000001E-3</v>
      </c>
      <c r="N40" s="84">
        <v>2.9000000000029779E-3</v>
      </c>
      <c r="O40" s="77">
        <v>1005320.135606</v>
      </c>
      <c r="P40" s="79">
        <v>103.55</v>
      </c>
      <c r="Q40" s="70"/>
      <c r="R40" s="77">
        <v>1041.008998861</v>
      </c>
      <c r="S40" s="78">
        <v>6.5646186067981258E-4</v>
      </c>
      <c r="T40" s="78">
        <f t="shared" si="0"/>
        <v>1.1318184740099761E-2</v>
      </c>
      <c r="U40" s="78">
        <f>R40/'סכום נכסי הקרן'!$C$42</f>
        <v>2.8692060376527998E-4</v>
      </c>
    </row>
    <row r="41" spans="2:21">
      <c r="B41" s="76" t="s">
        <v>359</v>
      </c>
      <c r="C41" s="70" t="s">
        <v>360</v>
      </c>
      <c r="D41" s="83" t="s">
        <v>116</v>
      </c>
      <c r="E41" s="83" t="s">
        <v>287</v>
      </c>
      <c r="F41" s="70" t="s">
        <v>358</v>
      </c>
      <c r="G41" s="83" t="s">
        <v>352</v>
      </c>
      <c r="H41" s="70" t="s">
        <v>340</v>
      </c>
      <c r="I41" s="70" t="s">
        <v>156</v>
      </c>
      <c r="J41" s="70"/>
      <c r="K41" s="77">
        <v>8.8900000000026402</v>
      </c>
      <c r="L41" s="83" t="s">
        <v>160</v>
      </c>
      <c r="M41" s="84">
        <v>1.6500000000000001E-2</v>
      </c>
      <c r="N41" s="84">
        <v>4.0999999999973323E-3</v>
      </c>
      <c r="O41" s="77">
        <v>600076.83906699996</v>
      </c>
      <c r="P41" s="79">
        <v>112.42</v>
      </c>
      <c r="Q41" s="70"/>
      <c r="R41" s="77">
        <v>674.60638029799998</v>
      </c>
      <c r="S41" s="78">
        <v>4.1100308833859578E-4</v>
      </c>
      <c r="T41" s="78">
        <f t="shared" si="0"/>
        <v>7.334537595176216E-3</v>
      </c>
      <c r="U41" s="78">
        <f>R41/'סכום נכסי הקרן'!$C$42</f>
        <v>1.8593352233341933E-4</v>
      </c>
    </row>
    <row r="42" spans="2:21">
      <c r="B42" s="76" t="s">
        <v>361</v>
      </c>
      <c r="C42" s="70" t="s">
        <v>362</v>
      </c>
      <c r="D42" s="83" t="s">
        <v>116</v>
      </c>
      <c r="E42" s="83" t="s">
        <v>287</v>
      </c>
      <c r="F42" s="70" t="s">
        <v>363</v>
      </c>
      <c r="G42" s="83" t="s">
        <v>152</v>
      </c>
      <c r="H42" s="70" t="s">
        <v>340</v>
      </c>
      <c r="I42" s="70" t="s">
        <v>156</v>
      </c>
      <c r="J42" s="70"/>
      <c r="K42" s="77">
        <v>8.8399999999949088</v>
      </c>
      <c r="L42" s="83" t="s">
        <v>160</v>
      </c>
      <c r="M42" s="84">
        <v>2.6499999999999999E-2</v>
      </c>
      <c r="N42" s="84">
        <v>5.6000000000046299E-3</v>
      </c>
      <c r="O42" s="77">
        <v>143516.793703</v>
      </c>
      <c r="P42" s="79">
        <v>120.4</v>
      </c>
      <c r="Q42" s="70"/>
      <c r="R42" s="77">
        <v>172.79421898199999</v>
      </c>
      <c r="S42" s="78">
        <v>1.2405139122006665E-4</v>
      </c>
      <c r="T42" s="78">
        <f t="shared" si="0"/>
        <v>1.8786743386458127E-3</v>
      </c>
      <c r="U42" s="78">
        <f>R42/'סכום נכסי הקרן'!$C$42</f>
        <v>4.7625161445972611E-5</v>
      </c>
    </row>
    <row r="43" spans="2:21">
      <c r="B43" s="76" t="s">
        <v>364</v>
      </c>
      <c r="C43" s="70" t="s">
        <v>365</v>
      </c>
      <c r="D43" s="83" t="s">
        <v>116</v>
      </c>
      <c r="E43" s="83" t="s">
        <v>287</v>
      </c>
      <c r="F43" s="70" t="s">
        <v>366</v>
      </c>
      <c r="G43" s="83" t="s">
        <v>352</v>
      </c>
      <c r="H43" s="70" t="s">
        <v>353</v>
      </c>
      <c r="I43" s="70" t="s">
        <v>291</v>
      </c>
      <c r="J43" s="70"/>
      <c r="K43" s="77">
        <v>2.7099999999982649</v>
      </c>
      <c r="L43" s="83" t="s">
        <v>160</v>
      </c>
      <c r="M43" s="84">
        <v>6.5000000000000006E-3</v>
      </c>
      <c r="N43" s="84">
        <v>1.0499999999979984E-2</v>
      </c>
      <c r="O43" s="77">
        <v>227107.64937699999</v>
      </c>
      <c r="P43" s="79">
        <v>98.99</v>
      </c>
      <c r="Q43" s="70"/>
      <c r="R43" s="77">
        <v>224.81386210900001</v>
      </c>
      <c r="S43" s="78">
        <v>3.0087726333723381E-4</v>
      </c>
      <c r="T43" s="78">
        <f t="shared" ref="T43:T74" si="1">R43/$R$11</f>
        <v>2.4442486340358009E-3</v>
      </c>
      <c r="U43" s="78">
        <f>R43/'סכום נכסי הקרן'!$C$42</f>
        <v>6.1962700727557794E-5</v>
      </c>
    </row>
    <row r="44" spans="2:21">
      <c r="B44" s="76" t="s">
        <v>367</v>
      </c>
      <c r="C44" s="70" t="s">
        <v>368</v>
      </c>
      <c r="D44" s="83" t="s">
        <v>116</v>
      </c>
      <c r="E44" s="83" t="s">
        <v>287</v>
      </c>
      <c r="F44" s="70" t="s">
        <v>366</v>
      </c>
      <c r="G44" s="83" t="s">
        <v>352</v>
      </c>
      <c r="H44" s="70" t="s">
        <v>340</v>
      </c>
      <c r="I44" s="70" t="s">
        <v>156</v>
      </c>
      <c r="J44" s="70"/>
      <c r="K44" s="77">
        <v>5.0699999999996042</v>
      </c>
      <c r="L44" s="83" t="s">
        <v>160</v>
      </c>
      <c r="M44" s="84">
        <v>1.34E-2</v>
      </c>
      <c r="N44" s="84">
        <v>1.0800000000000982E-2</v>
      </c>
      <c r="O44" s="77">
        <v>2631960.8051130003</v>
      </c>
      <c r="P44" s="79">
        <v>102.52</v>
      </c>
      <c r="Q44" s="77">
        <v>151.92029893699998</v>
      </c>
      <c r="R44" s="77">
        <v>2850.206516359</v>
      </c>
      <c r="S44" s="78">
        <v>7.6009950652403818E-4</v>
      </c>
      <c r="T44" s="78">
        <f t="shared" si="1"/>
        <v>3.098836218983993E-2</v>
      </c>
      <c r="U44" s="78">
        <f>R44/'סכום נכסי הקרן'!$C$42</f>
        <v>7.8556763238763665E-4</v>
      </c>
    </row>
    <row r="45" spans="2:21">
      <c r="B45" s="76" t="s">
        <v>369</v>
      </c>
      <c r="C45" s="70" t="s">
        <v>370</v>
      </c>
      <c r="D45" s="83" t="s">
        <v>116</v>
      </c>
      <c r="E45" s="83" t="s">
        <v>287</v>
      </c>
      <c r="F45" s="70" t="s">
        <v>366</v>
      </c>
      <c r="G45" s="83" t="s">
        <v>352</v>
      </c>
      <c r="H45" s="70" t="s">
        <v>340</v>
      </c>
      <c r="I45" s="70" t="s">
        <v>156</v>
      </c>
      <c r="J45" s="70"/>
      <c r="K45" s="77">
        <v>5.7899999999992948</v>
      </c>
      <c r="L45" s="83" t="s">
        <v>160</v>
      </c>
      <c r="M45" s="84">
        <v>1.77E-2</v>
      </c>
      <c r="N45" s="84">
        <v>1.1399999999995913E-2</v>
      </c>
      <c r="O45" s="77">
        <v>1464523.1535149997</v>
      </c>
      <c r="P45" s="79">
        <v>103.6</v>
      </c>
      <c r="Q45" s="70"/>
      <c r="R45" s="77">
        <v>1517.2459870329999</v>
      </c>
      <c r="S45" s="78">
        <v>4.5154073422384156E-4</v>
      </c>
      <c r="T45" s="78">
        <f t="shared" si="1"/>
        <v>1.6495986486383334E-2</v>
      </c>
      <c r="U45" s="78">
        <f>R45/'סכום נכסי הקרן'!$C$42</f>
        <v>4.1817999185046772E-4</v>
      </c>
    </row>
    <row r="46" spans="2:21">
      <c r="B46" s="76" t="s">
        <v>371</v>
      </c>
      <c r="C46" s="70" t="s">
        <v>372</v>
      </c>
      <c r="D46" s="83" t="s">
        <v>116</v>
      </c>
      <c r="E46" s="83" t="s">
        <v>287</v>
      </c>
      <c r="F46" s="70" t="s">
        <v>366</v>
      </c>
      <c r="G46" s="83" t="s">
        <v>352</v>
      </c>
      <c r="H46" s="70" t="s">
        <v>340</v>
      </c>
      <c r="I46" s="70" t="s">
        <v>156</v>
      </c>
      <c r="J46" s="70"/>
      <c r="K46" s="77">
        <v>9.1399999999975208</v>
      </c>
      <c r="L46" s="83" t="s">
        <v>160</v>
      </c>
      <c r="M46" s="84">
        <v>2.4799999999999999E-2</v>
      </c>
      <c r="N46" s="84">
        <v>1.4399999999997975E-2</v>
      </c>
      <c r="O46" s="77">
        <v>1081396.780884</v>
      </c>
      <c r="P46" s="79">
        <v>109.75</v>
      </c>
      <c r="Q46" s="70"/>
      <c r="R46" s="77">
        <v>1186.8329670210001</v>
      </c>
      <c r="S46" s="78">
        <v>5.5230028640843888E-4</v>
      </c>
      <c r="T46" s="78">
        <f t="shared" si="1"/>
        <v>1.2903629835171107E-2</v>
      </c>
      <c r="U46" s="78">
        <f>R46/'סכום נכסי הקרן'!$C$42</f>
        <v>3.2711228417697146E-4</v>
      </c>
    </row>
    <row r="47" spans="2:21">
      <c r="B47" s="76" t="s">
        <v>373</v>
      </c>
      <c r="C47" s="70" t="s">
        <v>374</v>
      </c>
      <c r="D47" s="83" t="s">
        <v>116</v>
      </c>
      <c r="E47" s="83" t="s">
        <v>287</v>
      </c>
      <c r="F47" s="70" t="s">
        <v>329</v>
      </c>
      <c r="G47" s="83" t="s">
        <v>297</v>
      </c>
      <c r="H47" s="70" t="s">
        <v>340</v>
      </c>
      <c r="I47" s="70" t="s">
        <v>156</v>
      </c>
      <c r="J47" s="70"/>
      <c r="K47" s="77">
        <v>0.74000000000522703</v>
      </c>
      <c r="L47" s="83" t="s">
        <v>160</v>
      </c>
      <c r="M47" s="84">
        <v>4.0999999999999995E-2</v>
      </c>
      <c r="N47" s="84">
        <v>1.7699999999980683E-2</v>
      </c>
      <c r="O47" s="77">
        <v>70651.322799999994</v>
      </c>
      <c r="P47" s="79">
        <v>124.56</v>
      </c>
      <c r="Q47" s="70"/>
      <c r="R47" s="77">
        <v>88.003287920999995</v>
      </c>
      <c r="S47" s="78">
        <v>9.0681926615372331E-5</v>
      </c>
      <c r="T47" s="78">
        <f t="shared" si="1"/>
        <v>9.5680005793980936E-4</v>
      </c>
      <c r="U47" s="78">
        <f>R47/'סכום נכסי הקרן'!$C$42</f>
        <v>2.4255272078579383E-5</v>
      </c>
    </row>
    <row r="48" spans="2:21">
      <c r="B48" s="76" t="s">
        <v>375</v>
      </c>
      <c r="C48" s="70" t="s">
        <v>376</v>
      </c>
      <c r="D48" s="83" t="s">
        <v>116</v>
      </c>
      <c r="E48" s="83" t="s">
        <v>287</v>
      </c>
      <c r="F48" s="70" t="s">
        <v>329</v>
      </c>
      <c r="G48" s="83" t="s">
        <v>297</v>
      </c>
      <c r="H48" s="70" t="s">
        <v>340</v>
      </c>
      <c r="I48" s="70" t="s">
        <v>156</v>
      </c>
      <c r="J48" s="70"/>
      <c r="K48" s="77">
        <v>1.8800000000071482</v>
      </c>
      <c r="L48" s="83" t="s">
        <v>160</v>
      </c>
      <c r="M48" s="84">
        <v>4.2000000000000003E-2</v>
      </c>
      <c r="N48" s="84">
        <v>0.01</v>
      </c>
      <c r="O48" s="77">
        <v>113569.63673800002</v>
      </c>
      <c r="P48" s="79">
        <v>108.4</v>
      </c>
      <c r="Q48" s="70"/>
      <c r="R48" s="77">
        <v>123.109485174</v>
      </c>
      <c r="S48" s="78">
        <v>1.1382757001164641E-4</v>
      </c>
      <c r="T48" s="78">
        <f t="shared" si="1"/>
        <v>1.3384859285389848E-3</v>
      </c>
      <c r="U48" s="78">
        <f>R48/'סכום נכסי הקרן'!$C$42</f>
        <v>3.3931164720001905E-5</v>
      </c>
    </row>
    <row r="49" spans="2:21">
      <c r="B49" s="76" t="s">
        <v>377</v>
      </c>
      <c r="C49" s="70" t="s">
        <v>378</v>
      </c>
      <c r="D49" s="83" t="s">
        <v>116</v>
      </c>
      <c r="E49" s="83" t="s">
        <v>287</v>
      </c>
      <c r="F49" s="70" t="s">
        <v>329</v>
      </c>
      <c r="G49" s="83" t="s">
        <v>297</v>
      </c>
      <c r="H49" s="70" t="s">
        <v>340</v>
      </c>
      <c r="I49" s="70" t="s">
        <v>156</v>
      </c>
      <c r="J49" s="70"/>
      <c r="K49" s="77">
        <v>1.4100000000028428</v>
      </c>
      <c r="L49" s="83" t="s">
        <v>160</v>
      </c>
      <c r="M49" s="84">
        <v>0.04</v>
      </c>
      <c r="N49" s="84">
        <v>1.2100000000028427E-2</v>
      </c>
      <c r="O49" s="77">
        <v>207191.76031599997</v>
      </c>
      <c r="P49" s="79">
        <v>110.36</v>
      </c>
      <c r="Q49" s="70"/>
      <c r="R49" s="77">
        <v>228.65683103500001</v>
      </c>
      <c r="S49" s="78">
        <v>9.5107587422760725E-5</v>
      </c>
      <c r="T49" s="78">
        <f t="shared" si="1"/>
        <v>2.486030628526262E-3</v>
      </c>
      <c r="U49" s="78">
        <f>R49/'סכום נכסי הקרן'!$C$42</f>
        <v>6.3021891345223479E-5</v>
      </c>
    </row>
    <row r="50" spans="2:21">
      <c r="B50" s="76" t="s">
        <v>379</v>
      </c>
      <c r="C50" s="70" t="s">
        <v>380</v>
      </c>
      <c r="D50" s="83" t="s">
        <v>116</v>
      </c>
      <c r="E50" s="83" t="s">
        <v>287</v>
      </c>
      <c r="F50" s="70" t="s">
        <v>381</v>
      </c>
      <c r="G50" s="83" t="s">
        <v>352</v>
      </c>
      <c r="H50" s="70" t="s">
        <v>382</v>
      </c>
      <c r="I50" s="70" t="s">
        <v>291</v>
      </c>
      <c r="J50" s="70"/>
      <c r="K50" s="77">
        <v>4.2000000000008226</v>
      </c>
      <c r="L50" s="83" t="s">
        <v>160</v>
      </c>
      <c r="M50" s="84">
        <v>2.3399999999999997E-2</v>
      </c>
      <c r="N50" s="84">
        <v>1.4300000000005348E-2</v>
      </c>
      <c r="O50" s="77">
        <v>1631935.3525409999</v>
      </c>
      <c r="P50" s="79">
        <v>104.3</v>
      </c>
      <c r="Q50" s="70"/>
      <c r="R50" s="77">
        <v>1702.1085391629999</v>
      </c>
      <c r="S50" s="78">
        <v>4.6041882684374406E-4</v>
      </c>
      <c r="T50" s="78">
        <f t="shared" si="1"/>
        <v>1.8505871625534794E-2</v>
      </c>
      <c r="U50" s="78">
        <f>R50/'סכום נכסי הקרן'!$C$42</f>
        <v>4.6913140065554413E-4</v>
      </c>
    </row>
    <row r="51" spans="2:21">
      <c r="B51" s="76" t="s">
        <v>383</v>
      </c>
      <c r="C51" s="70" t="s">
        <v>384</v>
      </c>
      <c r="D51" s="83" t="s">
        <v>116</v>
      </c>
      <c r="E51" s="83" t="s">
        <v>287</v>
      </c>
      <c r="F51" s="70" t="s">
        <v>381</v>
      </c>
      <c r="G51" s="83" t="s">
        <v>352</v>
      </c>
      <c r="H51" s="70" t="s">
        <v>382</v>
      </c>
      <c r="I51" s="70" t="s">
        <v>291</v>
      </c>
      <c r="J51" s="70"/>
      <c r="K51" s="77">
        <v>7.7900000000085816</v>
      </c>
      <c r="L51" s="83" t="s">
        <v>160</v>
      </c>
      <c r="M51" s="84">
        <v>6.5000000000000006E-3</v>
      </c>
      <c r="N51" s="84">
        <v>1.7900000000001682E-2</v>
      </c>
      <c r="O51" s="77">
        <v>261056.1318</v>
      </c>
      <c r="P51" s="79">
        <v>91.06</v>
      </c>
      <c r="Q51" s="70"/>
      <c r="R51" s="77">
        <v>237.71772232399999</v>
      </c>
      <c r="S51" s="78">
        <v>8.7018710600000003E-4</v>
      </c>
      <c r="T51" s="78">
        <f t="shared" si="1"/>
        <v>2.58454355361247E-3</v>
      </c>
      <c r="U51" s="78">
        <f>R51/'סכום נכסי הקרן'!$C$42</f>
        <v>6.5519234213667375E-5</v>
      </c>
    </row>
    <row r="52" spans="2:21">
      <c r="B52" s="76" t="s">
        <v>385</v>
      </c>
      <c r="C52" s="70" t="s">
        <v>386</v>
      </c>
      <c r="D52" s="83" t="s">
        <v>116</v>
      </c>
      <c r="E52" s="83" t="s">
        <v>287</v>
      </c>
      <c r="F52" s="70" t="s">
        <v>387</v>
      </c>
      <c r="G52" s="83" t="s">
        <v>352</v>
      </c>
      <c r="H52" s="70" t="s">
        <v>388</v>
      </c>
      <c r="I52" s="70" t="s">
        <v>156</v>
      </c>
      <c r="J52" s="70"/>
      <c r="K52" s="77">
        <v>1.4899999999996969</v>
      </c>
      <c r="L52" s="83" t="s">
        <v>160</v>
      </c>
      <c r="M52" s="84">
        <v>4.8000000000000001E-2</v>
      </c>
      <c r="N52" s="84">
        <v>9.5999999999950899E-3</v>
      </c>
      <c r="O52" s="77">
        <v>834197.18697199994</v>
      </c>
      <c r="P52" s="79">
        <v>107.68</v>
      </c>
      <c r="Q52" s="77">
        <v>486.18786884300005</v>
      </c>
      <c r="R52" s="77">
        <v>1384.4513997579998</v>
      </c>
      <c r="S52" s="78">
        <v>1.5339627764550323E-3</v>
      </c>
      <c r="T52" s="78">
        <f t="shared" si="1"/>
        <v>1.5052201011994327E-2</v>
      </c>
      <c r="U52" s="78">
        <f>R52/'סכום נכסי הקרן'!$C$42</f>
        <v>3.8157944065504842E-4</v>
      </c>
    </row>
    <row r="53" spans="2:21">
      <c r="B53" s="76" t="s">
        <v>389</v>
      </c>
      <c r="C53" s="70" t="s">
        <v>390</v>
      </c>
      <c r="D53" s="83" t="s">
        <v>116</v>
      </c>
      <c r="E53" s="83" t="s">
        <v>287</v>
      </c>
      <c r="F53" s="70" t="s">
        <v>387</v>
      </c>
      <c r="G53" s="83" t="s">
        <v>352</v>
      </c>
      <c r="H53" s="70" t="s">
        <v>388</v>
      </c>
      <c r="I53" s="70" t="s">
        <v>156</v>
      </c>
      <c r="J53" s="70"/>
      <c r="K53" s="77">
        <v>0.5</v>
      </c>
      <c r="L53" s="83" t="s">
        <v>160</v>
      </c>
      <c r="M53" s="84">
        <v>4.9000000000000002E-2</v>
      </c>
      <c r="N53" s="84">
        <v>1.1600000000004331E-2</v>
      </c>
      <c r="O53" s="77">
        <v>81802.399225999994</v>
      </c>
      <c r="P53" s="79">
        <v>112.86</v>
      </c>
      <c r="Q53" s="70"/>
      <c r="R53" s="77">
        <v>92.322191106000005</v>
      </c>
      <c r="S53" s="78">
        <v>8.2585419668923749E-4</v>
      </c>
      <c r="T53" s="78">
        <f t="shared" si="1"/>
        <v>1.0037565628076047E-3</v>
      </c>
      <c r="U53" s="78">
        <f>R53/'סכום נכסי הקרן'!$C$42</f>
        <v>2.5445638646783716E-5</v>
      </c>
    </row>
    <row r="54" spans="2:21">
      <c r="B54" s="76" t="s">
        <v>391</v>
      </c>
      <c r="C54" s="70" t="s">
        <v>392</v>
      </c>
      <c r="D54" s="83" t="s">
        <v>116</v>
      </c>
      <c r="E54" s="83" t="s">
        <v>287</v>
      </c>
      <c r="F54" s="70" t="s">
        <v>387</v>
      </c>
      <c r="G54" s="83" t="s">
        <v>352</v>
      </c>
      <c r="H54" s="70" t="s">
        <v>388</v>
      </c>
      <c r="I54" s="70" t="s">
        <v>156</v>
      </c>
      <c r="J54" s="70"/>
      <c r="K54" s="77">
        <v>4.9900000000003146</v>
      </c>
      <c r="L54" s="83" t="s">
        <v>160</v>
      </c>
      <c r="M54" s="84">
        <v>3.2000000000000001E-2</v>
      </c>
      <c r="N54" s="84">
        <v>1.259999999999686E-2</v>
      </c>
      <c r="O54" s="77">
        <v>1242647.9469369999</v>
      </c>
      <c r="P54" s="79">
        <v>109.51</v>
      </c>
      <c r="Q54" s="77">
        <v>40.333367875</v>
      </c>
      <c r="R54" s="77">
        <v>1401.1571703439997</v>
      </c>
      <c r="S54" s="78">
        <v>7.5329528019672451E-4</v>
      </c>
      <c r="T54" s="78">
        <f t="shared" si="1"/>
        <v>1.5233831524242493E-2</v>
      </c>
      <c r="U54" s="78">
        <f>R54/'סכום נכסי הקרן'!$C$42</f>
        <v>3.8618384829047114E-4</v>
      </c>
    </row>
    <row r="55" spans="2:21">
      <c r="B55" s="76" t="s">
        <v>393</v>
      </c>
      <c r="C55" s="70" t="s">
        <v>394</v>
      </c>
      <c r="D55" s="83" t="s">
        <v>116</v>
      </c>
      <c r="E55" s="83" t="s">
        <v>287</v>
      </c>
      <c r="F55" s="70" t="s">
        <v>387</v>
      </c>
      <c r="G55" s="83" t="s">
        <v>352</v>
      </c>
      <c r="H55" s="70" t="s">
        <v>388</v>
      </c>
      <c r="I55" s="70" t="s">
        <v>156</v>
      </c>
      <c r="J55" s="70"/>
      <c r="K55" s="77">
        <v>7.3000000000046015</v>
      </c>
      <c r="L55" s="83" t="s">
        <v>160</v>
      </c>
      <c r="M55" s="84">
        <v>1.1399999999999999E-2</v>
      </c>
      <c r="N55" s="84">
        <v>1.5000000000006217E-2</v>
      </c>
      <c r="O55" s="77">
        <v>831641.40670399996</v>
      </c>
      <c r="P55" s="79">
        <v>96.7</v>
      </c>
      <c r="Q55" s="70"/>
      <c r="R55" s="77">
        <v>804.19724029099996</v>
      </c>
      <c r="S55" s="78">
        <v>4.0195661670685548E-4</v>
      </c>
      <c r="T55" s="78">
        <f t="shared" si="1"/>
        <v>8.7434911158796626E-3</v>
      </c>
      <c r="U55" s="78">
        <f>R55/'סכום נכסי הקרן'!$C$42</f>
        <v>2.2165106928290364E-4</v>
      </c>
    </row>
    <row r="56" spans="2:21">
      <c r="B56" s="76" t="s">
        <v>395</v>
      </c>
      <c r="C56" s="70" t="s">
        <v>396</v>
      </c>
      <c r="D56" s="83" t="s">
        <v>116</v>
      </c>
      <c r="E56" s="83" t="s">
        <v>287</v>
      </c>
      <c r="F56" s="70" t="s">
        <v>397</v>
      </c>
      <c r="G56" s="83" t="s">
        <v>352</v>
      </c>
      <c r="H56" s="70" t="s">
        <v>382</v>
      </c>
      <c r="I56" s="70" t="s">
        <v>291</v>
      </c>
      <c r="J56" s="70"/>
      <c r="K56" s="77">
        <v>5.7699999999995475</v>
      </c>
      <c r="L56" s="83" t="s">
        <v>160</v>
      </c>
      <c r="M56" s="84">
        <v>1.8200000000000001E-2</v>
      </c>
      <c r="N56" s="84">
        <v>1.2599999999986445E-2</v>
      </c>
      <c r="O56" s="77">
        <v>427973.88116500003</v>
      </c>
      <c r="P56" s="79">
        <v>103.43</v>
      </c>
      <c r="Q56" s="70"/>
      <c r="R56" s="77">
        <v>442.65338056000002</v>
      </c>
      <c r="S56" s="78">
        <v>9.5242879974407485E-4</v>
      </c>
      <c r="T56" s="78">
        <f t="shared" si="1"/>
        <v>4.8126699600958252E-3</v>
      </c>
      <c r="U56" s="78">
        <f>R56/'סכום נכסי הקרן'!$C$42</f>
        <v>1.2200314824173379E-4</v>
      </c>
    </row>
    <row r="57" spans="2:21">
      <c r="B57" s="76" t="s">
        <v>398</v>
      </c>
      <c r="C57" s="70" t="s">
        <v>399</v>
      </c>
      <c r="D57" s="83" t="s">
        <v>116</v>
      </c>
      <c r="E57" s="83" t="s">
        <v>287</v>
      </c>
      <c r="F57" s="70" t="s">
        <v>397</v>
      </c>
      <c r="G57" s="83" t="s">
        <v>352</v>
      </c>
      <c r="H57" s="70" t="s">
        <v>382</v>
      </c>
      <c r="I57" s="70" t="s">
        <v>291</v>
      </c>
      <c r="J57" s="70"/>
      <c r="K57" s="77">
        <v>6.8599999999214836</v>
      </c>
      <c r="L57" s="83" t="s">
        <v>160</v>
      </c>
      <c r="M57" s="84">
        <v>7.8000000000000005E-3</v>
      </c>
      <c r="N57" s="84">
        <v>1.3999999999798679E-2</v>
      </c>
      <c r="O57" s="77">
        <v>31328.831097999999</v>
      </c>
      <c r="P57" s="79">
        <v>95.13</v>
      </c>
      <c r="Q57" s="70"/>
      <c r="R57" s="77">
        <v>29.803118069000003</v>
      </c>
      <c r="S57" s="78">
        <v>6.8343872377835951E-5</v>
      </c>
      <c r="T57" s="78">
        <f t="shared" si="1"/>
        <v>3.2402908764959422E-4</v>
      </c>
      <c r="U57" s="78">
        <f>R57/'סכום נכסי הקרן'!$C$42</f>
        <v>8.2142696554990981E-6</v>
      </c>
    </row>
    <row r="58" spans="2:21">
      <c r="B58" s="76" t="s">
        <v>400</v>
      </c>
      <c r="C58" s="70" t="s">
        <v>401</v>
      </c>
      <c r="D58" s="83" t="s">
        <v>116</v>
      </c>
      <c r="E58" s="83" t="s">
        <v>287</v>
      </c>
      <c r="F58" s="70" t="s">
        <v>397</v>
      </c>
      <c r="G58" s="83" t="s">
        <v>352</v>
      </c>
      <c r="H58" s="70" t="s">
        <v>382</v>
      </c>
      <c r="I58" s="70" t="s">
        <v>291</v>
      </c>
      <c r="J58" s="70"/>
      <c r="K58" s="77">
        <v>4.7799999999969103</v>
      </c>
      <c r="L58" s="83" t="s">
        <v>160</v>
      </c>
      <c r="M58" s="84">
        <v>2E-3</v>
      </c>
      <c r="N58" s="84">
        <v>1.1999999999993693E-2</v>
      </c>
      <c r="O58" s="77">
        <v>336270.93289400003</v>
      </c>
      <c r="P58" s="79">
        <v>94.33</v>
      </c>
      <c r="Q58" s="70"/>
      <c r="R58" s="77">
        <v>317.20213719099996</v>
      </c>
      <c r="S58" s="78">
        <v>8.967224877173334E-4</v>
      </c>
      <c r="T58" s="78">
        <f t="shared" si="1"/>
        <v>3.4487236830904465E-3</v>
      </c>
      <c r="U58" s="78">
        <f>R58/'סכום נכסי הקרן'!$C$42</f>
        <v>8.7426553294023133E-5</v>
      </c>
    </row>
    <row r="59" spans="2:21">
      <c r="B59" s="76" t="s">
        <v>402</v>
      </c>
      <c r="C59" s="70" t="s">
        <v>403</v>
      </c>
      <c r="D59" s="83" t="s">
        <v>116</v>
      </c>
      <c r="E59" s="83" t="s">
        <v>287</v>
      </c>
      <c r="F59" s="70" t="s">
        <v>310</v>
      </c>
      <c r="G59" s="83" t="s">
        <v>297</v>
      </c>
      <c r="H59" s="70" t="s">
        <v>388</v>
      </c>
      <c r="I59" s="70" t="s">
        <v>156</v>
      </c>
      <c r="J59" s="70"/>
      <c r="K59" s="77">
        <v>0.58999999999987396</v>
      </c>
      <c r="L59" s="83" t="s">
        <v>160</v>
      </c>
      <c r="M59" s="84">
        <v>0.04</v>
      </c>
      <c r="N59" s="84">
        <v>2.5699999999996222E-2</v>
      </c>
      <c r="O59" s="77">
        <v>1082709.4085589999</v>
      </c>
      <c r="P59" s="79">
        <v>109.8</v>
      </c>
      <c r="Q59" s="70"/>
      <c r="R59" s="77">
        <v>1188.8150040849998</v>
      </c>
      <c r="S59" s="78">
        <v>8.0200815746319612E-4</v>
      </c>
      <c r="T59" s="78">
        <f t="shared" si="1"/>
        <v>1.2925179179774871E-2</v>
      </c>
      <c r="U59" s="78">
        <f>R59/'סכום נכסי הקרן'!$C$42</f>
        <v>3.276585688601108E-4</v>
      </c>
    </row>
    <row r="60" spans="2:21">
      <c r="B60" s="76" t="s">
        <v>404</v>
      </c>
      <c r="C60" s="70" t="s">
        <v>405</v>
      </c>
      <c r="D60" s="83" t="s">
        <v>116</v>
      </c>
      <c r="E60" s="83" t="s">
        <v>287</v>
      </c>
      <c r="F60" s="70" t="s">
        <v>406</v>
      </c>
      <c r="G60" s="83" t="s">
        <v>352</v>
      </c>
      <c r="H60" s="70" t="s">
        <v>388</v>
      </c>
      <c r="I60" s="70" t="s">
        <v>156</v>
      </c>
      <c r="J60" s="70"/>
      <c r="K60" s="77">
        <v>3.0599999999994245</v>
      </c>
      <c r="L60" s="83" t="s">
        <v>160</v>
      </c>
      <c r="M60" s="84">
        <v>4.7500000000000001E-2</v>
      </c>
      <c r="N60" s="84">
        <v>1.3299999999998638E-2</v>
      </c>
      <c r="O60" s="77">
        <v>1460958.8927170003</v>
      </c>
      <c r="P60" s="79">
        <v>135.75</v>
      </c>
      <c r="Q60" s="70"/>
      <c r="R60" s="77">
        <v>1983.251673319</v>
      </c>
      <c r="S60" s="78">
        <v>7.7409998024532414E-4</v>
      </c>
      <c r="T60" s="78">
        <f t="shared" si="1"/>
        <v>2.1562550227035661E-2</v>
      </c>
      <c r="U60" s="78">
        <f>R60/'סכום נכסי הקרן'!$C$42</f>
        <v>5.466194510804315E-4</v>
      </c>
    </row>
    <row r="61" spans="2:21">
      <c r="B61" s="76" t="s">
        <v>407</v>
      </c>
      <c r="C61" s="70" t="s">
        <v>408</v>
      </c>
      <c r="D61" s="83" t="s">
        <v>116</v>
      </c>
      <c r="E61" s="83" t="s">
        <v>287</v>
      </c>
      <c r="F61" s="70" t="s">
        <v>406</v>
      </c>
      <c r="G61" s="83" t="s">
        <v>352</v>
      </c>
      <c r="H61" s="70" t="s">
        <v>388</v>
      </c>
      <c r="I61" s="70" t="s">
        <v>156</v>
      </c>
      <c r="J61" s="70"/>
      <c r="K61" s="77">
        <v>5.2900000000033351</v>
      </c>
      <c r="L61" s="83" t="s">
        <v>160</v>
      </c>
      <c r="M61" s="84">
        <v>5.0000000000000001E-3</v>
      </c>
      <c r="N61" s="84">
        <v>1.2500000000012827E-2</v>
      </c>
      <c r="O61" s="77">
        <v>406848.01609700004</v>
      </c>
      <c r="P61" s="79">
        <v>95.8</v>
      </c>
      <c r="Q61" s="70"/>
      <c r="R61" s="77">
        <v>389.76039943000001</v>
      </c>
      <c r="S61" s="78">
        <v>5.3932228935308854E-4</v>
      </c>
      <c r="T61" s="78">
        <f t="shared" si="1"/>
        <v>4.2376004529744125E-3</v>
      </c>
      <c r="U61" s="78">
        <f>R61/'סכום נכסי הקרן'!$C$42</f>
        <v>1.074249014663747E-4</v>
      </c>
    </row>
    <row r="62" spans="2:21">
      <c r="B62" s="76" t="s">
        <v>409</v>
      </c>
      <c r="C62" s="70" t="s">
        <v>410</v>
      </c>
      <c r="D62" s="83" t="s">
        <v>116</v>
      </c>
      <c r="E62" s="83" t="s">
        <v>287</v>
      </c>
      <c r="F62" s="70" t="s">
        <v>411</v>
      </c>
      <c r="G62" s="83" t="s">
        <v>412</v>
      </c>
      <c r="H62" s="70" t="s">
        <v>382</v>
      </c>
      <c r="I62" s="70" t="s">
        <v>291</v>
      </c>
      <c r="J62" s="70"/>
      <c r="K62" s="77">
        <v>0.9900000001570699</v>
      </c>
      <c r="L62" s="83" t="s">
        <v>160</v>
      </c>
      <c r="M62" s="84">
        <v>4.6500000000000007E-2</v>
      </c>
      <c r="N62" s="84">
        <v>1.5500000000000003E-2</v>
      </c>
      <c r="O62" s="77">
        <v>2006.6464019999999</v>
      </c>
      <c r="P62" s="79">
        <v>126.91</v>
      </c>
      <c r="Q62" s="70"/>
      <c r="R62" s="77">
        <v>2.54663504</v>
      </c>
      <c r="S62" s="78">
        <v>3.9605732178400094E-5</v>
      </c>
      <c r="T62" s="78">
        <f t="shared" si="1"/>
        <v>2.7687835436454236E-5</v>
      </c>
      <c r="U62" s="78">
        <f>R62/'סכום נכסי הקרן'!$C$42</f>
        <v>7.0189793176243407E-7</v>
      </c>
    </row>
    <row r="63" spans="2:21">
      <c r="B63" s="76" t="s">
        <v>413</v>
      </c>
      <c r="C63" s="70" t="s">
        <v>414</v>
      </c>
      <c r="D63" s="83" t="s">
        <v>116</v>
      </c>
      <c r="E63" s="83" t="s">
        <v>287</v>
      </c>
      <c r="F63" s="70" t="s">
        <v>415</v>
      </c>
      <c r="G63" s="83" t="s">
        <v>416</v>
      </c>
      <c r="H63" s="70" t="s">
        <v>388</v>
      </c>
      <c r="I63" s="70" t="s">
        <v>156</v>
      </c>
      <c r="J63" s="70"/>
      <c r="K63" s="77">
        <v>6.8000000000021918</v>
      </c>
      <c r="L63" s="83" t="s">
        <v>160</v>
      </c>
      <c r="M63" s="84">
        <v>3.85E-2</v>
      </c>
      <c r="N63" s="84">
        <v>5.9000000000042265E-3</v>
      </c>
      <c r="O63" s="77">
        <v>1014918.575172</v>
      </c>
      <c r="P63" s="79">
        <v>125.9</v>
      </c>
      <c r="Q63" s="70"/>
      <c r="R63" s="77">
        <v>1277.7824504939999</v>
      </c>
      <c r="S63" s="78">
        <v>3.8069790878251267E-4</v>
      </c>
      <c r="T63" s="78">
        <f t="shared" si="1"/>
        <v>1.3892461878977013E-2</v>
      </c>
      <c r="U63" s="78">
        <f>R63/'סכום נכסי הקרן'!$C$42</f>
        <v>3.5217958017418679E-4</v>
      </c>
    </row>
    <row r="64" spans="2:21">
      <c r="B64" s="76" t="s">
        <v>417</v>
      </c>
      <c r="C64" s="70" t="s">
        <v>418</v>
      </c>
      <c r="D64" s="83" t="s">
        <v>116</v>
      </c>
      <c r="E64" s="83" t="s">
        <v>287</v>
      </c>
      <c r="F64" s="70" t="s">
        <v>415</v>
      </c>
      <c r="G64" s="83" t="s">
        <v>416</v>
      </c>
      <c r="H64" s="70" t="s">
        <v>388</v>
      </c>
      <c r="I64" s="70" t="s">
        <v>156</v>
      </c>
      <c r="J64" s="70"/>
      <c r="K64" s="77">
        <v>4.6699999999999822</v>
      </c>
      <c r="L64" s="83" t="s">
        <v>160</v>
      </c>
      <c r="M64" s="84">
        <v>4.4999999999999998E-2</v>
      </c>
      <c r="N64" s="84">
        <v>4.0000000000000001E-3</v>
      </c>
      <c r="O64" s="77">
        <v>2283535.8521179999</v>
      </c>
      <c r="P64" s="79">
        <v>124.05</v>
      </c>
      <c r="Q64" s="70"/>
      <c r="R64" s="77">
        <v>2832.7263281149999</v>
      </c>
      <c r="S64" s="78">
        <v>7.7261218707043834E-4</v>
      </c>
      <c r="T64" s="78">
        <f t="shared" si="1"/>
        <v>3.0798311959674984E-2</v>
      </c>
      <c r="U64" s="78">
        <f>R64/'סכום נכסי הקרן'!$C$42</f>
        <v>7.8074978146570721E-4</v>
      </c>
    </row>
    <row r="65" spans="2:21">
      <c r="B65" s="76" t="s">
        <v>419</v>
      </c>
      <c r="C65" s="70" t="s">
        <v>420</v>
      </c>
      <c r="D65" s="83" t="s">
        <v>116</v>
      </c>
      <c r="E65" s="83" t="s">
        <v>287</v>
      </c>
      <c r="F65" s="70" t="s">
        <v>415</v>
      </c>
      <c r="G65" s="83" t="s">
        <v>416</v>
      </c>
      <c r="H65" s="70" t="s">
        <v>388</v>
      </c>
      <c r="I65" s="70" t="s">
        <v>156</v>
      </c>
      <c r="J65" s="70"/>
      <c r="K65" s="77">
        <v>9.3899999999996115</v>
      </c>
      <c r="L65" s="83" t="s">
        <v>160</v>
      </c>
      <c r="M65" s="84">
        <v>2.3900000000000001E-2</v>
      </c>
      <c r="N65" s="84">
        <v>7.199999999998521E-3</v>
      </c>
      <c r="O65" s="77">
        <v>924029.6</v>
      </c>
      <c r="P65" s="79">
        <v>116.99</v>
      </c>
      <c r="Q65" s="70"/>
      <c r="R65" s="77">
        <v>1081.022218778</v>
      </c>
      <c r="S65" s="78">
        <v>4.688910878026255E-4</v>
      </c>
      <c r="T65" s="78">
        <f t="shared" si="1"/>
        <v>1.1753221339747173E-2</v>
      </c>
      <c r="U65" s="78">
        <f>R65/'סכום נכסי הקרן'!$C$42</f>
        <v>2.9794895916829755E-4</v>
      </c>
    </row>
    <row r="66" spans="2:21">
      <c r="B66" s="76" t="s">
        <v>421</v>
      </c>
      <c r="C66" s="70" t="s">
        <v>422</v>
      </c>
      <c r="D66" s="83" t="s">
        <v>116</v>
      </c>
      <c r="E66" s="83" t="s">
        <v>287</v>
      </c>
      <c r="F66" s="70" t="s">
        <v>423</v>
      </c>
      <c r="G66" s="83" t="s">
        <v>352</v>
      </c>
      <c r="H66" s="70" t="s">
        <v>388</v>
      </c>
      <c r="I66" s="70" t="s">
        <v>156</v>
      </c>
      <c r="J66" s="70"/>
      <c r="K66" s="77">
        <v>5.3300000000069208</v>
      </c>
      <c r="L66" s="83" t="s">
        <v>160</v>
      </c>
      <c r="M66" s="84">
        <v>1.5800000000000002E-2</v>
      </c>
      <c r="N66" s="84">
        <v>1.1100000000001302E-2</v>
      </c>
      <c r="O66" s="77">
        <v>295475.56474499998</v>
      </c>
      <c r="P66" s="79">
        <v>103.67</v>
      </c>
      <c r="Q66" s="70"/>
      <c r="R66" s="77">
        <v>306.31951793600001</v>
      </c>
      <c r="S66" s="78">
        <v>5.1611933227164769E-4</v>
      </c>
      <c r="T66" s="78">
        <f t="shared" si="1"/>
        <v>3.3304043454871965E-3</v>
      </c>
      <c r="U66" s="78">
        <f>R66/'סכום נכסי הקרן'!$C$42</f>
        <v>8.4427109782383362E-5</v>
      </c>
    </row>
    <row r="67" spans="2:21">
      <c r="B67" s="76" t="s">
        <v>424</v>
      </c>
      <c r="C67" s="70" t="s">
        <v>425</v>
      </c>
      <c r="D67" s="83" t="s">
        <v>116</v>
      </c>
      <c r="E67" s="83" t="s">
        <v>287</v>
      </c>
      <c r="F67" s="70" t="s">
        <v>423</v>
      </c>
      <c r="G67" s="83" t="s">
        <v>352</v>
      </c>
      <c r="H67" s="70" t="s">
        <v>388</v>
      </c>
      <c r="I67" s="70" t="s">
        <v>156</v>
      </c>
      <c r="J67" s="70"/>
      <c r="K67" s="77">
        <v>7.9400000000048854</v>
      </c>
      <c r="L67" s="83" t="s">
        <v>160</v>
      </c>
      <c r="M67" s="84">
        <v>8.3999999999999995E-3</v>
      </c>
      <c r="N67" s="84">
        <v>1.25000000000197E-2</v>
      </c>
      <c r="O67" s="77">
        <v>264005.91859999998</v>
      </c>
      <c r="P67" s="79">
        <v>96.13</v>
      </c>
      <c r="Q67" s="70"/>
      <c r="R67" s="77">
        <v>253.78888075400002</v>
      </c>
      <c r="S67" s="78">
        <v>1.0560236743999999E-3</v>
      </c>
      <c r="T67" s="78">
        <f t="shared" si="1"/>
        <v>2.7592743583386256E-3</v>
      </c>
      <c r="U67" s="78">
        <f>R67/'סכום נכסי הקרן'!$C$42</f>
        <v>6.9948731446629124E-5</v>
      </c>
    </row>
    <row r="68" spans="2:21">
      <c r="B68" s="76" t="s">
        <v>426</v>
      </c>
      <c r="C68" s="70" t="s">
        <v>427</v>
      </c>
      <c r="D68" s="83" t="s">
        <v>116</v>
      </c>
      <c r="E68" s="83" t="s">
        <v>287</v>
      </c>
      <c r="F68" s="70" t="s">
        <v>428</v>
      </c>
      <c r="G68" s="83" t="s">
        <v>412</v>
      </c>
      <c r="H68" s="70" t="s">
        <v>388</v>
      </c>
      <c r="I68" s="70" t="s">
        <v>156</v>
      </c>
      <c r="J68" s="70"/>
      <c r="K68" s="77">
        <v>0.92000000009748384</v>
      </c>
      <c r="L68" s="83" t="s">
        <v>160</v>
      </c>
      <c r="M68" s="84">
        <v>4.8899999999999999E-2</v>
      </c>
      <c r="N68" s="84">
        <v>7.1999999993501073E-3</v>
      </c>
      <c r="O68" s="77">
        <v>1988.1652770000001</v>
      </c>
      <c r="P68" s="79">
        <v>123.83</v>
      </c>
      <c r="Q68" s="70"/>
      <c r="R68" s="77">
        <v>2.4619449279999999</v>
      </c>
      <c r="S68" s="78">
        <v>1.0678587575561645E-4</v>
      </c>
      <c r="T68" s="78">
        <f t="shared" si="1"/>
        <v>2.6767057293014066E-5</v>
      </c>
      <c r="U68" s="78">
        <f>R68/'סכום נכסי הקרן'!$C$42</f>
        <v>6.7855582992222345E-7</v>
      </c>
    </row>
    <row r="69" spans="2:21">
      <c r="B69" s="76" t="s">
        <v>429</v>
      </c>
      <c r="C69" s="70" t="s">
        <v>430</v>
      </c>
      <c r="D69" s="83" t="s">
        <v>116</v>
      </c>
      <c r="E69" s="83" t="s">
        <v>287</v>
      </c>
      <c r="F69" s="70" t="s">
        <v>310</v>
      </c>
      <c r="G69" s="83" t="s">
        <v>297</v>
      </c>
      <c r="H69" s="70" t="s">
        <v>382</v>
      </c>
      <c r="I69" s="70" t="s">
        <v>291</v>
      </c>
      <c r="J69" s="70"/>
      <c r="K69" s="77">
        <v>3.0000000000020393</v>
      </c>
      <c r="L69" s="83" t="s">
        <v>160</v>
      </c>
      <c r="M69" s="84">
        <v>1.6399999999999998E-2</v>
      </c>
      <c r="N69" s="84">
        <v>2.9600000000009792E-2</v>
      </c>
      <c r="O69" s="77">
        <f>508709.76/50000</f>
        <v>10.1741952</v>
      </c>
      <c r="P69" s="79">
        <v>4820001</v>
      </c>
      <c r="Q69" s="70"/>
      <c r="R69" s="77">
        <v>490.39634126199996</v>
      </c>
      <c r="S69" s="78">
        <f>4143.93743890518%/50000</f>
        <v>8.2878748778103604E-4</v>
      </c>
      <c r="T69" s="78">
        <f t="shared" si="1"/>
        <v>5.3317467883036386E-3</v>
      </c>
      <c r="U69" s="78">
        <f>R69/'סכום נכסי הקרן'!$C$42</f>
        <v>1.351619577478454E-4</v>
      </c>
    </row>
    <row r="70" spans="2:21">
      <c r="B70" s="76" t="s">
        <v>431</v>
      </c>
      <c r="C70" s="70" t="s">
        <v>432</v>
      </c>
      <c r="D70" s="83" t="s">
        <v>116</v>
      </c>
      <c r="E70" s="83" t="s">
        <v>287</v>
      </c>
      <c r="F70" s="70" t="s">
        <v>310</v>
      </c>
      <c r="G70" s="83" t="s">
        <v>297</v>
      </c>
      <c r="H70" s="70" t="s">
        <v>382</v>
      </c>
      <c r="I70" s="70" t="s">
        <v>291</v>
      </c>
      <c r="J70" s="70"/>
      <c r="K70" s="77">
        <v>7.2299999999824429</v>
      </c>
      <c r="L70" s="83" t="s">
        <v>160</v>
      </c>
      <c r="M70" s="84">
        <v>2.7799999999999998E-2</v>
      </c>
      <c r="N70" s="84">
        <v>3.029999999994042E-2</v>
      </c>
      <c r="O70" s="77">
        <f>191958.4485/50000</f>
        <v>3.8391689699999998</v>
      </c>
      <c r="P70" s="79">
        <v>4940000</v>
      </c>
      <c r="Q70" s="70"/>
      <c r="R70" s="77">
        <v>189.65494827099999</v>
      </c>
      <c r="S70" s="78">
        <f>4590.11115494979%/50000</f>
        <v>9.1802223098995796E-4</v>
      </c>
      <c r="T70" s="78">
        <f t="shared" si="1"/>
        <v>2.0619896117649778E-3</v>
      </c>
      <c r="U70" s="78">
        <f>R70/'סכום נכסי הקרן'!$C$42</f>
        <v>5.2272278457272116E-5</v>
      </c>
    </row>
    <row r="71" spans="2:21">
      <c r="B71" s="76" t="s">
        <v>433</v>
      </c>
      <c r="C71" s="70" t="s">
        <v>434</v>
      </c>
      <c r="D71" s="83" t="s">
        <v>116</v>
      </c>
      <c r="E71" s="83" t="s">
        <v>287</v>
      </c>
      <c r="F71" s="70" t="s">
        <v>310</v>
      </c>
      <c r="G71" s="83" t="s">
        <v>297</v>
      </c>
      <c r="H71" s="70" t="s">
        <v>382</v>
      </c>
      <c r="I71" s="70" t="s">
        <v>291</v>
      </c>
      <c r="J71" s="70"/>
      <c r="K71" s="77">
        <v>4.4300000000045427</v>
      </c>
      <c r="L71" s="83" t="s">
        <v>160</v>
      </c>
      <c r="M71" s="84">
        <v>2.4199999999999999E-2</v>
      </c>
      <c r="N71" s="84">
        <v>2.8200000000028643E-2</v>
      </c>
      <c r="O71" s="77">
        <f>409153.67025/50000</f>
        <v>8.183073405</v>
      </c>
      <c r="P71" s="79">
        <v>4949250</v>
      </c>
      <c r="Q71" s="70"/>
      <c r="R71" s="77">
        <v>405.000751912</v>
      </c>
      <c r="S71" s="78">
        <f>1419.53880668216%/50000</f>
        <v>2.8390776133643201E-4</v>
      </c>
      <c r="T71" s="78">
        <f t="shared" si="1"/>
        <v>4.4032984681541508E-3</v>
      </c>
      <c r="U71" s="78">
        <f>R71/'סכום נכסי הקרן'!$C$42</f>
        <v>1.1162541379673448E-4</v>
      </c>
    </row>
    <row r="72" spans="2:21">
      <c r="B72" s="76" t="s">
        <v>435</v>
      </c>
      <c r="C72" s="70" t="s">
        <v>436</v>
      </c>
      <c r="D72" s="83" t="s">
        <v>116</v>
      </c>
      <c r="E72" s="83" t="s">
        <v>287</v>
      </c>
      <c r="F72" s="70" t="s">
        <v>310</v>
      </c>
      <c r="G72" s="83" t="s">
        <v>297</v>
      </c>
      <c r="H72" s="70" t="s">
        <v>382</v>
      </c>
      <c r="I72" s="70" t="s">
        <v>291</v>
      </c>
      <c r="J72" s="70"/>
      <c r="K72" s="77">
        <v>4.0400000000009371</v>
      </c>
      <c r="L72" s="83" t="s">
        <v>160</v>
      </c>
      <c r="M72" s="84">
        <v>1.95E-2</v>
      </c>
      <c r="N72" s="84">
        <v>3.1199999999994645E-2</v>
      </c>
      <c r="O72" s="77">
        <f>623765.60025/50000</f>
        <v>12.475312005000001</v>
      </c>
      <c r="P72" s="79">
        <v>4788222</v>
      </c>
      <c r="Q72" s="70"/>
      <c r="R72" s="77">
        <v>597.34564806100002</v>
      </c>
      <c r="S72" s="78">
        <f>2513.25839175632%/50000</f>
        <v>5.0265167835126406E-4</v>
      </c>
      <c r="T72" s="78">
        <f t="shared" si="1"/>
        <v>6.4945340586356958E-3</v>
      </c>
      <c r="U72" s="78">
        <f>R72/'סכום נכסי הקרן'!$C$42</f>
        <v>1.6463908975402567E-4</v>
      </c>
    </row>
    <row r="73" spans="2:21">
      <c r="B73" s="76" t="s">
        <v>437</v>
      </c>
      <c r="C73" s="70" t="s">
        <v>438</v>
      </c>
      <c r="D73" s="83" t="s">
        <v>116</v>
      </c>
      <c r="E73" s="83" t="s">
        <v>287</v>
      </c>
      <c r="F73" s="70" t="s">
        <v>310</v>
      </c>
      <c r="G73" s="83" t="s">
        <v>297</v>
      </c>
      <c r="H73" s="70" t="s">
        <v>388</v>
      </c>
      <c r="I73" s="70" t="s">
        <v>156</v>
      </c>
      <c r="J73" s="70"/>
      <c r="K73" s="77">
        <v>0.10999999999961775</v>
      </c>
      <c r="L73" s="83" t="s">
        <v>160</v>
      </c>
      <c r="M73" s="84">
        <v>0.05</v>
      </c>
      <c r="N73" s="84">
        <v>3.0799999999998415E-2</v>
      </c>
      <c r="O73" s="77">
        <v>682894.41214499995</v>
      </c>
      <c r="P73" s="79">
        <v>111.1</v>
      </c>
      <c r="Q73" s="70"/>
      <c r="R73" s="77">
        <v>758.69575743900009</v>
      </c>
      <c r="S73" s="78">
        <v>6.8289509504009503E-4</v>
      </c>
      <c r="T73" s="78">
        <f t="shared" si="1"/>
        <v>8.2487843559660729E-3</v>
      </c>
      <c r="U73" s="78">
        <f>R73/'סכום נכסי הקרן'!$C$42</f>
        <v>2.0911005095703369E-4</v>
      </c>
    </row>
    <row r="74" spans="2:21">
      <c r="B74" s="76" t="s">
        <v>439</v>
      </c>
      <c r="C74" s="70" t="s">
        <v>440</v>
      </c>
      <c r="D74" s="83" t="s">
        <v>116</v>
      </c>
      <c r="E74" s="83" t="s">
        <v>287</v>
      </c>
      <c r="F74" s="70" t="s">
        <v>441</v>
      </c>
      <c r="G74" s="83" t="s">
        <v>352</v>
      </c>
      <c r="H74" s="70" t="s">
        <v>382</v>
      </c>
      <c r="I74" s="70" t="s">
        <v>291</v>
      </c>
      <c r="J74" s="70"/>
      <c r="K74" s="77">
        <v>3.3500000000004202</v>
      </c>
      <c r="L74" s="83" t="s">
        <v>160</v>
      </c>
      <c r="M74" s="84">
        <v>2.8500000000000001E-2</v>
      </c>
      <c r="N74" s="84">
        <v>1.3900000000003078E-2</v>
      </c>
      <c r="O74" s="77">
        <v>664652.05237499997</v>
      </c>
      <c r="P74" s="79">
        <v>107.5</v>
      </c>
      <c r="Q74" s="70"/>
      <c r="R74" s="77">
        <v>714.50093380199996</v>
      </c>
      <c r="S74" s="78">
        <v>9.731362406661786E-4</v>
      </c>
      <c r="T74" s="78">
        <f t="shared" si="1"/>
        <v>7.7682840154051505E-3</v>
      </c>
      <c r="U74" s="78">
        <f>R74/'סכום נכסי הקרן'!$C$42</f>
        <v>1.9692917116146788E-4</v>
      </c>
    </row>
    <row r="75" spans="2:21">
      <c r="B75" s="76" t="s">
        <v>442</v>
      </c>
      <c r="C75" s="70" t="s">
        <v>443</v>
      </c>
      <c r="D75" s="83" t="s">
        <v>116</v>
      </c>
      <c r="E75" s="83" t="s">
        <v>287</v>
      </c>
      <c r="F75" s="70" t="s">
        <v>441</v>
      </c>
      <c r="G75" s="83" t="s">
        <v>352</v>
      </c>
      <c r="H75" s="70" t="s">
        <v>382</v>
      </c>
      <c r="I75" s="70" t="s">
        <v>291</v>
      </c>
      <c r="J75" s="70"/>
      <c r="K75" s="77">
        <v>4.8300000000261152</v>
      </c>
      <c r="L75" s="83" t="s">
        <v>160</v>
      </c>
      <c r="M75" s="84">
        <v>2.4E-2</v>
      </c>
      <c r="N75" s="84">
        <v>1.1800000000061968E-2</v>
      </c>
      <c r="O75" s="77">
        <v>63236.916360000003</v>
      </c>
      <c r="P75" s="79">
        <v>107.18</v>
      </c>
      <c r="Q75" s="70"/>
      <c r="R75" s="77">
        <v>67.777325580999999</v>
      </c>
      <c r="S75" s="78">
        <v>1.2877891607952205E-4</v>
      </c>
      <c r="T75" s="78">
        <f t="shared" ref="T75:T106" si="2">R75/$R$11</f>
        <v>7.3689688845626972E-4</v>
      </c>
      <c r="U75" s="78">
        <f>R75/'סכום נכסי הקרן'!$C$42</f>
        <v>1.8680636957580312E-5</v>
      </c>
    </row>
    <row r="76" spans="2:21">
      <c r="B76" s="76" t="s">
        <v>444</v>
      </c>
      <c r="C76" s="70" t="s">
        <v>445</v>
      </c>
      <c r="D76" s="83" t="s">
        <v>116</v>
      </c>
      <c r="E76" s="83" t="s">
        <v>287</v>
      </c>
      <c r="F76" s="70" t="s">
        <v>446</v>
      </c>
      <c r="G76" s="83" t="s">
        <v>352</v>
      </c>
      <c r="H76" s="70" t="s">
        <v>382</v>
      </c>
      <c r="I76" s="70" t="s">
        <v>291</v>
      </c>
      <c r="J76" s="70"/>
      <c r="K76" s="77">
        <v>2.0000000000674135E-2</v>
      </c>
      <c r="L76" s="83" t="s">
        <v>160</v>
      </c>
      <c r="M76" s="84">
        <v>5.0999999999999997E-2</v>
      </c>
      <c r="N76" s="84">
        <v>1.0299999999991387E-2</v>
      </c>
      <c r="O76" s="77">
        <v>234506.55162899999</v>
      </c>
      <c r="P76" s="79">
        <v>113.86</v>
      </c>
      <c r="Q76" s="70"/>
      <c r="R76" s="77">
        <v>267.009171041</v>
      </c>
      <c r="S76" s="78">
        <v>5.2787282459866537E-4</v>
      </c>
      <c r="T76" s="78">
        <f t="shared" si="2"/>
        <v>2.9030096074572466E-3</v>
      </c>
      <c r="U76" s="78">
        <f>R76/'סכום נכסי הקרן'!$C$42</f>
        <v>7.3592478691128006E-5</v>
      </c>
    </row>
    <row r="77" spans="2:21">
      <c r="B77" s="76" t="s">
        <v>447</v>
      </c>
      <c r="C77" s="70" t="s">
        <v>448</v>
      </c>
      <c r="D77" s="83" t="s">
        <v>116</v>
      </c>
      <c r="E77" s="83" t="s">
        <v>287</v>
      </c>
      <c r="F77" s="70" t="s">
        <v>446</v>
      </c>
      <c r="G77" s="83" t="s">
        <v>352</v>
      </c>
      <c r="H77" s="70" t="s">
        <v>382</v>
      </c>
      <c r="I77" s="70" t="s">
        <v>291</v>
      </c>
      <c r="J77" s="70"/>
      <c r="K77" s="77">
        <v>1.4699999999996067</v>
      </c>
      <c r="L77" s="83" t="s">
        <v>160</v>
      </c>
      <c r="M77" s="84">
        <v>2.5499999999999998E-2</v>
      </c>
      <c r="N77" s="84">
        <v>1.8199999999997104E-2</v>
      </c>
      <c r="O77" s="77">
        <v>922812.457727</v>
      </c>
      <c r="P77" s="79">
        <v>102.15</v>
      </c>
      <c r="Q77" s="77">
        <v>22.877253889999999</v>
      </c>
      <c r="R77" s="77">
        <v>965.53017945399995</v>
      </c>
      <c r="S77" s="78">
        <v>8.5705739916158924E-4</v>
      </c>
      <c r="T77" s="78">
        <f t="shared" si="2"/>
        <v>1.0497554733108705E-2</v>
      </c>
      <c r="U77" s="78">
        <f>R77/'סכום נכסי הקרן'!$C$42</f>
        <v>2.661172980691314E-4</v>
      </c>
    </row>
    <row r="78" spans="2:21">
      <c r="B78" s="76" t="s">
        <v>449</v>
      </c>
      <c r="C78" s="70" t="s">
        <v>450</v>
      </c>
      <c r="D78" s="83" t="s">
        <v>116</v>
      </c>
      <c r="E78" s="83" t="s">
        <v>287</v>
      </c>
      <c r="F78" s="70" t="s">
        <v>446</v>
      </c>
      <c r="G78" s="83" t="s">
        <v>352</v>
      </c>
      <c r="H78" s="70" t="s">
        <v>382</v>
      </c>
      <c r="I78" s="70" t="s">
        <v>291</v>
      </c>
      <c r="J78" s="70"/>
      <c r="K78" s="77">
        <v>5.8400000000006704</v>
      </c>
      <c r="L78" s="83" t="s">
        <v>160</v>
      </c>
      <c r="M78" s="84">
        <v>2.35E-2</v>
      </c>
      <c r="N78" s="84">
        <v>1.3399999999999721E-2</v>
      </c>
      <c r="O78" s="77">
        <v>664756.38349100004</v>
      </c>
      <c r="P78" s="79">
        <v>107.81</v>
      </c>
      <c r="Q78" s="70"/>
      <c r="R78" s="77">
        <v>716.67384640299997</v>
      </c>
      <c r="S78" s="78">
        <v>8.4697508094681948E-4</v>
      </c>
      <c r="T78" s="78">
        <f t="shared" si="2"/>
        <v>7.7919086202540211E-3</v>
      </c>
      <c r="U78" s="78">
        <f>R78/'סכום נכסי הקרן'!$C$42</f>
        <v>1.9752806453903737E-4</v>
      </c>
    </row>
    <row r="79" spans="2:21">
      <c r="B79" s="76" t="s">
        <v>451</v>
      </c>
      <c r="C79" s="70" t="s">
        <v>452</v>
      </c>
      <c r="D79" s="83" t="s">
        <v>116</v>
      </c>
      <c r="E79" s="83" t="s">
        <v>287</v>
      </c>
      <c r="F79" s="70" t="s">
        <v>446</v>
      </c>
      <c r="G79" s="83" t="s">
        <v>352</v>
      </c>
      <c r="H79" s="70" t="s">
        <v>382</v>
      </c>
      <c r="I79" s="70" t="s">
        <v>291</v>
      </c>
      <c r="J79" s="70"/>
      <c r="K79" s="77">
        <v>4.599999999998964</v>
      </c>
      <c r="L79" s="83" t="s">
        <v>160</v>
      </c>
      <c r="M79" s="84">
        <v>1.7600000000000001E-2</v>
      </c>
      <c r="N79" s="84">
        <v>1.3299999999994734E-2</v>
      </c>
      <c r="O79" s="77">
        <v>1097503.937375</v>
      </c>
      <c r="P79" s="79">
        <v>103.5</v>
      </c>
      <c r="Q79" s="77">
        <v>22.291777051</v>
      </c>
      <c r="R79" s="77">
        <v>1158.2083522170001</v>
      </c>
      <c r="S79" s="78">
        <v>7.7547570516980913E-4</v>
      </c>
      <c r="T79" s="78">
        <f t="shared" si="2"/>
        <v>1.2592413814156551E-2</v>
      </c>
      <c r="U79" s="78">
        <f>R79/'סכום נכסי הקרן'!$C$42</f>
        <v>3.1922283099155392E-4</v>
      </c>
    </row>
    <row r="80" spans="2:21">
      <c r="B80" s="76" t="s">
        <v>453</v>
      </c>
      <c r="C80" s="70" t="s">
        <v>454</v>
      </c>
      <c r="D80" s="83" t="s">
        <v>116</v>
      </c>
      <c r="E80" s="83" t="s">
        <v>287</v>
      </c>
      <c r="F80" s="70" t="s">
        <v>446</v>
      </c>
      <c r="G80" s="83" t="s">
        <v>352</v>
      </c>
      <c r="H80" s="70" t="s">
        <v>382</v>
      </c>
      <c r="I80" s="70" t="s">
        <v>291</v>
      </c>
      <c r="J80" s="70"/>
      <c r="K80" s="77">
        <v>5.1700000000009467</v>
      </c>
      <c r="L80" s="83" t="s">
        <v>160</v>
      </c>
      <c r="M80" s="84">
        <v>2.1499999999999998E-2</v>
      </c>
      <c r="N80" s="84">
        <v>1.3900000000003156E-2</v>
      </c>
      <c r="O80" s="77">
        <v>925320.38165700005</v>
      </c>
      <c r="P80" s="79">
        <v>106.17</v>
      </c>
      <c r="Q80" s="70"/>
      <c r="R80" s="77">
        <v>982.41263907100006</v>
      </c>
      <c r="S80" s="78">
        <v>7.0824373605011398E-4</v>
      </c>
      <c r="T80" s="78">
        <f t="shared" si="2"/>
        <v>1.0681106265344782E-2</v>
      </c>
      <c r="U80" s="78">
        <f>R80/'סכום נכסי הקרן'!$C$42</f>
        <v>2.7077040434549647E-4</v>
      </c>
    </row>
    <row r="81" spans="2:21">
      <c r="B81" s="76" t="s">
        <v>455</v>
      </c>
      <c r="C81" s="70" t="s">
        <v>456</v>
      </c>
      <c r="D81" s="83" t="s">
        <v>116</v>
      </c>
      <c r="E81" s="83" t="s">
        <v>287</v>
      </c>
      <c r="F81" s="70" t="s">
        <v>446</v>
      </c>
      <c r="G81" s="83" t="s">
        <v>352</v>
      </c>
      <c r="H81" s="70" t="s">
        <v>382</v>
      </c>
      <c r="I81" s="70" t="s">
        <v>291</v>
      </c>
      <c r="J81" s="70"/>
      <c r="K81" s="77">
        <v>7.2000000000014888</v>
      </c>
      <c r="L81" s="83" t="s">
        <v>160</v>
      </c>
      <c r="M81" s="84">
        <v>6.5000000000000006E-3</v>
      </c>
      <c r="N81" s="84">
        <v>1.5100000000000745E-2</v>
      </c>
      <c r="O81" s="77">
        <v>423653.00036399998</v>
      </c>
      <c r="P81" s="79">
        <v>93.74</v>
      </c>
      <c r="Q81" s="77">
        <v>5.193808765</v>
      </c>
      <c r="R81" s="77">
        <v>402.32613504700009</v>
      </c>
      <c r="S81" s="78">
        <v>1.0806371808080809E-3</v>
      </c>
      <c r="T81" s="78">
        <f t="shared" si="2"/>
        <v>4.3742191731430827E-3</v>
      </c>
      <c r="U81" s="78">
        <f>R81/'סכום נכסי הקרן'!$C$42</f>
        <v>1.1088824179669778E-4</v>
      </c>
    </row>
    <row r="82" spans="2:21">
      <c r="B82" s="76" t="s">
        <v>457</v>
      </c>
      <c r="C82" s="70" t="s">
        <v>458</v>
      </c>
      <c r="D82" s="83" t="s">
        <v>116</v>
      </c>
      <c r="E82" s="83" t="s">
        <v>287</v>
      </c>
      <c r="F82" s="70" t="s">
        <v>329</v>
      </c>
      <c r="G82" s="83" t="s">
        <v>297</v>
      </c>
      <c r="H82" s="70" t="s">
        <v>382</v>
      </c>
      <c r="I82" s="70" t="s">
        <v>291</v>
      </c>
      <c r="J82" s="70"/>
      <c r="K82" s="77">
        <v>0.9899999999997986</v>
      </c>
      <c r="L82" s="83" t="s">
        <v>160</v>
      </c>
      <c r="M82" s="84">
        <v>3.8800000000000001E-2</v>
      </c>
      <c r="N82" s="84">
        <v>1.6300000000003444E-2</v>
      </c>
      <c r="O82" s="77">
        <v>886321.68629599991</v>
      </c>
      <c r="P82" s="79">
        <v>113.55</v>
      </c>
      <c r="Q82" s="77">
        <v>532.705762564</v>
      </c>
      <c r="R82" s="77">
        <v>1539.124037369</v>
      </c>
      <c r="S82" s="78">
        <v>1.2942343790574404E-3</v>
      </c>
      <c r="T82" s="78">
        <f t="shared" si="2"/>
        <v>1.6733851688054961E-2</v>
      </c>
      <c r="U82" s="78">
        <f>R82/'סכום נכסי הקרן'!$C$42</f>
        <v>4.2420997182036278E-4</v>
      </c>
    </row>
    <row r="83" spans="2:21">
      <c r="B83" s="76" t="s">
        <v>459</v>
      </c>
      <c r="C83" s="70" t="s">
        <v>460</v>
      </c>
      <c r="D83" s="83" t="s">
        <v>116</v>
      </c>
      <c r="E83" s="83" t="s">
        <v>287</v>
      </c>
      <c r="F83" s="70" t="s">
        <v>461</v>
      </c>
      <c r="G83" s="83" t="s">
        <v>352</v>
      </c>
      <c r="H83" s="70" t="s">
        <v>382</v>
      </c>
      <c r="I83" s="70" t="s">
        <v>291</v>
      </c>
      <c r="J83" s="70"/>
      <c r="K83" s="77">
        <v>6.8099999999992757</v>
      </c>
      <c r="L83" s="83" t="s">
        <v>160</v>
      </c>
      <c r="M83" s="84">
        <v>3.5000000000000003E-2</v>
      </c>
      <c r="N83" s="84">
        <v>1.3099999999992751E-2</v>
      </c>
      <c r="O83" s="77">
        <v>325672.21502599999</v>
      </c>
      <c r="P83" s="79">
        <v>118.6</v>
      </c>
      <c r="Q83" s="70"/>
      <c r="R83" s="77">
        <v>386.247270388</v>
      </c>
      <c r="S83" s="78">
        <v>4.1688055222120795E-4</v>
      </c>
      <c r="T83" s="78">
        <f t="shared" si="2"/>
        <v>4.1994045838160566E-3</v>
      </c>
      <c r="U83" s="78">
        <f>R83/'סכום נכסי הקרן'!$C$42</f>
        <v>1.0645662058989924E-4</v>
      </c>
    </row>
    <row r="84" spans="2:21">
      <c r="B84" s="76" t="s">
        <v>462</v>
      </c>
      <c r="C84" s="70" t="s">
        <v>463</v>
      </c>
      <c r="D84" s="83" t="s">
        <v>116</v>
      </c>
      <c r="E84" s="83" t="s">
        <v>287</v>
      </c>
      <c r="F84" s="70" t="s">
        <v>461</v>
      </c>
      <c r="G84" s="83" t="s">
        <v>352</v>
      </c>
      <c r="H84" s="70" t="s">
        <v>382</v>
      </c>
      <c r="I84" s="70" t="s">
        <v>291</v>
      </c>
      <c r="J84" s="70"/>
      <c r="K84" s="77">
        <v>2.6099999999778505</v>
      </c>
      <c r="L84" s="83" t="s">
        <v>160</v>
      </c>
      <c r="M84" s="84">
        <v>0.04</v>
      </c>
      <c r="N84" s="84">
        <v>9.099999999805191E-3</v>
      </c>
      <c r="O84" s="77">
        <v>34346.921765999999</v>
      </c>
      <c r="P84" s="79">
        <v>109.1</v>
      </c>
      <c r="Q84" s="70"/>
      <c r="R84" s="77">
        <v>37.472492803000002</v>
      </c>
      <c r="S84" s="78">
        <v>1.0887629967911707E-4</v>
      </c>
      <c r="T84" s="78">
        <f t="shared" si="2"/>
        <v>4.0741299708307627E-4</v>
      </c>
      <c r="U84" s="78">
        <f>R84/'סכום נכסי הקרן'!$C$42</f>
        <v>1.0328085800786122E-5</v>
      </c>
    </row>
    <row r="85" spans="2:21">
      <c r="B85" s="76" t="s">
        <v>464</v>
      </c>
      <c r="C85" s="70" t="s">
        <v>465</v>
      </c>
      <c r="D85" s="83" t="s">
        <v>116</v>
      </c>
      <c r="E85" s="83" t="s">
        <v>287</v>
      </c>
      <c r="F85" s="70" t="s">
        <v>461</v>
      </c>
      <c r="G85" s="83" t="s">
        <v>352</v>
      </c>
      <c r="H85" s="70" t="s">
        <v>382</v>
      </c>
      <c r="I85" s="70" t="s">
        <v>291</v>
      </c>
      <c r="J85" s="70"/>
      <c r="K85" s="77">
        <v>5.3699999999998038</v>
      </c>
      <c r="L85" s="83" t="s">
        <v>160</v>
      </c>
      <c r="M85" s="84">
        <v>0.04</v>
      </c>
      <c r="N85" s="84">
        <v>1.2299999999997601E-2</v>
      </c>
      <c r="O85" s="77">
        <v>780344.64303899999</v>
      </c>
      <c r="P85" s="79">
        <v>117.53</v>
      </c>
      <c r="Q85" s="70"/>
      <c r="R85" s="77">
        <v>917.13906911399999</v>
      </c>
      <c r="S85" s="78">
        <v>7.7553479331264044E-4</v>
      </c>
      <c r="T85" s="78">
        <f t="shared" si="2"/>
        <v>9.9714310135194158E-3</v>
      </c>
      <c r="U85" s="78">
        <f>R85/'סכום נכסי הקרן'!$C$42</f>
        <v>2.527798469896341E-4</v>
      </c>
    </row>
    <row r="86" spans="2:21">
      <c r="B86" s="76" t="s">
        <v>466</v>
      </c>
      <c r="C86" s="70" t="s">
        <v>467</v>
      </c>
      <c r="D86" s="83" t="s">
        <v>116</v>
      </c>
      <c r="E86" s="83" t="s">
        <v>287</v>
      </c>
      <c r="F86" s="70" t="s">
        <v>468</v>
      </c>
      <c r="G86" s="83" t="s">
        <v>147</v>
      </c>
      <c r="H86" s="70" t="s">
        <v>382</v>
      </c>
      <c r="I86" s="70" t="s">
        <v>291</v>
      </c>
      <c r="J86" s="70"/>
      <c r="K86" s="77">
        <v>3.9900000000010585</v>
      </c>
      <c r="L86" s="83" t="s">
        <v>160</v>
      </c>
      <c r="M86" s="84">
        <v>4.2999999999999997E-2</v>
      </c>
      <c r="N86" s="84">
        <v>7.5999999999653454E-3</v>
      </c>
      <c r="O86" s="77">
        <v>88221.748271999997</v>
      </c>
      <c r="P86" s="79">
        <v>117.75</v>
      </c>
      <c r="Q86" s="70"/>
      <c r="R86" s="77">
        <v>103.881112511</v>
      </c>
      <c r="S86" s="78">
        <v>9.6119460031491043E-5</v>
      </c>
      <c r="T86" s="78">
        <f t="shared" si="2"/>
        <v>1.1294288749597804E-3</v>
      </c>
      <c r="U86" s="78">
        <f>R86/'סכום נכסי הקרן'!$C$42</f>
        <v>2.8631483065061263E-5</v>
      </c>
    </row>
    <row r="87" spans="2:21">
      <c r="B87" s="76" t="s">
        <v>469</v>
      </c>
      <c r="C87" s="70" t="s">
        <v>470</v>
      </c>
      <c r="D87" s="83" t="s">
        <v>116</v>
      </c>
      <c r="E87" s="83" t="s">
        <v>287</v>
      </c>
      <c r="F87" s="70" t="s">
        <v>471</v>
      </c>
      <c r="G87" s="83" t="s">
        <v>472</v>
      </c>
      <c r="H87" s="70" t="s">
        <v>473</v>
      </c>
      <c r="I87" s="70" t="s">
        <v>291</v>
      </c>
      <c r="J87" s="70"/>
      <c r="K87" s="77">
        <v>7.1400000000000201</v>
      </c>
      <c r="L87" s="83" t="s">
        <v>160</v>
      </c>
      <c r="M87" s="84">
        <v>5.1500000000000004E-2</v>
      </c>
      <c r="N87" s="84">
        <v>2.2100000000000307E-2</v>
      </c>
      <c r="O87" s="77">
        <v>2007040.916836</v>
      </c>
      <c r="P87" s="79">
        <v>147.38</v>
      </c>
      <c r="Q87" s="70"/>
      <c r="R87" s="77">
        <v>2957.9767625710001</v>
      </c>
      <c r="S87" s="78">
        <v>5.2851350347803247E-4</v>
      </c>
      <c r="T87" s="78">
        <f t="shared" si="2"/>
        <v>3.2160074977575712E-2</v>
      </c>
      <c r="U87" s="78">
        <f>R87/'סכום נכסי הקרן'!$C$42</f>
        <v>8.1527102990380806E-4</v>
      </c>
    </row>
    <row r="88" spans="2:21">
      <c r="B88" s="76" t="s">
        <v>474</v>
      </c>
      <c r="C88" s="70" t="s">
        <v>475</v>
      </c>
      <c r="D88" s="83" t="s">
        <v>116</v>
      </c>
      <c r="E88" s="83" t="s">
        <v>287</v>
      </c>
      <c r="F88" s="70" t="s">
        <v>476</v>
      </c>
      <c r="G88" s="83" t="s">
        <v>187</v>
      </c>
      <c r="H88" s="70" t="s">
        <v>477</v>
      </c>
      <c r="I88" s="70" t="s">
        <v>156</v>
      </c>
      <c r="J88" s="70"/>
      <c r="K88" s="77">
        <v>7.4400000000035522</v>
      </c>
      <c r="L88" s="83" t="s">
        <v>160</v>
      </c>
      <c r="M88" s="84">
        <v>1.7000000000000001E-2</v>
      </c>
      <c r="N88" s="84">
        <v>1.2500000000018505E-2</v>
      </c>
      <c r="O88" s="77">
        <v>265043.479452</v>
      </c>
      <c r="P88" s="79">
        <v>101.93</v>
      </c>
      <c r="Q88" s="70"/>
      <c r="R88" s="77">
        <v>270.158824466</v>
      </c>
      <c r="S88" s="78">
        <v>2.0882061663042451E-4</v>
      </c>
      <c r="T88" s="78">
        <f t="shared" si="2"/>
        <v>2.9372536527733219E-3</v>
      </c>
      <c r="U88" s="78">
        <f>R88/'סכום נכסי הקרן'!$C$42</f>
        <v>7.4460579219885341E-5</v>
      </c>
    </row>
    <row r="89" spans="2:21">
      <c r="B89" s="76" t="s">
        <v>478</v>
      </c>
      <c r="C89" s="70" t="s">
        <v>479</v>
      </c>
      <c r="D89" s="83" t="s">
        <v>116</v>
      </c>
      <c r="E89" s="83" t="s">
        <v>287</v>
      </c>
      <c r="F89" s="70" t="s">
        <v>476</v>
      </c>
      <c r="G89" s="83" t="s">
        <v>187</v>
      </c>
      <c r="H89" s="70" t="s">
        <v>477</v>
      </c>
      <c r="I89" s="70" t="s">
        <v>156</v>
      </c>
      <c r="J89" s="70"/>
      <c r="K89" s="77">
        <v>1.4</v>
      </c>
      <c r="L89" s="83" t="s">
        <v>160</v>
      </c>
      <c r="M89" s="84">
        <v>3.7000000000000005E-2</v>
      </c>
      <c r="N89" s="84">
        <v>1.3999999999999999E-2</v>
      </c>
      <c r="O89" s="77">
        <v>673772.21897399996</v>
      </c>
      <c r="P89" s="79">
        <v>107.21</v>
      </c>
      <c r="Q89" s="70"/>
      <c r="R89" s="77">
        <v>722.35121087500011</v>
      </c>
      <c r="S89" s="78">
        <v>4.4918478381872627E-4</v>
      </c>
      <c r="T89" s="78">
        <f t="shared" si="2"/>
        <v>7.8536347532665914E-3</v>
      </c>
      <c r="U89" s="78">
        <f>R89/'סכום נכסי הקרן'!$C$42</f>
        <v>1.9909284721035349E-4</v>
      </c>
    </row>
    <row r="90" spans="2:21">
      <c r="B90" s="76" t="s">
        <v>480</v>
      </c>
      <c r="C90" s="70" t="s">
        <v>481</v>
      </c>
      <c r="D90" s="83" t="s">
        <v>116</v>
      </c>
      <c r="E90" s="83" t="s">
        <v>287</v>
      </c>
      <c r="F90" s="70" t="s">
        <v>476</v>
      </c>
      <c r="G90" s="83" t="s">
        <v>187</v>
      </c>
      <c r="H90" s="70" t="s">
        <v>477</v>
      </c>
      <c r="I90" s="70" t="s">
        <v>156</v>
      </c>
      <c r="J90" s="70"/>
      <c r="K90" s="77">
        <v>4.0500000000005354</v>
      </c>
      <c r="L90" s="83" t="s">
        <v>160</v>
      </c>
      <c r="M90" s="84">
        <v>2.2000000000000002E-2</v>
      </c>
      <c r="N90" s="84">
        <v>9.5999999999957248E-3</v>
      </c>
      <c r="O90" s="77">
        <v>621243.60288400005</v>
      </c>
      <c r="P90" s="79">
        <v>105.38</v>
      </c>
      <c r="Q90" s="70"/>
      <c r="R90" s="77">
        <v>654.66654769299998</v>
      </c>
      <c r="S90" s="78">
        <v>7.0461042524215219E-4</v>
      </c>
      <c r="T90" s="78">
        <f t="shared" si="2"/>
        <v>7.1177453202227996E-3</v>
      </c>
      <c r="U90" s="78">
        <f>R90/'סכום נכסי הקרן'!$C$42</f>
        <v>1.8043774965876918E-4</v>
      </c>
    </row>
    <row r="91" spans="2:21">
      <c r="B91" s="76" t="s">
        <v>482</v>
      </c>
      <c r="C91" s="70" t="s">
        <v>483</v>
      </c>
      <c r="D91" s="83" t="s">
        <v>116</v>
      </c>
      <c r="E91" s="83" t="s">
        <v>287</v>
      </c>
      <c r="F91" s="70" t="s">
        <v>397</v>
      </c>
      <c r="G91" s="83" t="s">
        <v>352</v>
      </c>
      <c r="H91" s="70" t="s">
        <v>477</v>
      </c>
      <c r="I91" s="70" t="s">
        <v>156</v>
      </c>
      <c r="J91" s="70"/>
      <c r="K91" s="77">
        <v>1.4599999999980724</v>
      </c>
      <c r="L91" s="83" t="s">
        <v>160</v>
      </c>
      <c r="M91" s="84">
        <v>2.8500000000000001E-2</v>
      </c>
      <c r="N91" s="84">
        <v>3.0399999999971082E-2</v>
      </c>
      <c r="O91" s="77">
        <v>203708.86171900001</v>
      </c>
      <c r="P91" s="79">
        <v>101.86</v>
      </c>
      <c r="Q91" s="70"/>
      <c r="R91" s="77">
        <v>207.49784113999999</v>
      </c>
      <c r="S91" s="78">
        <v>4.7584174165759288E-4</v>
      </c>
      <c r="T91" s="78">
        <f t="shared" si="2"/>
        <v>2.2559832832991424E-3</v>
      </c>
      <c r="U91" s="78">
        <f>R91/'סכום נכסי הקרן'!$C$42</f>
        <v>5.7190097227805403E-5</v>
      </c>
    </row>
    <row r="92" spans="2:21">
      <c r="B92" s="76" t="s">
        <v>484</v>
      </c>
      <c r="C92" s="70" t="s">
        <v>485</v>
      </c>
      <c r="D92" s="83" t="s">
        <v>116</v>
      </c>
      <c r="E92" s="83" t="s">
        <v>287</v>
      </c>
      <c r="F92" s="70" t="s">
        <v>397</v>
      </c>
      <c r="G92" s="83" t="s">
        <v>352</v>
      </c>
      <c r="H92" s="70" t="s">
        <v>477</v>
      </c>
      <c r="I92" s="70" t="s">
        <v>156</v>
      </c>
      <c r="J92" s="70"/>
      <c r="K92" s="77">
        <v>3.5199999999904286</v>
      </c>
      <c r="L92" s="83" t="s">
        <v>160</v>
      </c>
      <c r="M92" s="84">
        <v>2.5000000000000001E-2</v>
      </c>
      <c r="N92" s="84">
        <v>2.3499999999953475E-2</v>
      </c>
      <c r="O92" s="77">
        <v>148942.100714</v>
      </c>
      <c r="P92" s="79">
        <v>101.01</v>
      </c>
      <c r="Q92" s="70"/>
      <c r="R92" s="77">
        <v>150.446404422</v>
      </c>
      <c r="S92" s="78">
        <v>3.4068253947834842E-4</v>
      </c>
      <c r="T92" s="78">
        <f t="shared" si="2"/>
        <v>1.6357017092023429E-3</v>
      </c>
      <c r="U92" s="78">
        <f>R92/'סכום נכסי הקרן'!$C$42</f>
        <v>4.1465706096974351E-5</v>
      </c>
    </row>
    <row r="93" spans="2:21">
      <c r="B93" s="76" t="s">
        <v>486</v>
      </c>
      <c r="C93" s="70" t="s">
        <v>487</v>
      </c>
      <c r="D93" s="83" t="s">
        <v>116</v>
      </c>
      <c r="E93" s="83" t="s">
        <v>287</v>
      </c>
      <c r="F93" s="70" t="s">
        <v>397</v>
      </c>
      <c r="G93" s="83" t="s">
        <v>352</v>
      </c>
      <c r="H93" s="70" t="s">
        <v>477</v>
      </c>
      <c r="I93" s="70" t="s">
        <v>156</v>
      </c>
      <c r="J93" s="70"/>
      <c r="K93" s="77">
        <v>4.6899999999964397</v>
      </c>
      <c r="L93" s="83" t="s">
        <v>160</v>
      </c>
      <c r="M93" s="84">
        <v>1.34E-2</v>
      </c>
      <c r="N93" s="84">
        <v>1.0300000000003442E-2</v>
      </c>
      <c r="O93" s="77">
        <v>169621.763083</v>
      </c>
      <c r="P93" s="79">
        <v>102.67</v>
      </c>
      <c r="Q93" s="70"/>
      <c r="R93" s="77">
        <v>174.150652898</v>
      </c>
      <c r="S93" s="78">
        <v>4.5780516408519816E-4</v>
      </c>
      <c r="T93" s="78">
        <f t="shared" si="2"/>
        <v>1.8934219245608456E-3</v>
      </c>
      <c r="U93" s="78">
        <f>R93/'סכום נכסי הקרן'!$C$42</f>
        <v>4.7999018769561798E-5</v>
      </c>
    </row>
    <row r="94" spans="2:21">
      <c r="B94" s="76" t="s">
        <v>488</v>
      </c>
      <c r="C94" s="70" t="s">
        <v>489</v>
      </c>
      <c r="D94" s="83" t="s">
        <v>116</v>
      </c>
      <c r="E94" s="83" t="s">
        <v>287</v>
      </c>
      <c r="F94" s="70" t="s">
        <v>397</v>
      </c>
      <c r="G94" s="83" t="s">
        <v>352</v>
      </c>
      <c r="H94" s="70" t="s">
        <v>477</v>
      </c>
      <c r="I94" s="70" t="s">
        <v>156</v>
      </c>
      <c r="J94" s="70"/>
      <c r="K94" s="77">
        <v>4.5299999999944758</v>
      </c>
      <c r="L94" s="83" t="s">
        <v>160</v>
      </c>
      <c r="M94" s="84">
        <v>1.95E-2</v>
      </c>
      <c r="N94" s="84">
        <v>2.4199999999976813E-2</v>
      </c>
      <c r="O94" s="77">
        <v>296787.53053599998</v>
      </c>
      <c r="P94" s="79">
        <v>98.81</v>
      </c>
      <c r="Q94" s="70"/>
      <c r="R94" s="77">
        <v>293.25575635400003</v>
      </c>
      <c r="S94" s="78">
        <v>4.5349898416237994E-4</v>
      </c>
      <c r="T94" s="78">
        <f t="shared" si="2"/>
        <v>3.1883709268064071E-3</v>
      </c>
      <c r="U94" s="78">
        <f>R94/'סכום נכסי הקרן'!$C$42</f>
        <v>8.0826504634249008E-5</v>
      </c>
    </row>
    <row r="95" spans="2:21">
      <c r="B95" s="76" t="s">
        <v>490</v>
      </c>
      <c r="C95" s="70" t="s">
        <v>491</v>
      </c>
      <c r="D95" s="83" t="s">
        <v>116</v>
      </c>
      <c r="E95" s="83" t="s">
        <v>287</v>
      </c>
      <c r="F95" s="70" t="s">
        <v>397</v>
      </c>
      <c r="G95" s="83" t="s">
        <v>352</v>
      </c>
      <c r="H95" s="70" t="s">
        <v>477</v>
      </c>
      <c r="I95" s="70" t="s">
        <v>156</v>
      </c>
      <c r="J95" s="70"/>
      <c r="K95" s="77">
        <v>7.2399999999902835</v>
      </c>
      <c r="L95" s="83" t="s">
        <v>160</v>
      </c>
      <c r="M95" s="84">
        <v>1.1699999999999999E-2</v>
      </c>
      <c r="N95" s="84">
        <v>2.9299999999927131E-2</v>
      </c>
      <c r="O95" s="77">
        <v>32741.376267</v>
      </c>
      <c r="P95" s="79">
        <v>88.02</v>
      </c>
      <c r="Q95" s="70"/>
      <c r="R95" s="77">
        <v>28.818959596999999</v>
      </c>
      <c r="S95" s="78">
        <v>5.4568960444999997E-5</v>
      </c>
      <c r="T95" s="78">
        <f t="shared" si="2"/>
        <v>3.1332900012699091E-4</v>
      </c>
      <c r="U95" s="78">
        <f>R95/'סכום נכסי הקרן'!$C$42</f>
        <v>7.9430180685330759E-6</v>
      </c>
    </row>
    <row r="96" spans="2:21">
      <c r="B96" s="76" t="s">
        <v>492</v>
      </c>
      <c r="C96" s="70" t="s">
        <v>493</v>
      </c>
      <c r="D96" s="83" t="s">
        <v>116</v>
      </c>
      <c r="E96" s="83" t="s">
        <v>287</v>
      </c>
      <c r="F96" s="70" t="s">
        <v>397</v>
      </c>
      <c r="G96" s="83" t="s">
        <v>352</v>
      </c>
      <c r="H96" s="70" t="s">
        <v>477</v>
      </c>
      <c r="I96" s="70" t="s">
        <v>156</v>
      </c>
      <c r="J96" s="70"/>
      <c r="K96" s="77">
        <v>5.6399999999982207</v>
      </c>
      <c r="L96" s="83" t="s">
        <v>160</v>
      </c>
      <c r="M96" s="84">
        <v>3.3500000000000002E-2</v>
      </c>
      <c r="N96" s="84">
        <v>2.8800000000003333E-2</v>
      </c>
      <c r="O96" s="77">
        <v>347475.69130100007</v>
      </c>
      <c r="P96" s="79">
        <v>103.51</v>
      </c>
      <c r="Q96" s="70"/>
      <c r="R96" s="77">
        <v>359.672103526</v>
      </c>
      <c r="S96" s="78">
        <v>7.3096737309981483E-4</v>
      </c>
      <c r="T96" s="78">
        <f t="shared" si="2"/>
        <v>3.9104708201577326E-3</v>
      </c>
      <c r="U96" s="78">
        <f>R96/'סכום נכסי הקרן'!$C$42</f>
        <v>9.9132031725104774E-5</v>
      </c>
    </row>
    <row r="97" spans="2:21">
      <c r="B97" s="76" t="s">
        <v>494</v>
      </c>
      <c r="C97" s="70" t="s">
        <v>495</v>
      </c>
      <c r="D97" s="83" t="s">
        <v>116</v>
      </c>
      <c r="E97" s="83" t="s">
        <v>287</v>
      </c>
      <c r="F97" s="70" t="s">
        <v>304</v>
      </c>
      <c r="G97" s="83" t="s">
        <v>297</v>
      </c>
      <c r="H97" s="70" t="s">
        <v>477</v>
      </c>
      <c r="I97" s="70" t="s">
        <v>156</v>
      </c>
      <c r="J97" s="70"/>
      <c r="K97" s="77">
        <v>0.99000000000122157</v>
      </c>
      <c r="L97" s="83" t="s">
        <v>160</v>
      </c>
      <c r="M97" s="84">
        <v>2.7999999999999997E-2</v>
      </c>
      <c r="N97" s="84">
        <v>2.6600000000008145E-2</v>
      </c>
      <c r="O97" s="77">
        <f>654168.957/50000</f>
        <v>13.083379140000002</v>
      </c>
      <c r="P97" s="79">
        <v>5068334</v>
      </c>
      <c r="Q97" s="70"/>
      <c r="R97" s="77">
        <v>663.10933168099996</v>
      </c>
      <c r="S97" s="78">
        <f>3698.58628936507%/50000</f>
        <v>7.3971725787301405E-4</v>
      </c>
      <c r="T97" s="78">
        <f t="shared" si="2"/>
        <v>7.2095379838803585E-3</v>
      </c>
      <c r="U97" s="78">
        <f>R97/'סכום נכסי הקרן'!$C$42</f>
        <v>1.8276473115647689E-4</v>
      </c>
    </row>
    <row r="98" spans="2:21">
      <c r="B98" s="76" t="s">
        <v>496</v>
      </c>
      <c r="C98" s="70" t="s">
        <v>497</v>
      </c>
      <c r="D98" s="83" t="s">
        <v>116</v>
      </c>
      <c r="E98" s="83" t="s">
        <v>287</v>
      </c>
      <c r="F98" s="70" t="s">
        <v>304</v>
      </c>
      <c r="G98" s="83" t="s">
        <v>297</v>
      </c>
      <c r="H98" s="70" t="s">
        <v>477</v>
      </c>
      <c r="I98" s="70" t="s">
        <v>156</v>
      </c>
      <c r="J98" s="70"/>
      <c r="K98" s="77">
        <v>2.2099999999852957</v>
      </c>
      <c r="L98" s="83" t="s">
        <v>160</v>
      </c>
      <c r="M98" s="84">
        <v>1.49E-2</v>
      </c>
      <c r="N98" s="84">
        <v>2.6799999999671986E-2</v>
      </c>
      <c r="O98" s="77">
        <f>35569.94025/50000</f>
        <v>0.71139880499999997</v>
      </c>
      <c r="P98" s="79">
        <v>4971070</v>
      </c>
      <c r="Q98" s="70"/>
      <c r="R98" s="77">
        <v>35.364133211999999</v>
      </c>
      <c r="S98" s="78">
        <f>588.127318948413%/50000</f>
        <v>1.176254637896826E-4</v>
      </c>
      <c r="T98" s="78">
        <f t="shared" si="2"/>
        <v>3.8449023332636694E-4</v>
      </c>
      <c r="U98" s="78">
        <f>R98/'סכום נכסי הקרן'!$C$42</f>
        <v>9.7469843814267183E-6</v>
      </c>
    </row>
    <row r="99" spans="2:21">
      <c r="B99" s="76" t="s">
        <v>498</v>
      </c>
      <c r="C99" s="70" t="s">
        <v>499</v>
      </c>
      <c r="D99" s="83" t="s">
        <v>116</v>
      </c>
      <c r="E99" s="83" t="s">
        <v>287</v>
      </c>
      <c r="F99" s="70" t="s">
        <v>304</v>
      </c>
      <c r="G99" s="83" t="s">
        <v>297</v>
      </c>
      <c r="H99" s="70" t="s">
        <v>477</v>
      </c>
      <c r="I99" s="70" t="s">
        <v>156</v>
      </c>
      <c r="J99" s="70"/>
      <c r="K99" s="77">
        <v>3.8200000000044079</v>
      </c>
      <c r="L99" s="83" t="s">
        <v>160</v>
      </c>
      <c r="M99" s="84">
        <v>2.2000000000000002E-2</v>
      </c>
      <c r="N99" s="84">
        <v>1.8200000000044084E-2</v>
      </c>
      <c r="O99" s="77">
        <f>149036.0625/50000</f>
        <v>2.9807212500000002</v>
      </c>
      <c r="P99" s="79">
        <v>5175000</v>
      </c>
      <c r="Q99" s="70"/>
      <c r="R99" s="77">
        <v>154.252314076</v>
      </c>
      <c r="S99" s="78">
        <f>2960.5892431466%/50000</f>
        <v>5.9211784862932E-4</v>
      </c>
      <c r="T99" s="78">
        <f t="shared" si="2"/>
        <v>1.6770807833652291E-3</v>
      </c>
      <c r="U99" s="78">
        <f>R99/'סכום נכסי הקרן'!$C$42</f>
        <v>4.2514682519845403E-5</v>
      </c>
    </row>
    <row r="100" spans="2:21">
      <c r="B100" s="76" t="s">
        <v>500</v>
      </c>
      <c r="C100" s="70" t="s">
        <v>501</v>
      </c>
      <c r="D100" s="83" t="s">
        <v>116</v>
      </c>
      <c r="E100" s="83" t="s">
        <v>287</v>
      </c>
      <c r="F100" s="70" t="s">
        <v>304</v>
      </c>
      <c r="G100" s="83" t="s">
        <v>297</v>
      </c>
      <c r="H100" s="70" t="s">
        <v>477</v>
      </c>
      <c r="I100" s="70" t="s">
        <v>156</v>
      </c>
      <c r="J100" s="70"/>
      <c r="K100" s="77">
        <v>5.6499999999743347</v>
      </c>
      <c r="L100" s="83" t="s">
        <v>160</v>
      </c>
      <c r="M100" s="84">
        <v>2.3199999999999998E-2</v>
      </c>
      <c r="N100" s="84">
        <v>2.5599999999750676E-2</v>
      </c>
      <c r="O100" s="77">
        <f>27621.35025/50000</f>
        <v>0.55242700499999997</v>
      </c>
      <c r="P100" s="79">
        <v>4937000</v>
      </c>
      <c r="Q100" s="70"/>
      <c r="R100" s="77">
        <v>27.273321077999999</v>
      </c>
      <c r="S100" s="78">
        <f>460.3558375%/50000</f>
        <v>9.2071167500000015E-5</v>
      </c>
      <c r="T100" s="78">
        <f t="shared" si="2"/>
        <v>2.9652432089886054E-4</v>
      </c>
      <c r="U100" s="78">
        <f>R100/'סכום נכסי הקרן'!$C$42</f>
        <v>7.5170125896567411E-6</v>
      </c>
    </row>
    <row r="101" spans="2:21">
      <c r="B101" s="76" t="s">
        <v>502</v>
      </c>
      <c r="C101" s="70" t="s">
        <v>503</v>
      </c>
      <c r="D101" s="83" t="s">
        <v>116</v>
      </c>
      <c r="E101" s="83" t="s">
        <v>287</v>
      </c>
      <c r="F101" s="70" t="s">
        <v>504</v>
      </c>
      <c r="G101" s="83" t="s">
        <v>505</v>
      </c>
      <c r="H101" s="70" t="s">
        <v>477</v>
      </c>
      <c r="I101" s="70" t="s">
        <v>156</v>
      </c>
      <c r="J101" s="70"/>
      <c r="K101" s="77">
        <v>4.9200000000072519</v>
      </c>
      <c r="L101" s="83" t="s">
        <v>160</v>
      </c>
      <c r="M101" s="84">
        <v>0.04</v>
      </c>
      <c r="N101" s="84">
        <v>7.0600000000117541E-2</v>
      </c>
      <c r="O101" s="77">
        <v>184923.920357</v>
      </c>
      <c r="P101" s="79">
        <v>86.5</v>
      </c>
      <c r="Q101" s="70"/>
      <c r="R101" s="77">
        <v>159.95919315199998</v>
      </c>
      <c r="S101" s="78">
        <v>6.2530000684640305E-5</v>
      </c>
      <c r="T101" s="78">
        <f t="shared" si="2"/>
        <v>1.7391278086476706E-3</v>
      </c>
      <c r="U101" s="78">
        <f>R101/'סכום נכסי הקרן'!$C$42</f>
        <v>4.408759994120575E-5</v>
      </c>
    </row>
    <row r="102" spans="2:21">
      <c r="B102" s="76" t="s">
        <v>506</v>
      </c>
      <c r="C102" s="70" t="s">
        <v>507</v>
      </c>
      <c r="D102" s="83" t="s">
        <v>116</v>
      </c>
      <c r="E102" s="83" t="s">
        <v>287</v>
      </c>
      <c r="F102" s="70" t="s">
        <v>504</v>
      </c>
      <c r="G102" s="83" t="s">
        <v>505</v>
      </c>
      <c r="H102" s="70" t="s">
        <v>477</v>
      </c>
      <c r="I102" s="70" t="s">
        <v>156</v>
      </c>
      <c r="J102" s="70"/>
      <c r="K102" s="77">
        <v>5.0499999999944665</v>
      </c>
      <c r="L102" s="83" t="s">
        <v>160</v>
      </c>
      <c r="M102" s="84">
        <v>2.7799999999999998E-2</v>
      </c>
      <c r="N102" s="84">
        <v>6.3399999999924114E-2</v>
      </c>
      <c r="O102" s="77">
        <v>446516.16702300007</v>
      </c>
      <c r="P102" s="79">
        <v>85</v>
      </c>
      <c r="Q102" s="70"/>
      <c r="R102" s="77">
        <v>379.53873988200002</v>
      </c>
      <c r="S102" s="78">
        <v>2.4791165837899967E-4</v>
      </c>
      <c r="T102" s="78">
        <f t="shared" si="2"/>
        <v>4.1264672819439517E-3</v>
      </c>
      <c r="U102" s="78">
        <f>R102/'סכום נכסי הקרן'!$C$42</f>
        <v>1.0460763021107896E-4</v>
      </c>
    </row>
    <row r="103" spans="2:21">
      <c r="B103" s="76" t="s">
        <v>508</v>
      </c>
      <c r="C103" s="70" t="s">
        <v>509</v>
      </c>
      <c r="D103" s="83" t="s">
        <v>116</v>
      </c>
      <c r="E103" s="83" t="s">
        <v>287</v>
      </c>
      <c r="F103" s="70" t="s">
        <v>348</v>
      </c>
      <c r="G103" s="83" t="s">
        <v>297</v>
      </c>
      <c r="H103" s="70" t="s">
        <v>477</v>
      </c>
      <c r="I103" s="70" t="s">
        <v>156</v>
      </c>
      <c r="J103" s="70"/>
      <c r="K103" s="77">
        <v>5.1100000000005341</v>
      </c>
      <c r="L103" s="83" t="s">
        <v>160</v>
      </c>
      <c r="M103" s="84">
        <v>1.46E-2</v>
      </c>
      <c r="N103" s="84">
        <v>2.8400000000008009E-2</v>
      </c>
      <c r="O103" s="77">
        <f>800224.29825/50000</f>
        <v>16.004485965000001</v>
      </c>
      <c r="P103" s="79">
        <v>4679900</v>
      </c>
      <c r="Q103" s="70"/>
      <c r="R103" s="77">
        <v>748.99397515999999</v>
      </c>
      <c r="S103" s="78">
        <f>3004.63446945519%/50000</f>
        <v>6.0092689389103801E-4</v>
      </c>
      <c r="T103" s="78">
        <f t="shared" si="2"/>
        <v>8.1433034578546337E-3</v>
      </c>
      <c r="U103" s="78">
        <f>R103/'סכום נכסי הקרן'!$C$42</f>
        <v>2.0643606712775298E-4</v>
      </c>
    </row>
    <row r="104" spans="2:21">
      <c r="B104" s="76" t="s">
        <v>510</v>
      </c>
      <c r="C104" s="70" t="s">
        <v>511</v>
      </c>
      <c r="D104" s="83" t="s">
        <v>116</v>
      </c>
      <c r="E104" s="83" t="s">
        <v>287</v>
      </c>
      <c r="F104" s="70" t="s">
        <v>348</v>
      </c>
      <c r="G104" s="83" t="s">
        <v>297</v>
      </c>
      <c r="H104" s="70" t="s">
        <v>477</v>
      </c>
      <c r="I104" s="70" t="s">
        <v>156</v>
      </c>
      <c r="J104" s="70"/>
      <c r="K104" s="77">
        <v>5.6499999999982711</v>
      </c>
      <c r="L104" s="83" t="s">
        <v>160</v>
      </c>
      <c r="M104" s="84">
        <v>2.4199999999999999E-2</v>
      </c>
      <c r="N104" s="84">
        <v>2.9899999999979249E-2</v>
      </c>
      <c r="O104" s="77">
        <f>596144.25/50000</f>
        <v>11.922885000000001</v>
      </c>
      <c r="P104" s="79">
        <v>4849094</v>
      </c>
      <c r="Q104" s="70"/>
      <c r="R104" s="77">
        <v>578.15190767999991</v>
      </c>
      <c r="S104" s="78">
        <f>6768.21355585831%/50000</f>
        <v>1.3536427111716619E-3</v>
      </c>
      <c r="T104" s="78">
        <f t="shared" si="2"/>
        <v>6.2858535383679944E-3</v>
      </c>
      <c r="U104" s="78">
        <f>R104/'סכום נכסי הקרן'!$C$42</f>
        <v>1.5934895337224987E-4</v>
      </c>
    </row>
    <row r="105" spans="2:21">
      <c r="B105" s="76" t="s">
        <v>512</v>
      </c>
      <c r="C105" s="70" t="s">
        <v>513</v>
      </c>
      <c r="D105" s="83" t="s">
        <v>116</v>
      </c>
      <c r="E105" s="83" t="s">
        <v>287</v>
      </c>
      <c r="F105" s="70" t="s">
        <v>411</v>
      </c>
      <c r="G105" s="83" t="s">
        <v>412</v>
      </c>
      <c r="H105" s="70" t="s">
        <v>473</v>
      </c>
      <c r="I105" s="70" t="s">
        <v>291</v>
      </c>
      <c r="J105" s="70"/>
      <c r="K105" s="77">
        <v>2.7799999999993075</v>
      </c>
      <c r="L105" s="83" t="s">
        <v>160</v>
      </c>
      <c r="M105" s="84">
        <v>3.85E-2</v>
      </c>
      <c r="N105" s="84">
        <v>6.8000000000161672E-3</v>
      </c>
      <c r="O105" s="77">
        <v>153353.307363</v>
      </c>
      <c r="P105" s="79">
        <v>112.93</v>
      </c>
      <c r="Q105" s="70"/>
      <c r="R105" s="77">
        <v>173.18188840400001</v>
      </c>
      <c r="S105" s="78">
        <v>6.4018077531629713E-4</v>
      </c>
      <c r="T105" s="78">
        <f t="shared" si="2"/>
        <v>1.8828892053194769E-3</v>
      </c>
      <c r="U105" s="78">
        <f>R105/'סכום נכסי הקרן'!$C$42</f>
        <v>4.7732010036852503E-5</v>
      </c>
    </row>
    <row r="106" spans="2:21">
      <c r="B106" s="76" t="s">
        <v>514</v>
      </c>
      <c r="C106" s="70" t="s">
        <v>515</v>
      </c>
      <c r="D106" s="83" t="s">
        <v>116</v>
      </c>
      <c r="E106" s="83" t="s">
        <v>287</v>
      </c>
      <c r="F106" s="70" t="s">
        <v>411</v>
      </c>
      <c r="G106" s="83" t="s">
        <v>412</v>
      </c>
      <c r="H106" s="70" t="s">
        <v>473</v>
      </c>
      <c r="I106" s="70" t="s">
        <v>291</v>
      </c>
      <c r="J106" s="70"/>
      <c r="K106" s="77">
        <v>0.91000000000163583</v>
      </c>
      <c r="L106" s="83" t="s">
        <v>160</v>
      </c>
      <c r="M106" s="84">
        <v>3.9E-2</v>
      </c>
      <c r="N106" s="84">
        <v>1.4999999999999999E-2</v>
      </c>
      <c r="O106" s="77">
        <v>165334.767291</v>
      </c>
      <c r="P106" s="79">
        <v>110.92</v>
      </c>
      <c r="Q106" s="70"/>
      <c r="R106" s="77">
        <v>183.38932727</v>
      </c>
      <c r="S106" s="78">
        <v>4.1433910092786926E-4</v>
      </c>
      <c r="T106" s="78">
        <f t="shared" si="2"/>
        <v>1.9938677645202781E-3</v>
      </c>
      <c r="U106" s="78">
        <f>R106/'סכום נכסי הקרן'!$C$42</f>
        <v>5.0545361819146711E-5</v>
      </c>
    </row>
    <row r="107" spans="2:21">
      <c r="B107" s="76" t="s">
        <v>516</v>
      </c>
      <c r="C107" s="70" t="s">
        <v>517</v>
      </c>
      <c r="D107" s="83" t="s">
        <v>116</v>
      </c>
      <c r="E107" s="83" t="s">
        <v>287</v>
      </c>
      <c r="F107" s="70" t="s">
        <v>411</v>
      </c>
      <c r="G107" s="83" t="s">
        <v>412</v>
      </c>
      <c r="H107" s="70" t="s">
        <v>473</v>
      </c>
      <c r="I107" s="70" t="s">
        <v>291</v>
      </c>
      <c r="J107" s="70"/>
      <c r="K107" s="77">
        <v>3.6799999999955708</v>
      </c>
      <c r="L107" s="83" t="s">
        <v>160</v>
      </c>
      <c r="M107" s="84">
        <v>3.85E-2</v>
      </c>
      <c r="N107" s="84">
        <v>1.0999999999960914E-2</v>
      </c>
      <c r="O107" s="77">
        <v>134247.536127</v>
      </c>
      <c r="P107" s="79">
        <v>114.35</v>
      </c>
      <c r="Q107" s="70"/>
      <c r="R107" s="77">
        <v>153.51205702600001</v>
      </c>
      <c r="S107" s="78">
        <v>5.3699014450799996E-4</v>
      </c>
      <c r="T107" s="78">
        <f t="shared" ref="T107:T138" si="3">R107/$R$11</f>
        <v>1.6690324705684826E-3</v>
      </c>
      <c r="U107" s="78">
        <f>R107/'סכום נכסי הקרן'!$C$42</f>
        <v>4.23106545047563E-5</v>
      </c>
    </row>
    <row r="108" spans="2:21">
      <c r="B108" s="76" t="s">
        <v>518</v>
      </c>
      <c r="C108" s="70" t="s">
        <v>519</v>
      </c>
      <c r="D108" s="83" t="s">
        <v>116</v>
      </c>
      <c r="E108" s="83" t="s">
        <v>287</v>
      </c>
      <c r="F108" s="70" t="s">
        <v>520</v>
      </c>
      <c r="G108" s="83" t="s">
        <v>297</v>
      </c>
      <c r="H108" s="70" t="s">
        <v>477</v>
      </c>
      <c r="I108" s="70" t="s">
        <v>156</v>
      </c>
      <c r="J108" s="70"/>
      <c r="K108" s="77">
        <v>1</v>
      </c>
      <c r="L108" s="83" t="s">
        <v>160</v>
      </c>
      <c r="M108" s="84">
        <v>0.02</v>
      </c>
      <c r="N108" s="84">
        <v>1.900000000001625E-2</v>
      </c>
      <c r="O108" s="77">
        <v>119748.87728</v>
      </c>
      <c r="P108" s="79">
        <v>102.8</v>
      </c>
      <c r="Q108" s="70"/>
      <c r="R108" s="77">
        <v>123.10184149199999</v>
      </c>
      <c r="S108" s="78">
        <v>4.2092354930282455E-4</v>
      </c>
      <c r="T108" s="78">
        <f t="shared" si="3"/>
        <v>1.3384028239692208E-3</v>
      </c>
      <c r="U108" s="78">
        <f>R108/'סכום נכסי הקרן'!$C$42</f>
        <v>3.3929057985231281E-5</v>
      </c>
    </row>
    <row r="109" spans="2:21">
      <c r="B109" s="76" t="s">
        <v>521</v>
      </c>
      <c r="C109" s="70" t="s">
        <v>522</v>
      </c>
      <c r="D109" s="83" t="s">
        <v>116</v>
      </c>
      <c r="E109" s="83" t="s">
        <v>287</v>
      </c>
      <c r="F109" s="70" t="s">
        <v>423</v>
      </c>
      <c r="G109" s="83" t="s">
        <v>352</v>
      </c>
      <c r="H109" s="70" t="s">
        <v>477</v>
      </c>
      <c r="I109" s="70" t="s">
        <v>156</v>
      </c>
      <c r="J109" s="70"/>
      <c r="K109" s="77">
        <v>6.2599999999955429</v>
      </c>
      <c r="L109" s="83" t="s">
        <v>160</v>
      </c>
      <c r="M109" s="84">
        <v>2.4E-2</v>
      </c>
      <c r="N109" s="84">
        <v>1.8499999999979037E-2</v>
      </c>
      <c r="O109" s="77">
        <v>430124.33917999995</v>
      </c>
      <c r="P109" s="79">
        <v>105.35</v>
      </c>
      <c r="Q109" s="70"/>
      <c r="R109" s="77">
        <v>453.135978427</v>
      </c>
      <c r="S109" s="78">
        <v>8.2618406188700809E-4</v>
      </c>
      <c r="T109" s="78">
        <f t="shared" si="3"/>
        <v>4.9266401364772916E-3</v>
      </c>
      <c r="U109" s="78">
        <f>R109/'סכום נכסי הקרן'!$C$42</f>
        <v>1.2489233874087363E-4</v>
      </c>
    </row>
    <row r="110" spans="2:21">
      <c r="B110" s="76" t="s">
        <v>523</v>
      </c>
      <c r="C110" s="70" t="s">
        <v>524</v>
      </c>
      <c r="D110" s="83" t="s">
        <v>116</v>
      </c>
      <c r="E110" s="83" t="s">
        <v>287</v>
      </c>
      <c r="F110" s="70" t="s">
        <v>423</v>
      </c>
      <c r="G110" s="83" t="s">
        <v>352</v>
      </c>
      <c r="H110" s="70" t="s">
        <v>477</v>
      </c>
      <c r="I110" s="70" t="s">
        <v>156</v>
      </c>
      <c r="J110" s="70"/>
      <c r="K110" s="77">
        <v>2.2100000000542601</v>
      </c>
      <c r="L110" s="83" t="s">
        <v>160</v>
      </c>
      <c r="M110" s="84">
        <v>3.4799999999999998E-2</v>
      </c>
      <c r="N110" s="84">
        <v>1.7600000000100945E-2</v>
      </c>
      <c r="O110" s="77">
        <v>7679.0917939999999</v>
      </c>
      <c r="P110" s="79">
        <v>103.2</v>
      </c>
      <c r="Q110" s="70"/>
      <c r="R110" s="77">
        <v>7.9248227169999996</v>
      </c>
      <c r="S110" s="78">
        <v>1.8764121962529616E-5</v>
      </c>
      <c r="T110" s="78">
        <f t="shared" si="3"/>
        <v>8.6161222085191333E-5</v>
      </c>
      <c r="U110" s="78">
        <f>R110/'סכום נכסי הקרן'!$C$42</f>
        <v>2.1842221548346611E-6</v>
      </c>
    </row>
    <row r="111" spans="2:21">
      <c r="B111" s="76" t="s">
        <v>525</v>
      </c>
      <c r="C111" s="70" t="s">
        <v>526</v>
      </c>
      <c r="D111" s="83" t="s">
        <v>116</v>
      </c>
      <c r="E111" s="83" t="s">
        <v>287</v>
      </c>
      <c r="F111" s="70" t="s">
        <v>428</v>
      </c>
      <c r="G111" s="83" t="s">
        <v>412</v>
      </c>
      <c r="H111" s="70" t="s">
        <v>477</v>
      </c>
      <c r="I111" s="70" t="s">
        <v>156</v>
      </c>
      <c r="J111" s="70"/>
      <c r="K111" s="77">
        <v>4.7699999999991123</v>
      </c>
      <c r="L111" s="83" t="s">
        <v>160</v>
      </c>
      <c r="M111" s="84">
        <v>2.4799999999999999E-2</v>
      </c>
      <c r="N111" s="84">
        <v>1.6900000000026626E-2</v>
      </c>
      <c r="O111" s="77">
        <v>203905.29641800001</v>
      </c>
      <c r="P111" s="79">
        <v>105</v>
      </c>
      <c r="Q111" s="70"/>
      <c r="R111" s="77">
        <v>214.100567947</v>
      </c>
      <c r="S111" s="78">
        <v>4.8149217405805928E-4</v>
      </c>
      <c r="T111" s="78">
        <f t="shared" si="3"/>
        <v>2.3277702533174619E-3</v>
      </c>
      <c r="U111" s="78">
        <f>R111/'סכום נכסי הקרן'!$C$42</f>
        <v>5.9009926224513818E-5</v>
      </c>
    </row>
    <row r="112" spans="2:21">
      <c r="B112" s="76" t="s">
        <v>527</v>
      </c>
      <c r="C112" s="70" t="s">
        <v>528</v>
      </c>
      <c r="D112" s="83" t="s">
        <v>116</v>
      </c>
      <c r="E112" s="83" t="s">
        <v>287</v>
      </c>
      <c r="F112" s="70" t="s">
        <v>441</v>
      </c>
      <c r="G112" s="83" t="s">
        <v>352</v>
      </c>
      <c r="H112" s="70" t="s">
        <v>473</v>
      </c>
      <c r="I112" s="70" t="s">
        <v>291</v>
      </c>
      <c r="J112" s="70"/>
      <c r="K112" s="77">
        <v>6.0100000000453218</v>
      </c>
      <c r="L112" s="83" t="s">
        <v>160</v>
      </c>
      <c r="M112" s="84">
        <v>2.81E-2</v>
      </c>
      <c r="N112" s="84">
        <v>1.990000000007686E-2</v>
      </c>
      <c r="O112" s="77">
        <v>35534.275501999997</v>
      </c>
      <c r="P112" s="79">
        <v>106.18</v>
      </c>
      <c r="Q112" s="70"/>
      <c r="R112" s="77">
        <v>37.730293728999996</v>
      </c>
      <c r="S112" s="78">
        <v>7.1447946746016011E-5</v>
      </c>
      <c r="T112" s="78">
        <f t="shared" si="3"/>
        <v>4.1021589168805007E-4</v>
      </c>
      <c r="U112" s="78">
        <f>R112/'סכום נכסי הקרן'!$C$42</f>
        <v>1.0399140323292745E-5</v>
      </c>
    </row>
    <row r="113" spans="2:21">
      <c r="B113" s="76" t="s">
        <v>529</v>
      </c>
      <c r="C113" s="70" t="s">
        <v>530</v>
      </c>
      <c r="D113" s="83" t="s">
        <v>116</v>
      </c>
      <c r="E113" s="83" t="s">
        <v>287</v>
      </c>
      <c r="F113" s="70" t="s">
        <v>441</v>
      </c>
      <c r="G113" s="83" t="s">
        <v>352</v>
      </c>
      <c r="H113" s="70" t="s">
        <v>473</v>
      </c>
      <c r="I113" s="70" t="s">
        <v>291</v>
      </c>
      <c r="J113" s="70"/>
      <c r="K113" s="77">
        <v>4.2000000000079689</v>
      </c>
      <c r="L113" s="83" t="s">
        <v>160</v>
      </c>
      <c r="M113" s="84">
        <v>3.7000000000000005E-2</v>
      </c>
      <c r="N113" s="84">
        <v>1.8000000000019924E-2</v>
      </c>
      <c r="O113" s="77">
        <v>92882.804661999995</v>
      </c>
      <c r="P113" s="79">
        <v>108.1</v>
      </c>
      <c r="Q113" s="70"/>
      <c r="R113" s="77">
        <v>100.40631186099998</v>
      </c>
      <c r="S113" s="78">
        <v>1.5442131965010228E-4</v>
      </c>
      <c r="T113" s="78">
        <f t="shared" si="3"/>
        <v>1.0916497244099297E-3</v>
      </c>
      <c r="U113" s="78">
        <f>R113/'סכום נכסי הקרן'!$C$42</f>
        <v>2.7673766175435109E-5</v>
      </c>
    </row>
    <row r="114" spans="2:21">
      <c r="B114" s="76" t="s">
        <v>531</v>
      </c>
      <c r="C114" s="70" t="s">
        <v>532</v>
      </c>
      <c r="D114" s="83" t="s">
        <v>116</v>
      </c>
      <c r="E114" s="83" t="s">
        <v>287</v>
      </c>
      <c r="F114" s="70" t="s">
        <v>441</v>
      </c>
      <c r="G114" s="83" t="s">
        <v>352</v>
      </c>
      <c r="H114" s="70" t="s">
        <v>473</v>
      </c>
      <c r="I114" s="70" t="s">
        <v>291</v>
      </c>
      <c r="J114" s="70"/>
      <c r="K114" s="77">
        <v>3.2199999998034037</v>
      </c>
      <c r="L114" s="83" t="s">
        <v>160</v>
      </c>
      <c r="M114" s="84">
        <v>4.4000000000000004E-2</v>
      </c>
      <c r="N114" s="84">
        <v>1.8099999999282686E-2</v>
      </c>
      <c r="O114" s="77">
        <v>6935.8141560000004</v>
      </c>
      <c r="P114" s="79">
        <v>108.54</v>
      </c>
      <c r="Q114" s="70"/>
      <c r="R114" s="77">
        <v>7.5281330340000014</v>
      </c>
      <c r="S114" s="78">
        <v>3.1193989242939508E-5</v>
      </c>
      <c r="T114" s="78">
        <f t="shared" si="3"/>
        <v>8.1848284232014247E-5</v>
      </c>
      <c r="U114" s="78">
        <f>R114/'סכום נכסי הקרן'!$C$42</f>
        <v>2.0748874195169557E-6</v>
      </c>
    </row>
    <row r="115" spans="2:21">
      <c r="B115" s="76" t="s">
        <v>533</v>
      </c>
      <c r="C115" s="70" t="s">
        <v>534</v>
      </c>
      <c r="D115" s="83" t="s">
        <v>116</v>
      </c>
      <c r="E115" s="83" t="s">
        <v>287</v>
      </c>
      <c r="F115" s="70" t="s">
        <v>441</v>
      </c>
      <c r="G115" s="83" t="s">
        <v>352</v>
      </c>
      <c r="H115" s="70" t="s">
        <v>473</v>
      </c>
      <c r="I115" s="70" t="s">
        <v>291</v>
      </c>
      <c r="J115" s="70"/>
      <c r="K115" s="77">
        <v>6.1299999999968922</v>
      </c>
      <c r="L115" s="83" t="s">
        <v>160</v>
      </c>
      <c r="M115" s="84">
        <v>2.6000000000000002E-2</v>
      </c>
      <c r="N115" s="84">
        <v>2.1899999999987426E-2</v>
      </c>
      <c r="O115" s="77">
        <v>409211.294123</v>
      </c>
      <c r="P115" s="79">
        <v>103</v>
      </c>
      <c r="Q115" s="70"/>
      <c r="R115" s="77">
        <v>421.48763268699997</v>
      </c>
      <c r="S115" s="78">
        <v>7.2582837244219967E-4</v>
      </c>
      <c r="T115" s="78">
        <f t="shared" si="3"/>
        <v>4.5825491399577711E-3</v>
      </c>
      <c r="U115" s="78">
        <f>R115/'סכום נכסי הקרן'!$C$42</f>
        <v>1.1616949150532767E-4</v>
      </c>
    </row>
    <row r="116" spans="2:21">
      <c r="B116" s="76" t="s">
        <v>535</v>
      </c>
      <c r="C116" s="70" t="s">
        <v>536</v>
      </c>
      <c r="D116" s="83" t="s">
        <v>116</v>
      </c>
      <c r="E116" s="83" t="s">
        <v>287</v>
      </c>
      <c r="F116" s="70" t="s">
        <v>537</v>
      </c>
      <c r="G116" s="83" t="s">
        <v>352</v>
      </c>
      <c r="H116" s="70" t="s">
        <v>473</v>
      </c>
      <c r="I116" s="70" t="s">
        <v>291</v>
      </c>
      <c r="J116" s="70"/>
      <c r="K116" s="77">
        <v>5.3400000000065431</v>
      </c>
      <c r="L116" s="83" t="s">
        <v>160</v>
      </c>
      <c r="M116" s="84">
        <v>1.3999999999999999E-2</v>
      </c>
      <c r="N116" s="84">
        <v>1.1700000000021809E-2</v>
      </c>
      <c r="O116" s="77">
        <v>449484.68319200003</v>
      </c>
      <c r="P116" s="79">
        <v>102.01</v>
      </c>
      <c r="Q116" s="70"/>
      <c r="R116" s="77">
        <v>458.51934560000001</v>
      </c>
      <c r="S116" s="78">
        <v>8.5033046385168379E-4</v>
      </c>
      <c r="T116" s="78">
        <f t="shared" si="3"/>
        <v>4.9851698362728437E-3</v>
      </c>
      <c r="U116" s="78">
        <f>R116/'סכום נכסי הקרן'!$C$42</f>
        <v>1.2637609052520724E-4</v>
      </c>
    </row>
    <row r="117" spans="2:21">
      <c r="B117" s="76" t="s">
        <v>538</v>
      </c>
      <c r="C117" s="70" t="s">
        <v>539</v>
      </c>
      <c r="D117" s="83" t="s">
        <v>116</v>
      </c>
      <c r="E117" s="83" t="s">
        <v>287</v>
      </c>
      <c r="F117" s="70" t="s">
        <v>313</v>
      </c>
      <c r="G117" s="83" t="s">
        <v>297</v>
      </c>
      <c r="H117" s="70" t="s">
        <v>477</v>
      </c>
      <c r="I117" s="70" t="s">
        <v>156</v>
      </c>
      <c r="J117" s="70"/>
      <c r="K117" s="77">
        <v>3.1999999999999997</v>
      </c>
      <c r="L117" s="83" t="s">
        <v>160</v>
      </c>
      <c r="M117" s="84">
        <v>1.8200000000000001E-2</v>
      </c>
      <c r="N117" s="84">
        <v>3.1800000000008107E-2</v>
      </c>
      <c r="O117" s="77">
        <f>382724.6085/50000</f>
        <v>7.6544921699999993</v>
      </c>
      <c r="P117" s="79">
        <v>4833710</v>
      </c>
      <c r="Q117" s="70"/>
      <c r="R117" s="77">
        <v>369.995972865</v>
      </c>
      <c r="S117" s="78">
        <f>2693.15747308423%/50000</f>
        <v>5.3863149461684599E-4</v>
      </c>
      <c r="T117" s="78">
        <f t="shared" si="3"/>
        <v>4.0227152489180022E-3</v>
      </c>
      <c r="U117" s="78">
        <f>R117/'סכום נכסי הקרן'!$C$42</f>
        <v>1.0197747381751772E-4</v>
      </c>
    </row>
    <row r="118" spans="2:21">
      <c r="B118" s="76" t="s">
        <v>540</v>
      </c>
      <c r="C118" s="70" t="s">
        <v>541</v>
      </c>
      <c r="D118" s="83" t="s">
        <v>116</v>
      </c>
      <c r="E118" s="83" t="s">
        <v>287</v>
      </c>
      <c r="F118" s="70" t="s">
        <v>313</v>
      </c>
      <c r="G118" s="83" t="s">
        <v>297</v>
      </c>
      <c r="H118" s="70" t="s">
        <v>477</v>
      </c>
      <c r="I118" s="70" t="s">
        <v>156</v>
      </c>
      <c r="J118" s="70"/>
      <c r="K118" s="77">
        <v>2.4299999999995463</v>
      </c>
      <c r="L118" s="83" t="s">
        <v>160</v>
      </c>
      <c r="M118" s="84">
        <v>1.06E-2</v>
      </c>
      <c r="N118" s="84">
        <v>2.8500000000001077E-2</v>
      </c>
      <c r="O118" s="77">
        <f>476915.4/50000</f>
        <v>9.5383080000000007</v>
      </c>
      <c r="P118" s="79">
        <v>4855999</v>
      </c>
      <c r="Q118" s="70"/>
      <c r="R118" s="77">
        <v>463.18013334700004</v>
      </c>
      <c r="S118" s="78">
        <f>3512.15406141837%/50000</f>
        <v>7.0243081228367401E-4</v>
      </c>
      <c r="T118" s="78">
        <f t="shared" si="3"/>
        <v>5.0358434200868715E-3</v>
      </c>
      <c r="U118" s="78">
        <f>R118/'סכום נכסי הקרן'!$C$42</f>
        <v>1.2766068656218119E-4</v>
      </c>
    </row>
    <row r="119" spans="2:21">
      <c r="B119" s="76" t="s">
        <v>542</v>
      </c>
      <c r="C119" s="70" t="s">
        <v>543</v>
      </c>
      <c r="D119" s="83" t="s">
        <v>116</v>
      </c>
      <c r="E119" s="83" t="s">
        <v>287</v>
      </c>
      <c r="F119" s="70" t="s">
        <v>313</v>
      </c>
      <c r="G119" s="83" t="s">
        <v>297</v>
      </c>
      <c r="H119" s="70" t="s">
        <v>477</v>
      </c>
      <c r="I119" s="70" t="s">
        <v>156</v>
      </c>
      <c r="J119" s="70"/>
      <c r="K119" s="77">
        <v>4.2999999999989393</v>
      </c>
      <c r="L119" s="83" t="s">
        <v>160</v>
      </c>
      <c r="M119" s="84">
        <v>1.89E-2</v>
      </c>
      <c r="N119" s="84">
        <v>2.6000000000002358E-2</v>
      </c>
      <c r="O119" s="77">
        <f>880107.62775/50000</f>
        <v>17.602152555</v>
      </c>
      <c r="P119" s="79">
        <v>4822299</v>
      </c>
      <c r="Q119" s="70"/>
      <c r="R119" s="77">
        <v>848.82843983299995</v>
      </c>
      <c r="S119" s="78">
        <f>4037.5613714561%/50000</f>
        <v>8.0751227429121998E-4</v>
      </c>
      <c r="T119" s="78">
        <f t="shared" si="3"/>
        <v>9.2287358756668551E-3</v>
      </c>
      <c r="U119" s="78">
        <f>R119/'סכום נכסי הקרן'!$C$42</f>
        <v>2.3395222204274563E-4</v>
      </c>
    </row>
    <row r="120" spans="2:21">
      <c r="B120" s="76" t="s">
        <v>544</v>
      </c>
      <c r="C120" s="70" t="s">
        <v>545</v>
      </c>
      <c r="D120" s="83" t="s">
        <v>116</v>
      </c>
      <c r="E120" s="83" t="s">
        <v>287</v>
      </c>
      <c r="F120" s="70" t="s">
        <v>546</v>
      </c>
      <c r="G120" s="83" t="s">
        <v>297</v>
      </c>
      <c r="H120" s="70" t="s">
        <v>473</v>
      </c>
      <c r="I120" s="70" t="s">
        <v>291</v>
      </c>
      <c r="J120" s="70"/>
      <c r="K120" s="77">
        <v>1.470000000000343</v>
      </c>
      <c r="L120" s="83" t="s">
        <v>160</v>
      </c>
      <c r="M120" s="84">
        <v>4.4999999999999998E-2</v>
      </c>
      <c r="N120" s="84">
        <v>1.7400000000005231E-2</v>
      </c>
      <c r="O120" s="77">
        <v>965520.35414099996</v>
      </c>
      <c r="P120" s="79">
        <v>125.38</v>
      </c>
      <c r="Q120" s="77">
        <v>13.083941701000001</v>
      </c>
      <c r="R120" s="77">
        <v>1223.6533896139999</v>
      </c>
      <c r="S120" s="78">
        <v>5.672909867655172E-4</v>
      </c>
      <c r="T120" s="78">
        <f t="shared" si="3"/>
        <v>1.330395331515263E-2</v>
      </c>
      <c r="U120" s="78">
        <f>R120/'סכום נכסי הקרן'!$C$42</f>
        <v>3.3726064782496612E-4</v>
      </c>
    </row>
    <row r="121" spans="2:21">
      <c r="B121" s="76" t="s">
        <v>547</v>
      </c>
      <c r="C121" s="70" t="s">
        <v>548</v>
      </c>
      <c r="D121" s="83" t="s">
        <v>116</v>
      </c>
      <c r="E121" s="83" t="s">
        <v>287</v>
      </c>
      <c r="F121" s="70" t="s">
        <v>446</v>
      </c>
      <c r="G121" s="83" t="s">
        <v>352</v>
      </c>
      <c r="H121" s="70" t="s">
        <v>473</v>
      </c>
      <c r="I121" s="70" t="s">
        <v>291</v>
      </c>
      <c r="J121" s="70"/>
      <c r="K121" s="77">
        <v>1.7100000000017439</v>
      </c>
      <c r="L121" s="83" t="s">
        <v>160</v>
      </c>
      <c r="M121" s="84">
        <v>4.9000000000000002E-2</v>
      </c>
      <c r="N121" s="84">
        <v>2.1199999999996125E-2</v>
      </c>
      <c r="O121" s="77">
        <v>283982.58053699997</v>
      </c>
      <c r="P121" s="79">
        <v>109.04</v>
      </c>
      <c r="Q121" s="70"/>
      <c r="R121" s="77">
        <v>309.654595626</v>
      </c>
      <c r="S121" s="78">
        <v>5.3379118434821176E-4</v>
      </c>
      <c r="T121" s="78">
        <f t="shared" si="3"/>
        <v>3.3666643830654549E-3</v>
      </c>
      <c r="U121" s="78">
        <f>R121/'סכום נכסי הקרן'!$C$42</f>
        <v>8.5346316538007847E-5</v>
      </c>
    </row>
    <row r="122" spans="2:21">
      <c r="B122" s="76" t="s">
        <v>549</v>
      </c>
      <c r="C122" s="70" t="s">
        <v>550</v>
      </c>
      <c r="D122" s="83" t="s">
        <v>116</v>
      </c>
      <c r="E122" s="83" t="s">
        <v>287</v>
      </c>
      <c r="F122" s="70" t="s">
        <v>446</v>
      </c>
      <c r="G122" s="83" t="s">
        <v>352</v>
      </c>
      <c r="H122" s="70" t="s">
        <v>473</v>
      </c>
      <c r="I122" s="70" t="s">
        <v>291</v>
      </c>
      <c r="J122" s="70"/>
      <c r="K122" s="77">
        <v>1.6200000000016777</v>
      </c>
      <c r="L122" s="83" t="s">
        <v>160</v>
      </c>
      <c r="M122" s="84">
        <v>5.8499999999999996E-2</v>
      </c>
      <c r="N122" s="84">
        <v>1.6200000000016777E-2</v>
      </c>
      <c r="O122" s="77">
        <v>164092.34814399999</v>
      </c>
      <c r="P122" s="79">
        <v>116.23</v>
      </c>
      <c r="Q122" s="70"/>
      <c r="R122" s="77">
        <v>190.72453176400001</v>
      </c>
      <c r="S122" s="78">
        <v>2.3197417470123335E-4</v>
      </c>
      <c r="T122" s="78">
        <f t="shared" si="3"/>
        <v>2.073618467598098E-3</v>
      </c>
      <c r="U122" s="78">
        <f>R122/'סכום נכסי הקרן'!$C$42</f>
        <v>5.2567074700075701E-5</v>
      </c>
    </row>
    <row r="123" spans="2:21">
      <c r="B123" s="76" t="s">
        <v>551</v>
      </c>
      <c r="C123" s="70" t="s">
        <v>552</v>
      </c>
      <c r="D123" s="83" t="s">
        <v>116</v>
      </c>
      <c r="E123" s="83" t="s">
        <v>287</v>
      </c>
      <c r="F123" s="70" t="s">
        <v>446</v>
      </c>
      <c r="G123" s="83" t="s">
        <v>352</v>
      </c>
      <c r="H123" s="70" t="s">
        <v>473</v>
      </c>
      <c r="I123" s="70" t="s">
        <v>291</v>
      </c>
      <c r="J123" s="70"/>
      <c r="K123" s="77">
        <v>6.1300000000153112</v>
      </c>
      <c r="L123" s="83" t="s">
        <v>160</v>
      </c>
      <c r="M123" s="84">
        <v>2.2499999999999999E-2</v>
      </c>
      <c r="N123" s="84">
        <v>2.6900000000057479E-2</v>
      </c>
      <c r="O123" s="77">
        <v>194914.22563900001</v>
      </c>
      <c r="P123" s="79">
        <v>98.64</v>
      </c>
      <c r="Q123" s="77">
        <v>4.3189032440000004</v>
      </c>
      <c r="R123" s="77">
        <v>196.58229542300001</v>
      </c>
      <c r="S123" s="78">
        <v>5.0608115198378539E-4</v>
      </c>
      <c r="T123" s="78">
        <f t="shared" si="3"/>
        <v>2.1373059586082092E-3</v>
      </c>
      <c r="U123" s="78">
        <f>R123/'סכום נכסי הקרן'!$C$42</f>
        <v>5.4181578597346055E-5</v>
      </c>
    </row>
    <row r="124" spans="2:21">
      <c r="B124" s="76" t="s">
        <v>553</v>
      </c>
      <c r="C124" s="70" t="s">
        <v>554</v>
      </c>
      <c r="D124" s="83" t="s">
        <v>116</v>
      </c>
      <c r="E124" s="83" t="s">
        <v>287</v>
      </c>
      <c r="F124" s="70" t="s">
        <v>555</v>
      </c>
      <c r="G124" s="83" t="s">
        <v>412</v>
      </c>
      <c r="H124" s="70" t="s">
        <v>477</v>
      </c>
      <c r="I124" s="70" t="s">
        <v>156</v>
      </c>
      <c r="J124" s="70"/>
      <c r="K124" s="77">
        <v>1.4899999999962337</v>
      </c>
      <c r="L124" s="83" t="s">
        <v>160</v>
      </c>
      <c r="M124" s="84">
        <v>4.0500000000000001E-2</v>
      </c>
      <c r="N124" s="84">
        <v>1.1999999999946191E-2</v>
      </c>
      <c r="O124" s="77">
        <v>38532.862171000001</v>
      </c>
      <c r="P124" s="79">
        <v>125.43</v>
      </c>
      <c r="Q124" s="77">
        <v>26.007583546000003</v>
      </c>
      <c r="R124" s="77">
        <v>74.33935257200001</v>
      </c>
      <c r="S124" s="78">
        <v>7.947367013760938E-4</v>
      </c>
      <c r="T124" s="78">
        <f t="shared" si="3"/>
        <v>8.0824135698144138E-4</v>
      </c>
      <c r="U124" s="78">
        <f>R124/'סכום נכסי הקרן'!$C$42</f>
        <v>2.0489248360787963E-5</v>
      </c>
    </row>
    <row r="125" spans="2:21">
      <c r="B125" s="76" t="s">
        <v>556</v>
      </c>
      <c r="C125" s="70" t="s">
        <v>557</v>
      </c>
      <c r="D125" s="83" t="s">
        <v>116</v>
      </c>
      <c r="E125" s="83" t="s">
        <v>287</v>
      </c>
      <c r="F125" s="70" t="s">
        <v>558</v>
      </c>
      <c r="G125" s="83" t="s">
        <v>352</v>
      </c>
      <c r="H125" s="70" t="s">
        <v>477</v>
      </c>
      <c r="I125" s="70" t="s">
        <v>156</v>
      </c>
      <c r="J125" s="70"/>
      <c r="K125" s="77">
        <v>6.8000000000040899</v>
      </c>
      <c r="L125" s="83" t="s">
        <v>160</v>
      </c>
      <c r="M125" s="84">
        <v>1.9599999999999999E-2</v>
      </c>
      <c r="N125" s="84">
        <v>1.560000000000818E-2</v>
      </c>
      <c r="O125" s="77">
        <v>330077.73831500002</v>
      </c>
      <c r="P125" s="79">
        <v>103.7</v>
      </c>
      <c r="Q125" s="70"/>
      <c r="R125" s="77">
        <v>342.29062141199995</v>
      </c>
      <c r="S125" s="78">
        <v>3.3465869614020434E-4</v>
      </c>
      <c r="T125" s="78">
        <f t="shared" si="3"/>
        <v>3.721493754793036E-3</v>
      </c>
      <c r="U125" s="78">
        <f>R125/'סכום נכסי הקרן'!$C$42</f>
        <v>9.4341385968976964E-5</v>
      </c>
    </row>
    <row r="126" spans="2:21">
      <c r="B126" s="76" t="s">
        <v>559</v>
      </c>
      <c r="C126" s="70" t="s">
        <v>560</v>
      </c>
      <c r="D126" s="83" t="s">
        <v>116</v>
      </c>
      <c r="E126" s="83" t="s">
        <v>287</v>
      </c>
      <c r="F126" s="70" t="s">
        <v>558</v>
      </c>
      <c r="G126" s="83" t="s">
        <v>352</v>
      </c>
      <c r="H126" s="70" t="s">
        <v>477</v>
      </c>
      <c r="I126" s="70" t="s">
        <v>156</v>
      </c>
      <c r="J126" s="70"/>
      <c r="K126" s="77">
        <v>2.7299999999909539</v>
      </c>
      <c r="L126" s="83" t="s">
        <v>160</v>
      </c>
      <c r="M126" s="84">
        <v>2.75E-2</v>
      </c>
      <c r="N126" s="84">
        <v>1.4099999999914008E-2</v>
      </c>
      <c r="O126" s="77">
        <v>85563.28441599998</v>
      </c>
      <c r="P126" s="79">
        <v>104.65</v>
      </c>
      <c r="Q126" s="70"/>
      <c r="R126" s="77">
        <v>89.541979996999999</v>
      </c>
      <c r="S126" s="78">
        <v>1.9808647755069976E-4</v>
      </c>
      <c r="T126" s="78">
        <f t="shared" si="3"/>
        <v>9.7352921320489362E-4</v>
      </c>
      <c r="U126" s="78">
        <f>R126/'סכום נכסי הקרן'!$C$42</f>
        <v>2.4679362994160147E-5</v>
      </c>
    </row>
    <row r="127" spans="2:21">
      <c r="B127" s="76" t="s">
        <v>561</v>
      </c>
      <c r="C127" s="70" t="s">
        <v>562</v>
      </c>
      <c r="D127" s="83" t="s">
        <v>116</v>
      </c>
      <c r="E127" s="83" t="s">
        <v>287</v>
      </c>
      <c r="F127" s="70" t="s">
        <v>329</v>
      </c>
      <c r="G127" s="83" t="s">
        <v>297</v>
      </c>
      <c r="H127" s="70" t="s">
        <v>477</v>
      </c>
      <c r="I127" s="70" t="s">
        <v>156</v>
      </c>
      <c r="J127" s="70"/>
      <c r="K127" s="77">
        <v>2.7899999999986864</v>
      </c>
      <c r="L127" s="83" t="s">
        <v>160</v>
      </c>
      <c r="M127" s="84">
        <v>1.4199999999999999E-2</v>
      </c>
      <c r="N127" s="84">
        <v>2.4999999999993364E-2</v>
      </c>
      <c r="O127" s="77">
        <f>768429.93825/50000</f>
        <v>15.368598765</v>
      </c>
      <c r="P127" s="79">
        <v>4904901</v>
      </c>
      <c r="Q127" s="70"/>
      <c r="R127" s="77">
        <v>753.81457458099999</v>
      </c>
      <c r="S127" s="78">
        <f>3625.86674019724%/50000</f>
        <v>7.2517334803944792E-4</v>
      </c>
      <c r="T127" s="78">
        <f t="shared" si="3"/>
        <v>8.1957145656016278E-3</v>
      </c>
      <c r="U127" s="78">
        <f>R127/'סכום נכסי הקרן'!$C$42</f>
        <v>2.0776471010576489E-4</v>
      </c>
    </row>
    <row r="128" spans="2:21">
      <c r="B128" s="76" t="s">
        <v>563</v>
      </c>
      <c r="C128" s="70" t="s">
        <v>564</v>
      </c>
      <c r="D128" s="83" t="s">
        <v>116</v>
      </c>
      <c r="E128" s="83" t="s">
        <v>287</v>
      </c>
      <c r="F128" s="70" t="s">
        <v>329</v>
      </c>
      <c r="G128" s="83" t="s">
        <v>297</v>
      </c>
      <c r="H128" s="70" t="s">
        <v>477</v>
      </c>
      <c r="I128" s="70" t="s">
        <v>156</v>
      </c>
      <c r="J128" s="70"/>
      <c r="K128" s="77">
        <v>4.5599999999925815</v>
      </c>
      <c r="L128" s="83" t="s">
        <v>160</v>
      </c>
      <c r="M128" s="84">
        <v>2.0199999999999999E-2</v>
      </c>
      <c r="N128" s="84">
        <v>2.7099999999914227E-2</v>
      </c>
      <c r="O128" s="77">
        <f>88626.7785/50000</f>
        <v>1.7725355700000001</v>
      </c>
      <c r="P128" s="79">
        <v>4867200</v>
      </c>
      <c r="Q128" s="70"/>
      <c r="R128" s="77">
        <v>86.272852694000008</v>
      </c>
      <c r="S128" s="78">
        <f>421.129857448325%/50000</f>
        <v>8.4225971489665014E-5</v>
      </c>
      <c r="T128" s="78">
        <f t="shared" si="3"/>
        <v>9.3798620945109192E-4</v>
      </c>
      <c r="U128" s="78">
        <f>R128/'סכום נכסי הקרן'!$C$42</f>
        <v>2.3778333338711836E-5</v>
      </c>
    </row>
    <row r="129" spans="2:21">
      <c r="B129" s="76" t="s">
        <v>565</v>
      </c>
      <c r="C129" s="70" t="s">
        <v>566</v>
      </c>
      <c r="D129" s="83" t="s">
        <v>116</v>
      </c>
      <c r="E129" s="83" t="s">
        <v>287</v>
      </c>
      <c r="F129" s="70" t="s">
        <v>329</v>
      </c>
      <c r="G129" s="83" t="s">
        <v>297</v>
      </c>
      <c r="H129" s="70" t="s">
        <v>477</v>
      </c>
      <c r="I129" s="70" t="s">
        <v>156</v>
      </c>
      <c r="J129" s="70"/>
      <c r="K129" s="77">
        <v>5.5099999999989491</v>
      </c>
      <c r="L129" s="83" t="s">
        <v>160</v>
      </c>
      <c r="M129" s="84">
        <v>2.5899999999999999E-2</v>
      </c>
      <c r="N129" s="84">
        <v>2.6199999999992993E-2</v>
      </c>
      <c r="O129" s="77">
        <f>715373.1/50000</f>
        <v>14.307461999999999</v>
      </c>
      <c r="P129" s="79">
        <v>4989949</v>
      </c>
      <c r="Q129" s="70"/>
      <c r="R129" s="77">
        <v>713.93507702500006</v>
      </c>
      <c r="S129" s="78">
        <f>3386.70217298679%/50000</f>
        <v>6.7734043459735801E-4</v>
      </c>
      <c r="T129" s="78">
        <f t="shared" si="3"/>
        <v>7.7621318384830211E-3</v>
      </c>
      <c r="U129" s="78">
        <f>R129/'סכום נכסי הקרן'!$C$42</f>
        <v>1.9677321096489022E-4</v>
      </c>
    </row>
    <row r="130" spans="2:21">
      <c r="B130" s="76" t="s">
        <v>567</v>
      </c>
      <c r="C130" s="70" t="s">
        <v>568</v>
      </c>
      <c r="D130" s="83" t="s">
        <v>116</v>
      </c>
      <c r="E130" s="83" t="s">
        <v>287</v>
      </c>
      <c r="F130" s="70" t="s">
        <v>329</v>
      </c>
      <c r="G130" s="83" t="s">
        <v>297</v>
      </c>
      <c r="H130" s="70" t="s">
        <v>477</v>
      </c>
      <c r="I130" s="70" t="s">
        <v>156</v>
      </c>
      <c r="J130" s="70"/>
      <c r="K130" s="77">
        <v>3.4100000000015864</v>
      </c>
      <c r="L130" s="83" t="s">
        <v>160</v>
      </c>
      <c r="M130" s="84">
        <v>1.5900000000000001E-2</v>
      </c>
      <c r="N130" s="84">
        <v>3.1500000000013996E-2</v>
      </c>
      <c r="O130" s="77">
        <f>560574.30975/50000</f>
        <v>11.211486195000001</v>
      </c>
      <c r="P130" s="79">
        <v>4780000</v>
      </c>
      <c r="Q130" s="70"/>
      <c r="R130" s="77">
        <v>535.90899461499998</v>
      </c>
      <c r="S130" s="78">
        <f>3744.65136773547%/50000</f>
        <v>7.4893027354709402E-4</v>
      </c>
      <c r="T130" s="78">
        <f t="shared" si="3"/>
        <v>5.8265749974977799E-3</v>
      </c>
      <c r="U130" s="78">
        <f>R130/'סכום נכסי הקרן'!$C$42</f>
        <v>1.4770605486255853E-4</v>
      </c>
    </row>
    <row r="131" spans="2:21">
      <c r="B131" s="76" t="s">
        <v>569</v>
      </c>
      <c r="C131" s="70" t="s">
        <v>570</v>
      </c>
      <c r="D131" s="83" t="s">
        <v>116</v>
      </c>
      <c r="E131" s="83" t="s">
        <v>287</v>
      </c>
      <c r="F131" s="70" t="s">
        <v>571</v>
      </c>
      <c r="G131" s="83" t="s">
        <v>416</v>
      </c>
      <c r="H131" s="70" t="s">
        <v>473</v>
      </c>
      <c r="I131" s="70" t="s">
        <v>291</v>
      </c>
      <c r="J131" s="70"/>
      <c r="K131" s="77">
        <v>4.2399999999976643</v>
      </c>
      <c r="L131" s="83" t="s">
        <v>160</v>
      </c>
      <c r="M131" s="84">
        <v>1.9400000000000001E-2</v>
      </c>
      <c r="N131" s="84">
        <v>1.1299999999988628E-2</v>
      </c>
      <c r="O131" s="77">
        <v>311868.37143699999</v>
      </c>
      <c r="P131" s="79">
        <v>104.33</v>
      </c>
      <c r="Q131" s="70"/>
      <c r="R131" s="77">
        <v>325.372254849</v>
      </c>
      <c r="S131" s="78">
        <v>5.7537608277079917E-4</v>
      </c>
      <c r="T131" s="78">
        <f t="shared" si="3"/>
        <v>3.5375518306883743E-3</v>
      </c>
      <c r="U131" s="78">
        <f>R131/'סכום נכסי הקרן'!$C$42</f>
        <v>8.9678383099367351E-5</v>
      </c>
    </row>
    <row r="132" spans="2:21">
      <c r="B132" s="76" t="s">
        <v>572</v>
      </c>
      <c r="C132" s="70" t="s">
        <v>573</v>
      </c>
      <c r="D132" s="83" t="s">
        <v>116</v>
      </c>
      <c r="E132" s="83" t="s">
        <v>287</v>
      </c>
      <c r="F132" s="70" t="s">
        <v>571</v>
      </c>
      <c r="G132" s="83" t="s">
        <v>416</v>
      </c>
      <c r="H132" s="70" t="s">
        <v>473</v>
      </c>
      <c r="I132" s="70" t="s">
        <v>291</v>
      </c>
      <c r="J132" s="70"/>
      <c r="K132" s="77">
        <v>5.2299999999987117</v>
      </c>
      <c r="L132" s="83" t="s">
        <v>160</v>
      </c>
      <c r="M132" s="84">
        <v>1.23E-2</v>
      </c>
      <c r="N132" s="84">
        <v>1.3599999999993753E-2</v>
      </c>
      <c r="O132" s="77">
        <v>1281012.7274569999</v>
      </c>
      <c r="P132" s="79">
        <v>99.95</v>
      </c>
      <c r="Q132" s="70"/>
      <c r="R132" s="77">
        <v>1280.372227455</v>
      </c>
      <c r="S132" s="78">
        <v>7.3536178318409063E-4</v>
      </c>
      <c r="T132" s="78">
        <f t="shared" si="3"/>
        <v>1.3920618767257829E-2</v>
      </c>
      <c r="U132" s="78">
        <f>R132/'סכום נכסי הקרן'!$C$42</f>
        <v>3.5289336878704274E-4</v>
      </c>
    </row>
    <row r="133" spans="2:21">
      <c r="B133" s="76" t="s">
        <v>574</v>
      </c>
      <c r="C133" s="70" t="s">
        <v>575</v>
      </c>
      <c r="D133" s="83" t="s">
        <v>116</v>
      </c>
      <c r="E133" s="83" t="s">
        <v>287</v>
      </c>
      <c r="F133" s="70" t="s">
        <v>576</v>
      </c>
      <c r="G133" s="83" t="s">
        <v>412</v>
      </c>
      <c r="H133" s="70" t="s">
        <v>477</v>
      </c>
      <c r="I133" s="70" t="s">
        <v>156</v>
      </c>
      <c r="J133" s="70"/>
      <c r="K133" s="77">
        <v>5.9400000000140416</v>
      </c>
      <c r="L133" s="83" t="s">
        <v>160</v>
      </c>
      <c r="M133" s="84">
        <v>2.2499999999999999E-2</v>
      </c>
      <c r="N133" s="84">
        <v>9.5000000000501506E-3</v>
      </c>
      <c r="O133" s="77">
        <v>90894.303979999997</v>
      </c>
      <c r="P133" s="79">
        <v>109.69</v>
      </c>
      <c r="Q133" s="70"/>
      <c r="R133" s="77">
        <v>99.701964390000001</v>
      </c>
      <c r="S133" s="78">
        <v>2.2217237650624559E-4</v>
      </c>
      <c r="T133" s="78">
        <f t="shared" si="3"/>
        <v>1.083991832108593E-3</v>
      </c>
      <c r="U133" s="78">
        <f>R133/'סכום נכסי הקרן'!$C$42</f>
        <v>2.7479635479292258E-5</v>
      </c>
    </row>
    <row r="134" spans="2:21">
      <c r="B134" s="76" t="s">
        <v>577</v>
      </c>
      <c r="C134" s="70" t="s">
        <v>578</v>
      </c>
      <c r="D134" s="83" t="s">
        <v>116</v>
      </c>
      <c r="E134" s="83" t="s">
        <v>287</v>
      </c>
      <c r="F134" s="70" t="s">
        <v>579</v>
      </c>
      <c r="G134" s="83" t="s">
        <v>352</v>
      </c>
      <c r="H134" s="70" t="s">
        <v>477</v>
      </c>
      <c r="I134" s="70" t="s">
        <v>156</v>
      </c>
      <c r="J134" s="70"/>
      <c r="K134" s="77">
        <v>3.9498799519807926</v>
      </c>
      <c r="L134" s="83" t="s">
        <v>160</v>
      </c>
      <c r="M134" s="84">
        <v>1.6E-2</v>
      </c>
      <c r="N134" s="84">
        <v>1.4498799519807924E-2</v>
      </c>
      <c r="O134" s="77">
        <v>3.287E-3</v>
      </c>
      <c r="P134" s="79">
        <v>102.05</v>
      </c>
      <c r="Q134" s="70"/>
      <c r="R134" s="77">
        <v>3.332E-6</v>
      </c>
      <c r="S134" s="78">
        <v>5.6817363900823895E-12</v>
      </c>
      <c r="T134" s="78">
        <f t="shared" si="3"/>
        <v>3.6226575942450519E-11</v>
      </c>
      <c r="U134" s="78">
        <f>R134/'סכום נכסי הקרן'!$C$42</f>
        <v>9.183584894961747E-13</v>
      </c>
    </row>
    <row r="135" spans="2:21">
      <c r="B135" s="76" t="s">
        <v>580</v>
      </c>
      <c r="C135" s="70" t="s">
        <v>581</v>
      </c>
      <c r="D135" s="83" t="s">
        <v>116</v>
      </c>
      <c r="E135" s="83" t="s">
        <v>287</v>
      </c>
      <c r="F135" s="70" t="s">
        <v>582</v>
      </c>
      <c r="G135" s="83" t="s">
        <v>152</v>
      </c>
      <c r="H135" s="70" t="s">
        <v>473</v>
      </c>
      <c r="I135" s="70" t="s">
        <v>291</v>
      </c>
      <c r="J135" s="70"/>
      <c r="K135" s="77">
        <v>1.4899999999997344</v>
      </c>
      <c r="L135" s="83" t="s">
        <v>160</v>
      </c>
      <c r="M135" s="84">
        <v>2.1499999999999998E-2</v>
      </c>
      <c r="N135" s="84">
        <v>3.4599999999989389E-2</v>
      </c>
      <c r="O135" s="77">
        <v>348215.53989999997</v>
      </c>
      <c r="P135" s="79">
        <v>98.55</v>
      </c>
      <c r="Q135" s="77">
        <v>33.863349710000001</v>
      </c>
      <c r="R135" s="77">
        <v>377.02976429000006</v>
      </c>
      <c r="S135" s="78">
        <v>5.9227586954083264E-4</v>
      </c>
      <c r="T135" s="78">
        <f t="shared" si="3"/>
        <v>4.0991888921416281E-3</v>
      </c>
      <c r="U135" s="78">
        <f>R135/'סכום נכסי הקרן'!$C$42</f>
        <v>1.0391611189329629E-4</v>
      </c>
    </row>
    <row r="136" spans="2:21">
      <c r="B136" s="76" t="s">
        <v>583</v>
      </c>
      <c r="C136" s="70" t="s">
        <v>584</v>
      </c>
      <c r="D136" s="83" t="s">
        <v>116</v>
      </c>
      <c r="E136" s="83" t="s">
        <v>287</v>
      </c>
      <c r="F136" s="70" t="s">
        <v>582</v>
      </c>
      <c r="G136" s="83" t="s">
        <v>152</v>
      </c>
      <c r="H136" s="70" t="s">
        <v>473</v>
      </c>
      <c r="I136" s="70" t="s">
        <v>291</v>
      </c>
      <c r="J136" s="70"/>
      <c r="K136" s="77">
        <v>2.9199999999942343</v>
      </c>
      <c r="L136" s="83" t="s">
        <v>160</v>
      </c>
      <c r="M136" s="84">
        <v>1.8000000000000002E-2</v>
      </c>
      <c r="N136" s="84">
        <v>4.4299999999938298E-2</v>
      </c>
      <c r="O136" s="77">
        <v>238263.91670999999</v>
      </c>
      <c r="P136" s="79">
        <v>93.18</v>
      </c>
      <c r="Q136" s="70"/>
      <c r="R136" s="77">
        <v>222.01431505899998</v>
      </c>
      <c r="S136" s="78">
        <v>3.5668651155496646E-4</v>
      </c>
      <c r="T136" s="78">
        <f t="shared" si="3"/>
        <v>2.4138110578619445E-3</v>
      </c>
      <c r="U136" s="78">
        <f>R136/'סכום נכסי הקרן'!$C$42</f>
        <v>6.119109574553153E-5</v>
      </c>
    </row>
    <row r="137" spans="2:21">
      <c r="B137" s="76" t="s">
        <v>585</v>
      </c>
      <c r="C137" s="70" t="s">
        <v>586</v>
      </c>
      <c r="D137" s="83" t="s">
        <v>116</v>
      </c>
      <c r="E137" s="83" t="s">
        <v>287</v>
      </c>
      <c r="F137" s="70" t="s">
        <v>587</v>
      </c>
      <c r="G137" s="83" t="s">
        <v>297</v>
      </c>
      <c r="H137" s="70" t="s">
        <v>588</v>
      </c>
      <c r="I137" s="70" t="s">
        <v>156</v>
      </c>
      <c r="J137" s="70"/>
      <c r="K137" s="77">
        <v>1.0099999999847418</v>
      </c>
      <c r="L137" s="83" t="s">
        <v>160</v>
      </c>
      <c r="M137" s="84">
        <v>4.1500000000000002E-2</v>
      </c>
      <c r="N137" s="84">
        <v>4.2999999998943658E-3</v>
      </c>
      <c r="O137" s="77">
        <v>7760.9475169999996</v>
      </c>
      <c r="P137" s="79">
        <v>107.4</v>
      </c>
      <c r="Q137" s="77">
        <v>8.7046475999999995</v>
      </c>
      <c r="R137" s="77">
        <v>17.039905225999998</v>
      </c>
      <c r="S137" s="78">
        <v>1.5475695016396699E-4</v>
      </c>
      <c r="T137" s="78">
        <f t="shared" si="3"/>
        <v>1.852633315491742E-4</v>
      </c>
      <c r="U137" s="78">
        <f>R137/'סכום נכסי הקרן'!$C$42</f>
        <v>4.6965010877873147E-6</v>
      </c>
    </row>
    <row r="138" spans="2:21">
      <c r="B138" s="76" t="s">
        <v>589</v>
      </c>
      <c r="C138" s="70" t="s">
        <v>590</v>
      </c>
      <c r="D138" s="83" t="s">
        <v>116</v>
      </c>
      <c r="E138" s="83" t="s">
        <v>287</v>
      </c>
      <c r="F138" s="70" t="s">
        <v>591</v>
      </c>
      <c r="G138" s="83" t="s">
        <v>152</v>
      </c>
      <c r="H138" s="70" t="s">
        <v>592</v>
      </c>
      <c r="I138" s="70" t="s">
        <v>291</v>
      </c>
      <c r="J138" s="70"/>
      <c r="K138" s="77">
        <v>2.0099999999968374</v>
      </c>
      <c r="L138" s="83" t="s">
        <v>160</v>
      </c>
      <c r="M138" s="84">
        <v>3.15E-2</v>
      </c>
      <c r="N138" s="84">
        <v>0.15719999999977585</v>
      </c>
      <c r="O138" s="77">
        <v>227632.101123</v>
      </c>
      <c r="P138" s="79">
        <v>79.17</v>
      </c>
      <c r="Q138" s="70"/>
      <c r="R138" s="77">
        <v>180.21633445699996</v>
      </c>
      <c r="S138" s="78">
        <v>6.1000242238909625E-4</v>
      </c>
      <c r="T138" s="78">
        <f t="shared" si="3"/>
        <v>1.9593699658693193E-3</v>
      </c>
      <c r="U138" s="78">
        <f>R138/'סכום נכסי הקרן'!$C$42</f>
        <v>4.9670828539756271E-5</v>
      </c>
    </row>
    <row r="139" spans="2:21">
      <c r="B139" s="76" t="s">
        <v>593</v>
      </c>
      <c r="C139" s="70" t="s">
        <v>594</v>
      </c>
      <c r="D139" s="83" t="s">
        <v>116</v>
      </c>
      <c r="E139" s="83" t="s">
        <v>287</v>
      </c>
      <c r="F139" s="70" t="s">
        <v>591</v>
      </c>
      <c r="G139" s="83" t="s">
        <v>152</v>
      </c>
      <c r="H139" s="70" t="s">
        <v>592</v>
      </c>
      <c r="I139" s="70" t="s">
        <v>291</v>
      </c>
      <c r="J139" s="70"/>
      <c r="K139" s="77">
        <v>1.1900000000066751</v>
      </c>
      <c r="L139" s="83" t="s">
        <v>160</v>
      </c>
      <c r="M139" s="84">
        <v>2.8500000000000001E-2</v>
      </c>
      <c r="N139" s="84">
        <v>0.22510000000045241</v>
      </c>
      <c r="O139" s="77">
        <v>115678.474868</v>
      </c>
      <c r="P139" s="79">
        <v>81.59</v>
      </c>
      <c r="Q139" s="70"/>
      <c r="R139" s="77">
        <v>94.382063122999995</v>
      </c>
      <c r="S139" s="78">
        <v>5.3299283851465141E-4</v>
      </c>
      <c r="T139" s="78">
        <f t="shared" ref="T139:T159" si="4">R139/$R$11</f>
        <v>1.0261521540607798E-3</v>
      </c>
      <c r="U139" s="78">
        <f>R139/'סכום נכסי הקרן'!$C$42</f>
        <v>2.601337602796245E-5</v>
      </c>
    </row>
    <row r="140" spans="2:21">
      <c r="B140" s="76" t="s">
        <v>595</v>
      </c>
      <c r="C140" s="70" t="s">
        <v>596</v>
      </c>
      <c r="D140" s="83" t="s">
        <v>116</v>
      </c>
      <c r="E140" s="83" t="s">
        <v>287</v>
      </c>
      <c r="F140" s="70" t="s">
        <v>597</v>
      </c>
      <c r="G140" s="83" t="s">
        <v>352</v>
      </c>
      <c r="H140" s="70" t="s">
        <v>588</v>
      </c>
      <c r="I140" s="70" t="s">
        <v>156</v>
      </c>
      <c r="J140" s="70"/>
      <c r="K140" s="77">
        <v>4.3599999999975543</v>
      </c>
      <c r="L140" s="83" t="s">
        <v>160</v>
      </c>
      <c r="M140" s="84">
        <v>2.5000000000000001E-2</v>
      </c>
      <c r="N140" s="84">
        <v>2.5400000000006993E-2</v>
      </c>
      <c r="O140" s="77">
        <v>113273.499474</v>
      </c>
      <c r="P140" s="79">
        <v>101</v>
      </c>
      <c r="Q140" s="70"/>
      <c r="R140" s="77">
        <v>114.40623399799998</v>
      </c>
      <c r="S140" s="78">
        <v>3.4766432642736227E-4</v>
      </c>
      <c r="T140" s="78">
        <f t="shared" si="4"/>
        <v>1.2438613818182205E-3</v>
      </c>
      <c r="U140" s="78">
        <f>R140/'סכום נכסי הקרן'!$C$42</f>
        <v>3.1532393830536964E-5</v>
      </c>
    </row>
    <row r="141" spans="2:21">
      <c r="B141" s="76" t="s">
        <v>598</v>
      </c>
      <c r="C141" s="70" t="s">
        <v>599</v>
      </c>
      <c r="D141" s="83" t="s">
        <v>116</v>
      </c>
      <c r="E141" s="83" t="s">
        <v>287</v>
      </c>
      <c r="F141" s="70" t="s">
        <v>597</v>
      </c>
      <c r="G141" s="83" t="s">
        <v>352</v>
      </c>
      <c r="H141" s="70" t="s">
        <v>588</v>
      </c>
      <c r="I141" s="70" t="s">
        <v>156</v>
      </c>
      <c r="J141" s="70"/>
      <c r="K141" s="77">
        <v>6.5399999999983942</v>
      </c>
      <c r="L141" s="83" t="s">
        <v>160</v>
      </c>
      <c r="M141" s="84">
        <v>1.9E-2</v>
      </c>
      <c r="N141" s="84">
        <v>2.9299999999991125E-2</v>
      </c>
      <c r="O141" s="77">
        <v>251410.68729199999</v>
      </c>
      <c r="P141" s="79">
        <v>94.06</v>
      </c>
      <c r="Q141" s="70"/>
      <c r="R141" s="77">
        <v>236.47689179699998</v>
      </c>
      <c r="S141" s="78">
        <v>1.0839807361960015E-3</v>
      </c>
      <c r="T141" s="78">
        <f t="shared" si="4"/>
        <v>2.5710528449335757E-3</v>
      </c>
      <c r="U141" s="78">
        <f>R141/'סכום נכסי הקרן'!$C$42</f>
        <v>6.5177239241129419E-5</v>
      </c>
    </row>
    <row r="142" spans="2:21">
      <c r="B142" s="76" t="s">
        <v>600</v>
      </c>
      <c r="C142" s="70" t="s">
        <v>601</v>
      </c>
      <c r="D142" s="83" t="s">
        <v>116</v>
      </c>
      <c r="E142" s="83" t="s">
        <v>287</v>
      </c>
      <c r="F142" s="70" t="s">
        <v>587</v>
      </c>
      <c r="G142" s="83" t="s">
        <v>297</v>
      </c>
      <c r="H142" s="70" t="s">
        <v>602</v>
      </c>
      <c r="I142" s="70" t="s">
        <v>156</v>
      </c>
      <c r="J142" s="70"/>
      <c r="K142" s="77">
        <v>0.19000000000205577</v>
      </c>
      <c r="L142" s="83" t="s">
        <v>160</v>
      </c>
      <c r="M142" s="84">
        <v>5.2999999999999999E-2</v>
      </c>
      <c r="N142" s="84">
        <v>2.0200000000050254E-2</v>
      </c>
      <c r="O142" s="77">
        <v>159271.19159100001</v>
      </c>
      <c r="P142" s="79">
        <v>109.95</v>
      </c>
      <c r="Q142" s="70"/>
      <c r="R142" s="77">
        <v>175.11867855599999</v>
      </c>
      <c r="S142" s="78">
        <v>6.1256736994915503E-4</v>
      </c>
      <c r="T142" s="78">
        <f t="shared" si="4"/>
        <v>1.9039466109395302E-3</v>
      </c>
      <c r="U142" s="78">
        <f>R142/'סכום נכסי הקרן'!$C$42</f>
        <v>4.826582386592266E-5</v>
      </c>
    </row>
    <row r="143" spans="2:21">
      <c r="B143" s="76" t="s">
        <v>603</v>
      </c>
      <c r="C143" s="70" t="s">
        <v>604</v>
      </c>
      <c r="D143" s="83" t="s">
        <v>116</v>
      </c>
      <c r="E143" s="83" t="s">
        <v>287</v>
      </c>
      <c r="F143" s="70" t="s">
        <v>605</v>
      </c>
      <c r="G143" s="83" t="s">
        <v>606</v>
      </c>
      <c r="H143" s="70" t="s">
        <v>602</v>
      </c>
      <c r="I143" s="70" t="s">
        <v>156</v>
      </c>
      <c r="J143" s="70"/>
      <c r="K143" s="77">
        <v>0.99000016378257671</v>
      </c>
      <c r="L143" s="83" t="s">
        <v>160</v>
      </c>
      <c r="M143" s="84">
        <v>5.3499999999999999E-2</v>
      </c>
      <c r="N143" s="84">
        <v>2.1399995268503336E-2</v>
      </c>
      <c r="O143" s="77">
        <v>1.047663</v>
      </c>
      <c r="P143" s="79">
        <v>104.9</v>
      </c>
      <c r="Q143" s="70"/>
      <c r="R143" s="77">
        <v>1.099018E-3</v>
      </c>
      <c r="S143" s="78">
        <v>8.9186148715514919E-9</v>
      </c>
      <c r="T143" s="78">
        <f t="shared" si="4"/>
        <v>1.1948877262641081E-8</v>
      </c>
      <c r="U143" s="78">
        <f>R143/'סכום נכסי הקרן'!$C$42</f>
        <v>3.0290891668940785E-10</v>
      </c>
    </row>
    <row r="144" spans="2:21">
      <c r="B144" s="76" t="s">
        <v>607</v>
      </c>
      <c r="C144" s="70" t="s">
        <v>608</v>
      </c>
      <c r="D144" s="83" t="s">
        <v>116</v>
      </c>
      <c r="E144" s="83" t="s">
        <v>287</v>
      </c>
      <c r="F144" s="70" t="s">
        <v>345</v>
      </c>
      <c r="G144" s="83" t="s">
        <v>297</v>
      </c>
      <c r="H144" s="70" t="s">
        <v>609</v>
      </c>
      <c r="I144" s="70" t="s">
        <v>291</v>
      </c>
      <c r="J144" s="70"/>
      <c r="K144" s="77">
        <v>1.4600000000005207</v>
      </c>
      <c r="L144" s="83" t="s">
        <v>160</v>
      </c>
      <c r="M144" s="84">
        <v>5.0999999999999997E-2</v>
      </c>
      <c r="N144" s="84">
        <v>1.7800000000008438E-2</v>
      </c>
      <c r="O144" s="77">
        <v>869502.35666899988</v>
      </c>
      <c r="P144" s="79">
        <v>126.61</v>
      </c>
      <c r="Q144" s="77">
        <v>13.379780193</v>
      </c>
      <c r="R144" s="77">
        <v>1114.2567347269999</v>
      </c>
      <c r="S144" s="78">
        <v>7.579064067070485E-4</v>
      </c>
      <c r="T144" s="78">
        <f t="shared" si="4"/>
        <v>1.2114557689068007E-2</v>
      </c>
      <c r="U144" s="78">
        <f>R144/'סכום נכסי הקרן'!$C$42</f>
        <v>3.071089831377033E-4</v>
      </c>
    </row>
    <row r="145" spans="2:21">
      <c r="B145" s="76" t="s">
        <v>610</v>
      </c>
      <c r="C145" s="70" t="s">
        <v>611</v>
      </c>
      <c r="D145" s="83" t="s">
        <v>116</v>
      </c>
      <c r="E145" s="83" t="s">
        <v>287</v>
      </c>
      <c r="F145" s="70" t="s">
        <v>520</v>
      </c>
      <c r="G145" s="83" t="s">
        <v>297</v>
      </c>
      <c r="H145" s="70" t="s">
        <v>609</v>
      </c>
      <c r="I145" s="70" t="s">
        <v>291</v>
      </c>
      <c r="J145" s="70"/>
      <c r="K145" s="77">
        <v>0.98999999996378751</v>
      </c>
      <c r="L145" s="83" t="s">
        <v>160</v>
      </c>
      <c r="M145" s="84">
        <v>2.4E-2</v>
      </c>
      <c r="N145" s="84">
        <v>1.8699999999580698E-2</v>
      </c>
      <c r="O145" s="77">
        <v>20527.449281000001</v>
      </c>
      <c r="P145" s="79">
        <v>102.24</v>
      </c>
      <c r="Q145" s="70"/>
      <c r="R145" s="77">
        <v>20.987264124000003</v>
      </c>
      <c r="S145" s="78">
        <v>4.7171010671532556E-4</v>
      </c>
      <c r="T145" s="78">
        <f t="shared" si="4"/>
        <v>2.2818028739866547E-4</v>
      </c>
      <c r="U145" s="78">
        <f>R145/'סכום נכסי הקרן'!$C$42</f>
        <v>5.7844634392478693E-6</v>
      </c>
    </row>
    <row r="146" spans="2:21">
      <c r="B146" s="76" t="s">
        <v>612</v>
      </c>
      <c r="C146" s="70" t="s">
        <v>613</v>
      </c>
      <c r="D146" s="83" t="s">
        <v>116</v>
      </c>
      <c r="E146" s="83" t="s">
        <v>287</v>
      </c>
      <c r="F146" s="70" t="s">
        <v>537</v>
      </c>
      <c r="G146" s="83" t="s">
        <v>352</v>
      </c>
      <c r="H146" s="70" t="s">
        <v>609</v>
      </c>
      <c r="I146" s="70" t="s">
        <v>291</v>
      </c>
      <c r="J146" s="70"/>
      <c r="K146" s="77">
        <v>2.2799999999222873</v>
      </c>
      <c r="L146" s="83" t="s">
        <v>160</v>
      </c>
      <c r="M146" s="84">
        <v>3.4500000000000003E-2</v>
      </c>
      <c r="N146" s="84">
        <v>2.0599999999139609E-2</v>
      </c>
      <c r="O146" s="77">
        <v>6985.9569779999993</v>
      </c>
      <c r="P146" s="79">
        <v>103.15</v>
      </c>
      <c r="Q146" s="70"/>
      <c r="R146" s="77">
        <v>7.2060146269999992</v>
      </c>
      <c r="S146" s="78">
        <v>2.2200777229018949E-5</v>
      </c>
      <c r="T146" s="78">
        <f t="shared" si="4"/>
        <v>7.8346109281940185E-5</v>
      </c>
      <c r="U146" s="78">
        <f>R146/'סכום נכסי הקרן'!$C$42</f>
        <v>1.9861058547836315E-6</v>
      </c>
    </row>
    <row r="147" spans="2:21">
      <c r="B147" s="76" t="s">
        <v>614</v>
      </c>
      <c r="C147" s="70" t="s">
        <v>615</v>
      </c>
      <c r="D147" s="83" t="s">
        <v>116</v>
      </c>
      <c r="E147" s="83" t="s">
        <v>287</v>
      </c>
      <c r="F147" s="70" t="s">
        <v>537</v>
      </c>
      <c r="G147" s="83" t="s">
        <v>352</v>
      </c>
      <c r="H147" s="70" t="s">
        <v>609</v>
      </c>
      <c r="I147" s="70" t="s">
        <v>291</v>
      </c>
      <c r="J147" s="70"/>
      <c r="K147" s="77">
        <v>3.979725085910653</v>
      </c>
      <c r="L147" s="83" t="s">
        <v>160</v>
      </c>
      <c r="M147" s="84">
        <v>2.0499999999999997E-2</v>
      </c>
      <c r="N147" s="84">
        <v>1.80979381443299E-2</v>
      </c>
      <c r="O147" s="77">
        <v>5.6860000000000001E-3</v>
      </c>
      <c r="P147" s="79">
        <v>102.2</v>
      </c>
      <c r="Q147" s="70"/>
      <c r="R147" s="77">
        <v>5.8199999999999993E-6</v>
      </c>
      <c r="S147" s="78">
        <v>1.0976934845964994E-11</v>
      </c>
      <c r="T147" s="78">
        <f t="shared" si="4"/>
        <v>6.3276912360462784E-11</v>
      </c>
      <c r="U147" s="78">
        <f>R147/'סכום נכסי הקרן'!$C$42</f>
        <v>1.6040955608846747E-12</v>
      </c>
    </row>
    <row r="148" spans="2:21">
      <c r="B148" s="76" t="s">
        <v>616</v>
      </c>
      <c r="C148" s="70" t="s">
        <v>617</v>
      </c>
      <c r="D148" s="83" t="s">
        <v>116</v>
      </c>
      <c r="E148" s="83" t="s">
        <v>287</v>
      </c>
      <c r="F148" s="70" t="s">
        <v>537</v>
      </c>
      <c r="G148" s="83" t="s">
        <v>352</v>
      </c>
      <c r="H148" s="70" t="s">
        <v>609</v>
      </c>
      <c r="I148" s="70" t="s">
        <v>291</v>
      </c>
      <c r="J148" s="70"/>
      <c r="K148" s="77">
        <v>4.5100000000060003</v>
      </c>
      <c r="L148" s="83" t="s">
        <v>160</v>
      </c>
      <c r="M148" s="84">
        <v>2.0499999999999997E-2</v>
      </c>
      <c r="N148" s="84">
        <v>1.9200000000016551E-2</v>
      </c>
      <c r="O148" s="77">
        <v>235715.05982299999</v>
      </c>
      <c r="P148" s="79">
        <v>102.53</v>
      </c>
      <c r="Q148" s="70"/>
      <c r="R148" s="77">
        <v>241.67864810500001</v>
      </c>
      <c r="S148" s="78">
        <v>4.1225575332520651E-4</v>
      </c>
      <c r="T148" s="78">
        <f t="shared" si="4"/>
        <v>2.6276080129785588E-3</v>
      </c>
      <c r="U148" s="78">
        <f>R148/'סכום נכסי הקרן'!$C$42</f>
        <v>6.6610935839491405E-5</v>
      </c>
    </row>
    <row r="149" spans="2:21">
      <c r="B149" s="76" t="s">
        <v>618</v>
      </c>
      <c r="C149" s="70" t="s">
        <v>619</v>
      </c>
      <c r="D149" s="83" t="s">
        <v>116</v>
      </c>
      <c r="E149" s="83" t="s">
        <v>287</v>
      </c>
      <c r="F149" s="70" t="s">
        <v>537</v>
      </c>
      <c r="G149" s="83" t="s">
        <v>352</v>
      </c>
      <c r="H149" s="70" t="s">
        <v>609</v>
      </c>
      <c r="I149" s="70" t="s">
        <v>291</v>
      </c>
      <c r="J149" s="70"/>
      <c r="K149" s="77">
        <v>7.0499999999964089</v>
      </c>
      <c r="L149" s="83" t="s">
        <v>160</v>
      </c>
      <c r="M149" s="84">
        <v>8.3999999999999995E-3</v>
      </c>
      <c r="N149" s="84">
        <v>1.8999999999997522E-2</v>
      </c>
      <c r="O149" s="77">
        <v>434787.82359099999</v>
      </c>
      <c r="P149" s="79">
        <v>92.88</v>
      </c>
      <c r="Q149" s="70"/>
      <c r="R149" s="77">
        <v>403.83091622900002</v>
      </c>
      <c r="S149" s="78">
        <v>8.7359593567799007E-4</v>
      </c>
      <c r="T149" s="78">
        <f t="shared" si="4"/>
        <v>4.3905796382590762E-3</v>
      </c>
      <c r="U149" s="78">
        <f>R149/'סכום נכסי הקרן'!$C$42</f>
        <v>1.113029862664828E-4</v>
      </c>
    </row>
    <row r="150" spans="2:21">
      <c r="B150" s="76" t="s">
        <v>620</v>
      </c>
      <c r="C150" s="70" t="s">
        <v>621</v>
      </c>
      <c r="D150" s="83" t="s">
        <v>116</v>
      </c>
      <c r="E150" s="83" t="s">
        <v>287</v>
      </c>
      <c r="F150" s="70" t="s">
        <v>622</v>
      </c>
      <c r="G150" s="83" t="s">
        <v>187</v>
      </c>
      <c r="H150" s="70" t="s">
        <v>609</v>
      </c>
      <c r="I150" s="70" t="s">
        <v>291</v>
      </c>
      <c r="J150" s="70"/>
      <c r="K150" s="77">
        <v>2.4299999999980777</v>
      </c>
      <c r="L150" s="83" t="s">
        <v>160</v>
      </c>
      <c r="M150" s="84">
        <v>1.9799999999999998E-2</v>
      </c>
      <c r="N150" s="84">
        <v>3.6099999999972723E-2</v>
      </c>
      <c r="O150" s="77">
        <v>385191.98344999994</v>
      </c>
      <c r="P150" s="79">
        <v>96.2</v>
      </c>
      <c r="Q150" s="77">
        <v>76.751911894000003</v>
      </c>
      <c r="R150" s="77">
        <v>447.30659900199998</v>
      </c>
      <c r="S150" s="78">
        <v>7.5262622586161636E-4</v>
      </c>
      <c r="T150" s="78">
        <f t="shared" si="4"/>
        <v>4.8632612479907605E-3</v>
      </c>
      <c r="U150" s="78">
        <f>R150/'סכום נכסי הקרן'!$C$42</f>
        <v>1.2328565804356178E-4</v>
      </c>
    </row>
    <row r="151" spans="2:21">
      <c r="B151" s="76" t="s">
        <v>623</v>
      </c>
      <c r="C151" s="70" t="s">
        <v>624</v>
      </c>
      <c r="D151" s="83" t="s">
        <v>116</v>
      </c>
      <c r="E151" s="83" t="s">
        <v>287</v>
      </c>
      <c r="F151" s="70" t="s">
        <v>625</v>
      </c>
      <c r="G151" s="83" t="s">
        <v>505</v>
      </c>
      <c r="H151" s="70" t="s">
        <v>626</v>
      </c>
      <c r="I151" s="70" t="s">
        <v>156</v>
      </c>
      <c r="J151" s="70"/>
      <c r="K151" s="77">
        <v>2.7799960853395969</v>
      </c>
      <c r="L151" s="83" t="s">
        <v>160</v>
      </c>
      <c r="M151" s="84">
        <v>4.6500000000000007E-2</v>
      </c>
      <c r="N151" s="84">
        <v>5.6897631630456066E-2</v>
      </c>
      <c r="O151" s="77">
        <v>5.1089999999999998E-3</v>
      </c>
      <c r="P151" s="79">
        <v>97.8</v>
      </c>
      <c r="Q151" s="77">
        <v>1.3300000000000001E-7</v>
      </c>
      <c r="R151" s="77">
        <v>5.1089999999999997E-6</v>
      </c>
      <c r="S151" s="78">
        <v>7.1292815459196063E-12</v>
      </c>
      <c r="T151" s="78">
        <f t="shared" si="4"/>
        <v>5.5546691623643363E-11</v>
      </c>
      <c r="U151" s="78">
        <f>R151/'סכום נכסי הקרן'!$C$42</f>
        <v>1.4081313093745368E-12</v>
      </c>
    </row>
    <row r="152" spans="2:21">
      <c r="B152" s="76" t="s">
        <v>627</v>
      </c>
      <c r="C152" s="70" t="s">
        <v>628</v>
      </c>
      <c r="D152" s="83" t="s">
        <v>116</v>
      </c>
      <c r="E152" s="83" t="s">
        <v>287</v>
      </c>
      <c r="F152" s="70" t="s">
        <v>629</v>
      </c>
      <c r="G152" s="83" t="s">
        <v>416</v>
      </c>
      <c r="H152" s="70" t="s">
        <v>626</v>
      </c>
      <c r="I152" s="70" t="s">
        <v>156</v>
      </c>
      <c r="J152" s="70"/>
      <c r="K152" s="77">
        <v>6.1500000000029953</v>
      </c>
      <c r="L152" s="83" t="s">
        <v>160</v>
      </c>
      <c r="M152" s="84">
        <v>2.75E-2</v>
      </c>
      <c r="N152" s="84">
        <v>1.6200000000003996E-2</v>
      </c>
      <c r="O152" s="77">
        <v>327635.12994999997</v>
      </c>
      <c r="P152" s="79">
        <v>107.02</v>
      </c>
      <c r="Q152" s="70"/>
      <c r="R152" s="77">
        <v>350.63510945299993</v>
      </c>
      <c r="S152" s="78">
        <v>8.1908782487499993E-4</v>
      </c>
      <c r="T152" s="78">
        <f t="shared" si="4"/>
        <v>3.8122177132918823E-3</v>
      </c>
      <c r="U152" s="78">
        <f>R152/'סכום נכסי הקרן'!$C$42</f>
        <v>9.664127535461671E-5</v>
      </c>
    </row>
    <row r="153" spans="2:21">
      <c r="B153" s="76" t="s">
        <v>630</v>
      </c>
      <c r="C153" s="70" t="s">
        <v>631</v>
      </c>
      <c r="D153" s="83" t="s">
        <v>116</v>
      </c>
      <c r="E153" s="83" t="s">
        <v>287</v>
      </c>
      <c r="F153" s="70" t="s">
        <v>632</v>
      </c>
      <c r="G153" s="83" t="s">
        <v>505</v>
      </c>
      <c r="H153" s="70" t="s">
        <v>626</v>
      </c>
      <c r="I153" s="70" t="s">
        <v>156</v>
      </c>
      <c r="J153" s="70"/>
      <c r="K153" s="77">
        <v>0.51999999998653113</v>
      </c>
      <c r="L153" s="83" t="s">
        <v>160</v>
      </c>
      <c r="M153" s="84">
        <v>4.8000000000000001E-2</v>
      </c>
      <c r="N153" s="84">
        <v>3.6799999999823869E-2</v>
      </c>
      <c r="O153" s="77">
        <v>37555.806065999997</v>
      </c>
      <c r="P153" s="79">
        <v>100.4</v>
      </c>
      <c r="Q153" s="77">
        <v>0.90133934199999999</v>
      </c>
      <c r="R153" s="77">
        <v>38.607369876</v>
      </c>
      <c r="S153" s="78">
        <v>4.8244959233852315E-4</v>
      </c>
      <c r="T153" s="78">
        <f t="shared" si="4"/>
        <v>4.1975174572364662E-4</v>
      </c>
      <c r="U153" s="78">
        <f>R153/'סכום נכסי הקרן'!$C$42</f>
        <v>1.064087811606947E-5</v>
      </c>
    </row>
    <row r="154" spans="2:21">
      <c r="B154" s="76" t="s">
        <v>633</v>
      </c>
      <c r="C154" s="70" t="s">
        <v>634</v>
      </c>
      <c r="D154" s="83" t="s">
        <v>116</v>
      </c>
      <c r="E154" s="83" t="s">
        <v>287</v>
      </c>
      <c r="F154" s="70" t="s">
        <v>635</v>
      </c>
      <c r="G154" s="83" t="s">
        <v>505</v>
      </c>
      <c r="H154" s="70" t="s">
        <v>636</v>
      </c>
      <c r="I154" s="70" t="s">
        <v>291</v>
      </c>
      <c r="J154" s="70"/>
      <c r="K154" s="77">
        <v>0.14000000000699542</v>
      </c>
      <c r="L154" s="83" t="s">
        <v>160</v>
      </c>
      <c r="M154" s="84">
        <v>5.4000000000000006E-2</v>
      </c>
      <c r="N154" s="84">
        <v>0.21460000000272825</v>
      </c>
      <c r="O154" s="77">
        <v>31070.124666</v>
      </c>
      <c r="P154" s="79">
        <v>101.22</v>
      </c>
      <c r="Q154" s="70"/>
      <c r="R154" s="77">
        <v>31.449180976999997</v>
      </c>
      <c r="S154" s="78">
        <v>8.6305901850000004E-4</v>
      </c>
      <c r="T154" s="78">
        <f t="shared" si="4"/>
        <v>3.4192561314260524E-4</v>
      </c>
      <c r="U154" s="78">
        <f>R154/'סכום נכסי הקרן'!$C$42</f>
        <v>8.667953882932037E-6</v>
      </c>
    </row>
    <row r="155" spans="2:21">
      <c r="B155" s="76" t="s">
        <v>637</v>
      </c>
      <c r="C155" s="70" t="s">
        <v>638</v>
      </c>
      <c r="D155" s="83" t="s">
        <v>116</v>
      </c>
      <c r="E155" s="83" t="s">
        <v>287</v>
      </c>
      <c r="F155" s="70" t="s">
        <v>635</v>
      </c>
      <c r="G155" s="83" t="s">
        <v>505</v>
      </c>
      <c r="H155" s="70" t="s">
        <v>636</v>
      </c>
      <c r="I155" s="70" t="s">
        <v>291</v>
      </c>
      <c r="J155" s="70"/>
      <c r="K155" s="77">
        <v>1.7299999999903046</v>
      </c>
      <c r="L155" s="83" t="s">
        <v>160</v>
      </c>
      <c r="M155" s="84">
        <v>2.5000000000000001E-2</v>
      </c>
      <c r="N155" s="84">
        <v>0.12089999999940526</v>
      </c>
      <c r="O155" s="77">
        <v>80353.492559000006</v>
      </c>
      <c r="P155" s="79">
        <v>86</v>
      </c>
      <c r="Q155" s="70"/>
      <c r="R155" s="77">
        <v>69.104003079000009</v>
      </c>
      <c r="S155" s="78">
        <v>2.750654995735729E-4</v>
      </c>
      <c r="T155" s="78">
        <f t="shared" si="4"/>
        <v>7.5132095302182724E-4</v>
      </c>
      <c r="U155" s="78">
        <f>R155/'סכום נכסי הקרן'!$C$42</f>
        <v>1.9046292882883988E-5</v>
      </c>
    </row>
    <row r="156" spans="2:21">
      <c r="B156" s="76" t="s">
        <v>639</v>
      </c>
      <c r="C156" s="70" t="s">
        <v>640</v>
      </c>
      <c r="D156" s="83" t="s">
        <v>116</v>
      </c>
      <c r="E156" s="83" t="s">
        <v>287</v>
      </c>
      <c r="F156" s="70" t="s">
        <v>641</v>
      </c>
      <c r="G156" s="83" t="s">
        <v>642</v>
      </c>
      <c r="H156" s="70" t="s">
        <v>643</v>
      </c>
      <c r="I156" s="70" t="s">
        <v>291</v>
      </c>
      <c r="J156" s="70"/>
      <c r="K156" s="77">
        <v>0</v>
      </c>
      <c r="L156" s="83" t="s">
        <v>160</v>
      </c>
      <c r="M156" s="84">
        <v>4.9000000000000002E-2</v>
      </c>
      <c r="N156" s="84">
        <v>0</v>
      </c>
      <c r="O156" s="77">
        <v>166536.81252000001</v>
      </c>
      <c r="P156" s="79">
        <v>18.72</v>
      </c>
      <c r="Q156" s="70"/>
      <c r="R156" s="77">
        <v>31.175692472000001</v>
      </c>
      <c r="S156" s="78">
        <v>2.2958602428116781E-4</v>
      </c>
      <c r="T156" s="78">
        <f t="shared" si="4"/>
        <v>3.3895215813187007E-4</v>
      </c>
      <c r="U156" s="78">
        <f>R156/'סכום נכסי הקרן'!$C$42</f>
        <v>8.5925755845087594E-6</v>
      </c>
    </row>
    <row r="157" spans="2:21">
      <c r="B157" s="76" t="s">
        <v>648</v>
      </c>
      <c r="C157" s="70" t="s">
        <v>649</v>
      </c>
      <c r="D157" s="83" t="s">
        <v>116</v>
      </c>
      <c r="E157" s="83" t="s">
        <v>287</v>
      </c>
      <c r="F157" s="70" t="s">
        <v>650</v>
      </c>
      <c r="G157" s="83" t="s">
        <v>352</v>
      </c>
      <c r="H157" s="70" t="s">
        <v>647</v>
      </c>
      <c r="I157" s="70"/>
      <c r="J157" s="70"/>
      <c r="K157" s="77">
        <v>1.9799999999988016</v>
      </c>
      <c r="L157" s="83" t="s">
        <v>160</v>
      </c>
      <c r="M157" s="84">
        <v>0.01</v>
      </c>
      <c r="N157" s="84">
        <v>3.3999999999973378E-2</v>
      </c>
      <c r="O157" s="77">
        <v>155485.75</v>
      </c>
      <c r="P157" s="79">
        <v>96.61</v>
      </c>
      <c r="Q157" s="70"/>
      <c r="R157" s="77">
        <v>150.214784941</v>
      </c>
      <c r="S157" s="78">
        <v>3.0090677034548427E-4</v>
      </c>
      <c r="T157" s="78">
        <f t="shared" si="4"/>
        <v>1.6331834676902789E-3</v>
      </c>
      <c r="U157" s="78">
        <f>R157/'סכום נכסי הקרן'!$C$42</f>
        <v>4.1401867646581479E-5</v>
      </c>
    </row>
    <row r="158" spans="2:21">
      <c r="B158" s="76" t="s">
        <v>651</v>
      </c>
      <c r="C158" s="70" t="s">
        <v>652</v>
      </c>
      <c r="D158" s="83" t="s">
        <v>116</v>
      </c>
      <c r="E158" s="83" t="s">
        <v>287</v>
      </c>
      <c r="F158" s="70" t="s">
        <v>653</v>
      </c>
      <c r="G158" s="83" t="s">
        <v>352</v>
      </c>
      <c r="H158" s="70" t="s">
        <v>647</v>
      </c>
      <c r="I158" s="70"/>
      <c r="J158" s="70"/>
      <c r="K158" s="77">
        <v>2.4300000000050059</v>
      </c>
      <c r="L158" s="83" t="s">
        <v>160</v>
      </c>
      <c r="M158" s="84">
        <v>2.1000000000000001E-2</v>
      </c>
      <c r="N158" s="84">
        <v>1.840000000016943E-2</v>
      </c>
      <c r="O158" s="77">
        <v>25340.780685999998</v>
      </c>
      <c r="P158" s="79">
        <v>102.48</v>
      </c>
      <c r="Q158" s="70"/>
      <c r="R158" s="77">
        <v>25.969230808999999</v>
      </c>
      <c r="S158" s="78">
        <v>1.0311143066893574E-4</v>
      </c>
      <c r="T158" s="78">
        <f t="shared" si="4"/>
        <v>2.8234583195356066E-4</v>
      </c>
      <c r="U158" s="78">
        <f>R158/'סכום נכסי הקרן'!$C$42</f>
        <v>7.1575821065818608E-6</v>
      </c>
    </row>
    <row r="159" spans="2:21">
      <c r="B159" s="76" t="s">
        <v>654</v>
      </c>
      <c r="C159" s="70" t="s">
        <v>655</v>
      </c>
      <c r="D159" s="83" t="s">
        <v>116</v>
      </c>
      <c r="E159" s="83" t="s">
        <v>287</v>
      </c>
      <c r="F159" s="70" t="s">
        <v>653</v>
      </c>
      <c r="G159" s="83" t="s">
        <v>352</v>
      </c>
      <c r="H159" s="70" t="s">
        <v>647</v>
      </c>
      <c r="I159" s="70"/>
      <c r="J159" s="70"/>
      <c r="K159" s="77">
        <v>5.9299999999946786</v>
      </c>
      <c r="L159" s="83" t="s">
        <v>160</v>
      </c>
      <c r="M159" s="84">
        <v>2.75E-2</v>
      </c>
      <c r="N159" s="84">
        <v>1.7699999999986695E-2</v>
      </c>
      <c r="O159" s="77">
        <v>428536.49680000002</v>
      </c>
      <c r="P159" s="79">
        <v>105.22</v>
      </c>
      <c r="Q159" s="70"/>
      <c r="R159" s="77">
        <v>450.9060971799999</v>
      </c>
      <c r="S159" s="78">
        <v>1.0792195446761358E-3</v>
      </c>
      <c r="T159" s="78">
        <f t="shared" si="4"/>
        <v>4.9023961501816447E-3</v>
      </c>
      <c r="U159" s="78">
        <f>R159/'סכום נכסי הקרן'!$C$42</f>
        <v>1.2427774379076832E-4</v>
      </c>
    </row>
    <row r="160" spans="2:21">
      <c r="B160" s="73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7"/>
      <c r="P160" s="79"/>
      <c r="Q160" s="70"/>
      <c r="R160" s="70"/>
      <c r="S160" s="70"/>
      <c r="T160" s="78"/>
      <c r="U160" s="70"/>
    </row>
    <row r="161" spans="2:21">
      <c r="B161" s="89" t="s">
        <v>44</v>
      </c>
      <c r="C161" s="72"/>
      <c r="D161" s="72"/>
      <c r="E161" s="72"/>
      <c r="F161" s="72"/>
      <c r="G161" s="72"/>
      <c r="H161" s="72"/>
      <c r="I161" s="72"/>
      <c r="J161" s="72"/>
      <c r="K161" s="80">
        <v>4.9055178366182757</v>
      </c>
      <c r="L161" s="72"/>
      <c r="M161" s="72"/>
      <c r="N161" s="94">
        <v>3.9090227847132272E-2</v>
      </c>
      <c r="O161" s="80"/>
      <c r="P161" s="82"/>
      <c r="Q161" s="80">
        <v>71.465313898999995</v>
      </c>
      <c r="R161" s="80">
        <f>SUM(R162:R243)</f>
        <v>17899.591804319993</v>
      </c>
      <c r="S161" s="72"/>
      <c r="T161" s="81">
        <f t="shared" ref="T161:T224" si="5">R161/$R$11</f>
        <v>0.19461012059965879</v>
      </c>
      <c r="U161" s="81">
        <f>R161/'סכום נכסי הקרן'!$C$42</f>
        <v>4.9334460060064273E-3</v>
      </c>
    </row>
    <row r="162" spans="2:21">
      <c r="B162" s="76" t="s">
        <v>656</v>
      </c>
      <c r="C162" s="70" t="s">
        <v>657</v>
      </c>
      <c r="D162" s="83" t="s">
        <v>116</v>
      </c>
      <c r="E162" s="83" t="s">
        <v>287</v>
      </c>
      <c r="F162" s="70" t="s">
        <v>348</v>
      </c>
      <c r="G162" s="83" t="s">
        <v>297</v>
      </c>
      <c r="H162" s="70" t="s">
        <v>305</v>
      </c>
      <c r="I162" s="70" t="s">
        <v>156</v>
      </c>
      <c r="J162" s="70"/>
      <c r="K162" s="77">
        <v>2.3797923322683703</v>
      </c>
      <c r="L162" s="83" t="s">
        <v>160</v>
      </c>
      <c r="M162" s="84">
        <v>1.8700000000000001E-2</v>
      </c>
      <c r="N162" s="84">
        <v>7.5998402555910536E-3</v>
      </c>
      <c r="O162" s="77">
        <v>2.385E-3</v>
      </c>
      <c r="P162" s="79">
        <v>103.72</v>
      </c>
      <c r="Q162" s="70"/>
      <c r="R162" s="77">
        <v>2.5040000000000001E-6</v>
      </c>
      <c r="S162" s="78">
        <v>1.724642656753223E-12</v>
      </c>
      <c r="T162" s="78">
        <f t="shared" si="5"/>
        <v>2.7224293565394987E-11</v>
      </c>
      <c r="U162" s="78">
        <f>R162/'סכום נכסי הקרן'!$C$42</f>
        <v>6.9014695609196327E-13</v>
      </c>
    </row>
    <row r="163" spans="2:21">
      <c r="B163" s="76" t="s">
        <v>658</v>
      </c>
      <c r="C163" s="70" t="s">
        <v>659</v>
      </c>
      <c r="D163" s="83" t="s">
        <v>116</v>
      </c>
      <c r="E163" s="83" t="s">
        <v>287</v>
      </c>
      <c r="F163" s="70" t="s">
        <v>348</v>
      </c>
      <c r="G163" s="83" t="s">
        <v>297</v>
      </c>
      <c r="H163" s="70" t="s">
        <v>305</v>
      </c>
      <c r="I163" s="70" t="s">
        <v>156</v>
      </c>
      <c r="J163" s="70"/>
      <c r="K163" s="77">
        <v>5.0900000000009653</v>
      </c>
      <c r="L163" s="83" t="s">
        <v>160</v>
      </c>
      <c r="M163" s="84">
        <v>2.6800000000000001E-2</v>
      </c>
      <c r="N163" s="84">
        <v>1.1000000000004322E-2</v>
      </c>
      <c r="O163" s="77">
        <v>1265099.3012949999</v>
      </c>
      <c r="P163" s="79">
        <v>109.7</v>
      </c>
      <c r="Q163" s="70"/>
      <c r="R163" s="77">
        <v>1387.8139475740002</v>
      </c>
      <c r="S163" s="78">
        <v>5.2528756289756302E-4</v>
      </c>
      <c r="T163" s="78">
        <f t="shared" si="5"/>
        <v>1.5088759713619915E-2</v>
      </c>
      <c r="U163" s="78">
        <f>R163/'סכום נכסי הקרן'!$C$42</f>
        <v>3.825062186662011E-4</v>
      </c>
    </row>
    <row r="164" spans="2:21">
      <c r="B164" s="76" t="s">
        <v>660</v>
      </c>
      <c r="C164" s="70" t="s">
        <v>661</v>
      </c>
      <c r="D164" s="83" t="s">
        <v>116</v>
      </c>
      <c r="E164" s="83" t="s">
        <v>287</v>
      </c>
      <c r="F164" s="70" t="s">
        <v>662</v>
      </c>
      <c r="G164" s="83" t="s">
        <v>352</v>
      </c>
      <c r="H164" s="70" t="s">
        <v>305</v>
      </c>
      <c r="I164" s="70" t="s">
        <v>156</v>
      </c>
      <c r="J164" s="70"/>
      <c r="K164" s="77">
        <v>3.8899999999865487</v>
      </c>
      <c r="L164" s="83" t="s">
        <v>160</v>
      </c>
      <c r="M164" s="84">
        <v>1.44E-2</v>
      </c>
      <c r="N164" s="84">
        <v>7.1999999999487552E-3</v>
      </c>
      <c r="O164" s="77">
        <v>30254.435803999997</v>
      </c>
      <c r="P164" s="79">
        <v>103.2</v>
      </c>
      <c r="Q164" s="70"/>
      <c r="R164" s="77">
        <v>31.222577777999998</v>
      </c>
      <c r="S164" s="78">
        <v>3.7818044754999995E-5</v>
      </c>
      <c r="T164" s="78">
        <f t="shared" si="5"/>
        <v>3.3946191026224036E-4</v>
      </c>
      <c r="U164" s="78">
        <f>R164/'סכום נכסי הקרן'!$C$42</f>
        <v>8.6054980091179187E-6</v>
      </c>
    </row>
    <row r="165" spans="2:21">
      <c r="B165" s="76" t="s">
        <v>663</v>
      </c>
      <c r="C165" s="70" t="s">
        <v>664</v>
      </c>
      <c r="D165" s="83" t="s">
        <v>116</v>
      </c>
      <c r="E165" s="83" t="s">
        <v>287</v>
      </c>
      <c r="F165" s="70" t="s">
        <v>345</v>
      </c>
      <c r="G165" s="83" t="s">
        <v>297</v>
      </c>
      <c r="H165" s="70" t="s">
        <v>340</v>
      </c>
      <c r="I165" s="70" t="s">
        <v>156</v>
      </c>
      <c r="J165" s="70"/>
      <c r="K165" s="77">
        <v>1.4000000000000001</v>
      </c>
      <c r="L165" s="83" t="s">
        <v>160</v>
      </c>
      <c r="M165" s="84">
        <v>6.4000000000000001E-2</v>
      </c>
      <c r="N165" s="84">
        <v>7.799573560767591E-3</v>
      </c>
      <c r="O165" s="77">
        <v>4.3319999999999999E-3</v>
      </c>
      <c r="P165" s="79">
        <v>108.41</v>
      </c>
      <c r="Q165" s="70"/>
      <c r="R165" s="77">
        <v>4.69E-6</v>
      </c>
      <c r="S165" s="78">
        <v>2.6624382329080314E-11</v>
      </c>
      <c r="T165" s="78">
        <f t="shared" si="5"/>
        <v>5.0991188826558505E-11</v>
      </c>
      <c r="U165" s="78">
        <f>R165/'סכום נכסי הקרן'!$C$42</f>
        <v>1.2926474537025988E-12</v>
      </c>
    </row>
    <row r="166" spans="2:21">
      <c r="B166" s="76" t="s">
        <v>665</v>
      </c>
      <c r="C166" s="70" t="s">
        <v>666</v>
      </c>
      <c r="D166" s="83" t="s">
        <v>116</v>
      </c>
      <c r="E166" s="83" t="s">
        <v>287</v>
      </c>
      <c r="F166" s="70" t="s">
        <v>358</v>
      </c>
      <c r="G166" s="83" t="s">
        <v>352</v>
      </c>
      <c r="H166" s="70" t="s">
        <v>340</v>
      </c>
      <c r="I166" s="70" t="s">
        <v>156</v>
      </c>
      <c r="J166" s="70"/>
      <c r="K166" s="77">
        <v>2.9500000000019324</v>
      </c>
      <c r="L166" s="83" t="s">
        <v>160</v>
      </c>
      <c r="M166" s="84">
        <v>1.6299999999999999E-2</v>
      </c>
      <c r="N166" s="84">
        <v>5.900000000013529E-3</v>
      </c>
      <c r="O166" s="77">
        <v>200765.519359</v>
      </c>
      <c r="P166" s="79">
        <v>103.09</v>
      </c>
      <c r="Q166" s="70"/>
      <c r="R166" s="77">
        <v>206.96917390799999</v>
      </c>
      <c r="S166" s="78">
        <v>2.4094589830648828E-4</v>
      </c>
      <c r="T166" s="78">
        <f t="shared" si="5"/>
        <v>2.2502354430745529E-3</v>
      </c>
      <c r="U166" s="78">
        <f>R166/'סכום נכסי הקרן'!$C$42</f>
        <v>5.7044387131579219E-5</v>
      </c>
    </row>
    <row r="167" spans="2:21">
      <c r="B167" s="76" t="s">
        <v>667</v>
      </c>
      <c r="C167" s="70" t="s">
        <v>668</v>
      </c>
      <c r="D167" s="83" t="s">
        <v>116</v>
      </c>
      <c r="E167" s="83" t="s">
        <v>287</v>
      </c>
      <c r="F167" s="70" t="s">
        <v>329</v>
      </c>
      <c r="G167" s="83" t="s">
        <v>297</v>
      </c>
      <c r="H167" s="70" t="s">
        <v>340</v>
      </c>
      <c r="I167" s="70" t="s">
        <v>156</v>
      </c>
      <c r="J167" s="70"/>
      <c r="K167" s="77">
        <v>0.73999820595622534</v>
      </c>
      <c r="L167" s="83" t="s">
        <v>160</v>
      </c>
      <c r="M167" s="84">
        <v>6.0999999999999999E-2</v>
      </c>
      <c r="N167" s="84">
        <v>1.1001973448152135E-3</v>
      </c>
      <c r="O167" s="77">
        <v>2.1063999999999999E-2</v>
      </c>
      <c r="P167" s="79">
        <v>106.01</v>
      </c>
      <c r="Q167" s="70"/>
      <c r="R167" s="77">
        <v>2.2296000000000001E-5</v>
      </c>
      <c r="S167" s="78">
        <v>6.1482430601531323E-11</v>
      </c>
      <c r="T167" s="78">
        <f t="shared" si="5"/>
        <v>2.4240928487781417E-10</v>
      </c>
      <c r="U167" s="78">
        <f>R167/'סכום נכסי הקרן'!$C$42</f>
        <v>6.1451743342757237E-12</v>
      </c>
    </row>
    <row r="168" spans="2:21">
      <c r="B168" s="76" t="s">
        <v>669</v>
      </c>
      <c r="C168" s="70" t="s">
        <v>670</v>
      </c>
      <c r="D168" s="83" t="s">
        <v>116</v>
      </c>
      <c r="E168" s="83" t="s">
        <v>287</v>
      </c>
      <c r="F168" s="70" t="s">
        <v>671</v>
      </c>
      <c r="G168" s="83" t="s">
        <v>672</v>
      </c>
      <c r="H168" s="70" t="s">
        <v>340</v>
      </c>
      <c r="I168" s="70" t="s">
        <v>156</v>
      </c>
      <c r="J168" s="70"/>
      <c r="K168" s="77">
        <v>4.6999999999856197</v>
      </c>
      <c r="L168" s="83" t="s">
        <v>160</v>
      </c>
      <c r="M168" s="84">
        <v>2.6099999999999998E-2</v>
      </c>
      <c r="N168" s="84">
        <v>9.2999999999784297E-3</v>
      </c>
      <c r="O168" s="77">
        <v>77183.233363000007</v>
      </c>
      <c r="P168" s="79">
        <v>108.12</v>
      </c>
      <c r="Q168" s="70"/>
      <c r="R168" s="77">
        <v>83.450511926000004</v>
      </c>
      <c r="S168" s="78">
        <v>1.347104829669413E-4</v>
      </c>
      <c r="T168" s="78">
        <f t="shared" si="5"/>
        <v>9.0730081264214042E-4</v>
      </c>
      <c r="U168" s="78">
        <f>R168/'סכום נכסי הקרן'!$C$42</f>
        <v>2.3000446002414129E-5</v>
      </c>
    </row>
    <row r="169" spans="2:21">
      <c r="B169" s="76" t="s">
        <v>673</v>
      </c>
      <c r="C169" s="70" t="s">
        <v>674</v>
      </c>
      <c r="D169" s="83" t="s">
        <v>116</v>
      </c>
      <c r="E169" s="83" t="s">
        <v>287</v>
      </c>
      <c r="F169" s="70" t="s">
        <v>675</v>
      </c>
      <c r="G169" s="83" t="s">
        <v>472</v>
      </c>
      <c r="H169" s="70" t="s">
        <v>382</v>
      </c>
      <c r="I169" s="70" t="s">
        <v>291</v>
      </c>
      <c r="J169" s="70"/>
      <c r="K169" s="77">
        <v>10.819999999990621</v>
      </c>
      <c r="L169" s="83" t="s">
        <v>160</v>
      </c>
      <c r="M169" s="84">
        <v>2.4E-2</v>
      </c>
      <c r="N169" s="84">
        <v>3.0099999999980698E-2</v>
      </c>
      <c r="O169" s="77">
        <v>193011.027416</v>
      </c>
      <c r="P169" s="79">
        <v>93.9</v>
      </c>
      <c r="Q169" s="70"/>
      <c r="R169" s="77">
        <v>181.23735473499997</v>
      </c>
      <c r="S169" s="78">
        <v>2.5185096939598365E-4</v>
      </c>
      <c r="T169" s="78">
        <f t="shared" si="5"/>
        <v>1.9704708268056185E-3</v>
      </c>
      <c r="U169" s="78">
        <f>R169/'סכום נכסי הקרן'!$C$42</f>
        <v>4.9952239896373632E-5</v>
      </c>
    </row>
    <row r="170" spans="2:21">
      <c r="B170" s="76" t="s">
        <v>676</v>
      </c>
      <c r="C170" s="70" t="s">
        <v>677</v>
      </c>
      <c r="D170" s="83" t="s">
        <v>116</v>
      </c>
      <c r="E170" s="83" t="s">
        <v>287</v>
      </c>
      <c r="F170" s="70" t="s">
        <v>387</v>
      </c>
      <c r="G170" s="83" t="s">
        <v>352</v>
      </c>
      <c r="H170" s="70" t="s">
        <v>388</v>
      </c>
      <c r="I170" s="70" t="s">
        <v>156</v>
      </c>
      <c r="J170" s="70"/>
      <c r="K170" s="77">
        <v>3.2399999999964249</v>
      </c>
      <c r="L170" s="83" t="s">
        <v>160</v>
      </c>
      <c r="M170" s="84">
        <v>3.39E-2</v>
      </c>
      <c r="N170" s="84">
        <v>1.6099999999989349E-2</v>
      </c>
      <c r="O170" s="77">
        <v>270713.81819000002</v>
      </c>
      <c r="P170" s="79">
        <v>107.47</v>
      </c>
      <c r="Q170" s="70"/>
      <c r="R170" s="77">
        <v>290.93614037099996</v>
      </c>
      <c r="S170" s="78">
        <v>2.4945687448978907E-4</v>
      </c>
      <c r="T170" s="78">
        <f t="shared" si="5"/>
        <v>3.1631513155922792E-3</v>
      </c>
      <c r="U170" s="78">
        <f>R170/'סכום נכסי הקרן'!$C$42</f>
        <v>8.0187177194165234E-5</v>
      </c>
    </row>
    <row r="171" spans="2:21">
      <c r="B171" s="76" t="s">
        <v>678</v>
      </c>
      <c r="C171" s="70" t="s">
        <v>679</v>
      </c>
      <c r="D171" s="83" t="s">
        <v>116</v>
      </c>
      <c r="E171" s="83" t="s">
        <v>287</v>
      </c>
      <c r="F171" s="70" t="s">
        <v>387</v>
      </c>
      <c r="G171" s="83" t="s">
        <v>352</v>
      </c>
      <c r="H171" s="70" t="s">
        <v>388</v>
      </c>
      <c r="I171" s="70" t="s">
        <v>156</v>
      </c>
      <c r="J171" s="70"/>
      <c r="K171" s="77">
        <v>8.889999999993428</v>
      </c>
      <c r="L171" s="83" t="s">
        <v>160</v>
      </c>
      <c r="M171" s="84">
        <v>2.4399999999999998E-2</v>
      </c>
      <c r="N171" s="84">
        <v>2.7699999999997685E-2</v>
      </c>
      <c r="O171" s="77">
        <v>308604.15837700001</v>
      </c>
      <c r="P171" s="79">
        <v>98.11</v>
      </c>
      <c r="Q171" s="70"/>
      <c r="R171" s="77">
        <v>302.77152499100004</v>
      </c>
      <c r="S171" s="78">
        <v>6.636648567247312E-4</v>
      </c>
      <c r="T171" s="78">
        <f t="shared" si="5"/>
        <v>3.2918294247593089E-3</v>
      </c>
      <c r="U171" s="78">
        <f>R171/'סכום נכסי הקרן'!$C$42</f>
        <v>8.3449219793873972E-5</v>
      </c>
    </row>
    <row r="172" spans="2:21">
      <c r="B172" s="76" t="s">
        <v>680</v>
      </c>
      <c r="C172" s="70" t="s">
        <v>681</v>
      </c>
      <c r="D172" s="83" t="s">
        <v>116</v>
      </c>
      <c r="E172" s="83" t="s">
        <v>287</v>
      </c>
      <c r="F172" s="70" t="s">
        <v>310</v>
      </c>
      <c r="G172" s="83" t="s">
        <v>297</v>
      </c>
      <c r="H172" s="70" t="s">
        <v>388</v>
      </c>
      <c r="I172" s="70" t="s">
        <v>156</v>
      </c>
      <c r="J172" s="70"/>
      <c r="K172" s="77">
        <v>0.59000000000002217</v>
      </c>
      <c r="L172" s="83" t="s">
        <v>160</v>
      </c>
      <c r="M172" s="84">
        <v>1.4800000000000001E-2</v>
      </c>
      <c r="N172" s="84">
        <v>9.3000000000059511E-3</v>
      </c>
      <c r="O172" s="77">
        <v>451376.502752</v>
      </c>
      <c r="P172" s="79">
        <v>100.54</v>
      </c>
      <c r="Q172" s="70"/>
      <c r="R172" s="77">
        <v>453.81394316099994</v>
      </c>
      <c r="S172" s="78">
        <v>5.571550788436337E-4</v>
      </c>
      <c r="T172" s="78">
        <f t="shared" si="5"/>
        <v>4.9340111871743362E-3</v>
      </c>
      <c r="U172" s="78">
        <f>R172/'סכום נכסי הקרן'!$C$42</f>
        <v>1.2507919788524573E-4</v>
      </c>
    </row>
    <row r="173" spans="2:21">
      <c r="B173" s="76" t="s">
        <v>682</v>
      </c>
      <c r="C173" s="70" t="s">
        <v>683</v>
      </c>
      <c r="D173" s="83" t="s">
        <v>116</v>
      </c>
      <c r="E173" s="83" t="s">
        <v>287</v>
      </c>
      <c r="F173" s="70" t="s">
        <v>406</v>
      </c>
      <c r="G173" s="83" t="s">
        <v>352</v>
      </c>
      <c r="H173" s="70" t="s">
        <v>382</v>
      </c>
      <c r="I173" s="70" t="s">
        <v>291</v>
      </c>
      <c r="J173" s="70"/>
      <c r="K173" s="77">
        <v>8.0699999999974636</v>
      </c>
      <c r="L173" s="83" t="s">
        <v>160</v>
      </c>
      <c r="M173" s="84">
        <v>2.5499999999999998E-2</v>
      </c>
      <c r="N173" s="84">
        <v>2.4599999999989689E-2</v>
      </c>
      <c r="O173" s="77">
        <v>941924.36434199999</v>
      </c>
      <c r="P173" s="79">
        <v>100.86</v>
      </c>
      <c r="Q173" s="70"/>
      <c r="R173" s="77">
        <v>950.02494526299995</v>
      </c>
      <c r="S173" s="78">
        <v>9.6429929005902655E-4</v>
      </c>
      <c r="T173" s="78">
        <f t="shared" si="5"/>
        <v>1.0328976838773249E-2</v>
      </c>
      <c r="U173" s="78">
        <f>R173/'סכום נכסי הקרן'!$C$42</f>
        <v>2.6184377962647497E-4</v>
      </c>
    </row>
    <row r="174" spans="2:21">
      <c r="B174" s="76" t="s">
        <v>684</v>
      </c>
      <c r="C174" s="70" t="s">
        <v>685</v>
      </c>
      <c r="D174" s="83" t="s">
        <v>116</v>
      </c>
      <c r="E174" s="83" t="s">
        <v>287</v>
      </c>
      <c r="F174" s="70" t="s">
        <v>686</v>
      </c>
      <c r="G174" s="83" t="s">
        <v>505</v>
      </c>
      <c r="H174" s="70" t="s">
        <v>382</v>
      </c>
      <c r="I174" s="70" t="s">
        <v>291</v>
      </c>
      <c r="J174" s="70"/>
      <c r="K174" s="77">
        <v>3.0599999999966268</v>
      </c>
      <c r="L174" s="83" t="s">
        <v>160</v>
      </c>
      <c r="M174" s="84">
        <v>4.3499999999999997E-2</v>
      </c>
      <c r="N174" s="84">
        <v>0.15229999999993496</v>
      </c>
      <c r="O174" s="77">
        <v>285376.12010599999</v>
      </c>
      <c r="P174" s="79">
        <v>72.72</v>
      </c>
      <c r="Q174" s="70"/>
      <c r="R174" s="77">
        <v>207.525524045</v>
      </c>
      <c r="S174" s="78">
        <v>1.8255583442187412E-4</v>
      </c>
      <c r="T174" s="78">
        <f t="shared" si="5"/>
        <v>2.2562842607482094E-3</v>
      </c>
      <c r="U174" s="78">
        <f>R174/'סכום נכסי הקרן'!$C$42</f>
        <v>5.7197727129012086E-5</v>
      </c>
    </row>
    <row r="175" spans="2:21">
      <c r="B175" s="76" t="s">
        <v>687</v>
      </c>
      <c r="C175" s="70" t="s">
        <v>688</v>
      </c>
      <c r="D175" s="83" t="s">
        <v>116</v>
      </c>
      <c r="E175" s="83" t="s">
        <v>287</v>
      </c>
      <c r="F175" s="70" t="s">
        <v>351</v>
      </c>
      <c r="G175" s="83" t="s">
        <v>352</v>
      </c>
      <c r="H175" s="70" t="s">
        <v>382</v>
      </c>
      <c r="I175" s="70" t="s">
        <v>291</v>
      </c>
      <c r="J175" s="70"/>
      <c r="K175" s="77">
        <v>3.5499999999980765</v>
      </c>
      <c r="L175" s="83" t="s">
        <v>160</v>
      </c>
      <c r="M175" s="84">
        <v>2.5499999999999998E-2</v>
      </c>
      <c r="N175" s="84">
        <v>1.0799999999977772E-2</v>
      </c>
      <c r="O175" s="77">
        <v>222122.5</v>
      </c>
      <c r="P175" s="79">
        <v>105.32</v>
      </c>
      <c r="Q175" s="70"/>
      <c r="R175" s="77">
        <v>233.93942441899998</v>
      </c>
      <c r="S175" s="78">
        <v>6.6198515825236935E-4</v>
      </c>
      <c r="T175" s="78">
        <f t="shared" si="5"/>
        <v>2.5434646832677267E-3</v>
      </c>
      <c r="U175" s="78">
        <f>R175/'סכום נכסי הקרן'!$C$42</f>
        <v>6.4477868080143263E-5</v>
      </c>
    </row>
    <row r="176" spans="2:21">
      <c r="B176" s="76" t="s">
        <v>689</v>
      </c>
      <c r="C176" s="70" t="s">
        <v>690</v>
      </c>
      <c r="D176" s="83" t="s">
        <v>116</v>
      </c>
      <c r="E176" s="83" t="s">
        <v>287</v>
      </c>
      <c r="F176" s="70" t="s">
        <v>415</v>
      </c>
      <c r="G176" s="83" t="s">
        <v>416</v>
      </c>
      <c r="H176" s="70" t="s">
        <v>388</v>
      </c>
      <c r="I176" s="70" t="s">
        <v>156</v>
      </c>
      <c r="J176" s="70"/>
      <c r="K176" s="77">
        <v>2.1700000000042263</v>
      </c>
      <c r="L176" s="83" t="s">
        <v>160</v>
      </c>
      <c r="M176" s="84">
        <v>4.8000000000000001E-2</v>
      </c>
      <c r="N176" s="84">
        <v>8.1000000000007438E-3</v>
      </c>
      <c r="O176" s="77">
        <v>122607.54094200001</v>
      </c>
      <c r="P176" s="79">
        <v>110</v>
      </c>
      <c r="Q176" s="70"/>
      <c r="R176" s="77">
        <v>134.868299079</v>
      </c>
      <c r="S176" s="78">
        <v>6.1665430760895527E-5</v>
      </c>
      <c r="T176" s="78">
        <f t="shared" si="5"/>
        <v>1.4663315362588604E-3</v>
      </c>
      <c r="U176" s="78">
        <f>R176/'סכום נכסי הקרן'!$C$42</f>
        <v>3.7172103068159892E-5</v>
      </c>
    </row>
    <row r="177" spans="2:21">
      <c r="B177" s="76" t="s">
        <v>691</v>
      </c>
      <c r="C177" s="70" t="s">
        <v>692</v>
      </c>
      <c r="D177" s="83" t="s">
        <v>116</v>
      </c>
      <c r="E177" s="83" t="s">
        <v>287</v>
      </c>
      <c r="F177" s="70" t="s">
        <v>415</v>
      </c>
      <c r="G177" s="83" t="s">
        <v>416</v>
      </c>
      <c r="H177" s="70" t="s">
        <v>388</v>
      </c>
      <c r="I177" s="70" t="s">
        <v>156</v>
      </c>
      <c r="J177" s="70"/>
      <c r="K177" s="77">
        <v>0.64999640985136786</v>
      </c>
      <c r="L177" s="83" t="s">
        <v>160</v>
      </c>
      <c r="M177" s="84">
        <v>4.4999999999999998E-2</v>
      </c>
      <c r="N177" s="84">
        <v>9.9985639405471391E-4</v>
      </c>
      <c r="O177" s="77">
        <v>2.6655000000000002E-2</v>
      </c>
      <c r="P177" s="79">
        <v>104.43</v>
      </c>
      <c r="Q177" s="70"/>
      <c r="R177" s="77">
        <v>2.7854000000000001E-5</v>
      </c>
      <c r="S177" s="78">
        <v>4.4387418652207799E-11</v>
      </c>
      <c r="T177" s="78">
        <f t="shared" si="5"/>
        <v>3.02837648949885E-10</v>
      </c>
      <c r="U177" s="78">
        <f>R177/'סכום נכסי הקרן'!$C$42</f>
        <v>7.6770580331411924E-12</v>
      </c>
    </row>
    <row r="178" spans="2:21">
      <c r="B178" s="76" t="s">
        <v>693</v>
      </c>
      <c r="C178" s="70" t="s">
        <v>694</v>
      </c>
      <c r="D178" s="83" t="s">
        <v>116</v>
      </c>
      <c r="E178" s="83" t="s">
        <v>287</v>
      </c>
      <c r="F178" s="70" t="s">
        <v>695</v>
      </c>
      <c r="G178" s="83" t="s">
        <v>153</v>
      </c>
      <c r="H178" s="70" t="s">
        <v>388</v>
      </c>
      <c r="I178" s="70" t="s">
        <v>156</v>
      </c>
      <c r="J178" s="70"/>
      <c r="K178" s="77">
        <v>2.1403377110694186</v>
      </c>
      <c r="L178" s="83" t="s">
        <v>160</v>
      </c>
      <c r="M178" s="84">
        <v>1.49E-2</v>
      </c>
      <c r="N178" s="84">
        <v>7.2007504690431538E-3</v>
      </c>
      <c r="O178" s="77">
        <v>2.6210000000000001E-3</v>
      </c>
      <c r="P178" s="79">
        <v>101.78</v>
      </c>
      <c r="Q178" s="70"/>
      <c r="R178" s="77">
        <v>2.6649999999999995E-6</v>
      </c>
      <c r="S178" s="78">
        <v>2.7349020434416952E-12</v>
      </c>
      <c r="T178" s="78">
        <f t="shared" si="5"/>
        <v>2.8974737360933558E-11</v>
      </c>
      <c r="U178" s="78">
        <f>R178/'סכום נכסי הקרן'!$C$42</f>
        <v>7.3452142092055969E-13</v>
      </c>
    </row>
    <row r="179" spans="2:21">
      <c r="B179" s="76" t="s">
        <v>696</v>
      </c>
      <c r="C179" s="70" t="s">
        <v>697</v>
      </c>
      <c r="D179" s="83" t="s">
        <v>116</v>
      </c>
      <c r="E179" s="83" t="s">
        <v>287</v>
      </c>
      <c r="F179" s="70" t="s">
        <v>310</v>
      </c>
      <c r="G179" s="83" t="s">
        <v>297</v>
      </c>
      <c r="H179" s="70" t="s">
        <v>382</v>
      </c>
      <c r="I179" s="70" t="s">
        <v>291</v>
      </c>
      <c r="J179" s="70"/>
      <c r="K179" s="77">
        <v>0.55999999999918337</v>
      </c>
      <c r="L179" s="83" t="s">
        <v>160</v>
      </c>
      <c r="M179" s="84">
        <v>3.2500000000000001E-2</v>
      </c>
      <c r="N179" s="84">
        <v>2.909999999991017E-2</v>
      </c>
      <c r="O179" s="77">
        <f>48883.8285/50000</f>
        <v>0.97767657000000008</v>
      </c>
      <c r="P179" s="79">
        <v>5010000</v>
      </c>
      <c r="Q179" s="70"/>
      <c r="R179" s="77">
        <v>48.981595083999999</v>
      </c>
      <c r="S179" s="78">
        <f>264.022838239265%/50000</f>
        <v>5.2804567647853003E-5</v>
      </c>
      <c r="T179" s="78">
        <f t="shared" si="5"/>
        <v>5.3254365969174276E-4</v>
      </c>
      <c r="U179" s="78">
        <f>R179/'סכום נכסי הקרן'!$C$42</f>
        <v>1.3500199182009453E-5</v>
      </c>
    </row>
    <row r="180" spans="2:21">
      <c r="B180" s="76" t="s">
        <v>698</v>
      </c>
      <c r="C180" s="70" t="s">
        <v>699</v>
      </c>
      <c r="D180" s="83" t="s">
        <v>116</v>
      </c>
      <c r="E180" s="83" t="s">
        <v>287</v>
      </c>
      <c r="F180" s="70" t="s">
        <v>700</v>
      </c>
      <c r="G180" s="83" t="s">
        <v>505</v>
      </c>
      <c r="H180" s="70" t="s">
        <v>382</v>
      </c>
      <c r="I180" s="70" t="s">
        <v>291</v>
      </c>
      <c r="J180" s="70"/>
      <c r="K180" s="77">
        <v>2.8699999999923249</v>
      </c>
      <c r="L180" s="83" t="s">
        <v>160</v>
      </c>
      <c r="M180" s="84">
        <v>3.3799999999999997E-2</v>
      </c>
      <c r="N180" s="84">
        <v>3.049999999991472E-2</v>
      </c>
      <c r="O180" s="77">
        <v>185783.27677</v>
      </c>
      <c r="P180" s="79">
        <v>100.99</v>
      </c>
      <c r="Q180" s="70"/>
      <c r="R180" s="77">
        <v>187.62253121200001</v>
      </c>
      <c r="S180" s="78">
        <v>2.2697213754185863E-4</v>
      </c>
      <c r="T180" s="78">
        <f t="shared" si="5"/>
        <v>2.0398925196477525E-3</v>
      </c>
      <c r="U180" s="78">
        <f>R180/'סכום נכסי הקרן'!$C$42</f>
        <v>5.1712108151050787E-5</v>
      </c>
    </row>
    <row r="181" spans="2:21">
      <c r="B181" s="76" t="s">
        <v>701</v>
      </c>
      <c r="C181" s="70" t="s">
        <v>702</v>
      </c>
      <c r="D181" s="83" t="s">
        <v>116</v>
      </c>
      <c r="E181" s="83" t="s">
        <v>287</v>
      </c>
      <c r="F181" s="70" t="s">
        <v>468</v>
      </c>
      <c r="G181" s="83" t="s">
        <v>147</v>
      </c>
      <c r="H181" s="70" t="s">
        <v>382</v>
      </c>
      <c r="I181" s="70" t="s">
        <v>291</v>
      </c>
      <c r="J181" s="70"/>
      <c r="K181" s="77">
        <v>4.3500000000090084</v>
      </c>
      <c r="L181" s="83" t="s">
        <v>160</v>
      </c>
      <c r="M181" s="84">
        <v>5.0900000000000001E-2</v>
      </c>
      <c r="N181" s="84">
        <v>1.2200000000038036E-2</v>
      </c>
      <c r="O181" s="77">
        <v>164658.79890200001</v>
      </c>
      <c r="P181" s="79">
        <v>121.35</v>
      </c>
      <c r="Q181" s="70"/>
      <c r="R181" s="77">
        <v>199.813448792</v>
      </c>
      <c r="S181" s="78">
        <v>1.5948646187849896E-4</v>
      </c>
      <c r="T181" s="78">
        <f t="shared" si="5"/>
        <v>2.1724360975349149E-3</v>
      </c>
      <c r="U181" s="78">
        <f>R181/'סכום נכסי הקרן'!$C$42</f>
        <v>5.5072141960877065E-5</v>
      </c>
    </row>
    <row r="182" spans="2:21">
      <c r="B182" s="76" t="s">
        <v>703</v>
      </c>
      <c r="C182" s="70" t="s">
        <v>704</v>
      </c>
      <c r="D182" s="83" t="s">
        <v>116</v>
      </c>
      <c r="E182" s="83" t="s">
        <v>287</v>
      </c>
      <c r="F182" s="70" t="s">
        <v>468</v>
      </c>
      <c r="G182" s="83" t="s">
        <v>147</v>
      </c>
      <c r="H182" s="70" t="s">
        <v>382</v>
      </c>
      <c r="I182" s="70" t="s">
        <v>291</v>
      </c>
      <c r="J182" s="70"/>
      <c r="K182" s="77">
        <v>6.4899999999955371</v>
      </c>
      <c r="L182" s="83" t="s">
        <v>160</v>
      </c>
      <c r="M182" s="84">
        <v>3.5200000000000002E-2</v>
      </c>
      <c r="N182" s="84">
        <v>1.799999999998406E-2</v>
      </c>
      <c r="O182" s="77">
        <v>222122.5</v>
      </c>
      <c r="P182" s="79">
        <v>112.98</v>
      </c>
      <c r="Q182" s="70"/>
      <c r="R182" s="77">
        <v>250.95400298799998</v>
      </c>
      <c r="S182" s="78">
        <v>2.5981062998573E-4</v>
      </c>
      <c r="T182" s="78">
        <f t="shared" si="5"/>
        <v>2.7284526552541224E-3</v>
      </c>
      <c r="U182" s="78">
        <f>R182/'סכום נכסי הקרן'!$C$42</f>
        <v>6.9167388690599696E-5</v>
      </c>
    </row>
    <row r="183" spans="2:21">
      <c r="B183" s="76" t="s">
        <v>705</v>
      </c>
      <c r="C183" s="70" t="s">
        <v>706</v>
      </c>
      <c r="D183" s="83" t="s">
        <v>116</v>
      </c>
      <c r="E183" s="83" t="s">
        <v>287</v>
      </c>
      <c r="F183" s="70" t="s">
        <v>707</v>
      </c>
      <c r="G183" s="83" t="s">
        <v>708</v>
      </c>
      <c r="H183" s="70" t="s">
        <v>382</v>
      </c>
      <c r="I183" s="70" t="s">
        <v>291</v>
      </c>
      <c r="J183" s="70"/>
      <c r="K183" s="77">
        <v>2.3900054434257298</v>
      </c>
      <c r="L183" s="83" t="s">
        <v>160</v>
      </c>
      <c r="M183" s="84">
        <v>1.0500000000000001E-2</v>
      </c>
      <c r="N183" s="84">
        <v>9.1000202794291885E-3</v>
      </c>
      <c r="O183" s="77">
        <v>9.3290999999999999E-2</v>
      </c>
      <c r="P183" s="79">
        <v>100.42</v>
      </c>
      <c r="Q183" s="70"/>
      <c r="R183" s="77">
        <v>9.3690999999999995E-5</v>
      </c>
      <c r="S183" s="78">
        <v>2.0134371587294051E-10</v>
      </c>
      <c r="T183" s="78">
        <f t="shared" si="5"/>
        <v>1.0186386934646252E-9</v>
      </c>
      <c r="U183" s="78">
        <f>R183/'סכום נכסי הקרן'!$C$42</f>
        <v>2.5822906734509631E-11</v>
      </c>
    </row>
    <row r="184" spans="2:21">
      <c r="B184" s="76" t="s">
        <v>709</v>
      </c>
      <c r="C184" s="70" t="s">
        <v>710</v>
      </c>
      <c r="D184" s="83" t="s">
        <v>116</v>
      </c>
      <c r="E184" s="83" t="s">
        <v>287</v>
      </c>
      <c r="F184" s="70" t="s">
        <v>476</v>
      </c>
      <c r="G184" s="83" t="s">
        <v>187</v>
      </c>
      <c r="H184" s="70" t="s">
        <v>477</v>
      </c>
      <c r="I184" s="70" t="s">
        <v>156</v>
      </c>
      <c r="J184" s="70"/>
      <c r="K184" s="77">
        <v>7.0599999999835941</v>
      </c>
      <c r="L184" s="83" t="s">
        <v>160</v>
      </c>
      <c r="M184" s="84">
        <v>3.2000000000000001E-2</v>
      </c>
      <c r="N184" s="84">
        <v>2.3399999999940344E-2</v>
      </c>
      <c r="O184" s="77">
        <v>75521.649999999994</v>
      </c>
      <c r="P184" s="79">
        <v>106.54</v>
      </c>
      <c r="Q184" s="70"/>
      <c r="R184" s="77">
        <v>80.460764221999995</v>
      </c>
      <c r="S184" s="78">
        <v>9.047044321402644E-5</v>
      </c>
      <c r="T184" s="78">
        <f t="shared" si="5"/>
        <v>8.7479531376827388E-4</v>
      </c>
      <c r="U184" s="78">
        <f>R184/'סכום נכסי הקרן'!$C$42</f>
        <v>2.217641833572142E-5</v>
      </c>
    </row>
    <row r="185" spans="2:21">
      <c r="B185" s="76" t="s">
        <v>711</v>
      </c>
      <c r="C185" s="70" t="s">
        <v>712</v>
      </c>
      <c r="D185" s="83" t="s">
        <v>116</v>
      </c>
      <c r="E185" s="83" t="s">
        <v>287</v>
      </c>
      <c r="F185" s="70" t="s">
        <v>476</v>
      </c>
      <c r="G185" s="83" t="s">
        <v>187</v>
      </c>
      <c r="H185" s="70" t="s">
        <v>477</v>
      </c>
      <c r="I185" s="70" t="s">
        <v>156</v>
      </c>
      <c r="J185" s="70"/>
      <c r="K185" s="77">
        <v>3.9500000000031328</v>
      </c>
      <c r="L185" s="83" t="s">
        <v>160</v>
      </c>
      <c r="M185" s="84">
        <v>3.6499999999999998E-2</v>
      </c>
      <c r="N185" s="84">
        <v>1.630000000001507E-2</v>
      </c>
      <c r="O185" s="77">
        <v>544244.17633399996</v>
      </c>
      <c r="P185" s="79">
        <v>108.5</v>
      </c>
      <c r="Q185" s="70"/>
      <c r="R185" s="77">
        <v>590.50491319700006</v>
      </c>
      <c r="S185" s="78">
        <v>2.537306739932717E-4</v>
      </c>
      <c r="T185" s="78">
        <f t="shared" si="5"/>
        <v>6.4201593884517629E-3</v>
      </c>
      <c r="U185" s="78">
        <f>R185/'סכום נכסי הקרן'!$C$42</f>
        <v>1.6275366150170068E-4</v>
      </c>
    </row>
    <row r="186" spans="2:21">
      <c r="B186" s="76" t="s">
        <v>713</v>
      </c>
      <c r="C186" s="70" t="s">
        <v>714</v>
      </c>
      <c r="D186" s="83" t="s">
        <v>116</v>
      </c>
      <c r="E186" s="83" t="s">
        <v>287</v>
      </c>
      <c r="F186" s="70" t="s">
        <v>397</v>
      </c>
      <c r="G186" s="83" t="s">
        <v>352</v>
      </c>
      <c r="H186" s="70" t="s">
        <v>477</v>
      </c>
      <c r="I186" s="70" t="s">
        <v>156</v>
      </c>
      <c r="J186" s="70"/>
      <c r="K186" s="77">
        <v>2.690000000001763</v>
      </c>
      <c r="L186" s="83" t="s">
        <v>160</v>
      </c>
      <c r="M186" s="84">
        <v>3.5000000000000003E-2</v>
      </c>
      <c r="N186" s="84">
        <v>1.2300000000035269E-2</v>
      </c>
      <c r="O186" s="77">
        <v>98440.894016000006</v>
      </c>
      <c r="P186" s="79">
        <v>106.19</v>
      </c>
      <c r="Q186" s="77">
        <v>8.8772595640000009</v>
      </c>
      <c r="R186" s="77">
        <v>113.41164492</v>
      </c>
      <c r="S186" s="78">
        <v>7.9297677720779945E-4</v>
      </c>
      <c r="T186" s="78">
        <f t="shared" si="5"/>
        <v>1.2330478893915404E-3</v>
      </c>
      <c r="U186" s="78">
        <f>R186/'סכום נכסי הקרן'!$C$42</f>
        <v>3.1258267382955496E-5</v>
      </c>
    </row>
    <row r="187" spans="2:21">
      <c r="B187" s="76" t="s">
        <v>715</v>
      </c>
      <c r="C187" s="70" t="s">
        <v>716</v>
      </c>
      <c r="D187" s="83" t="s">
        <v>116</v>
      </c>
      <c r="E187" s="83" t="s">
        <v>287</v>
      </c>
      <c r="F187" s="70" t="s">
        <v>345</v>
      </c>
      <c r="G187" s="83" t="s">
        <v>297</v>
      </c>
      <c r="H187" s="70" t="s">
        <v>477</v>
      </c>
      <c r="I187" s="70" t="s">
        <v>156</v>
      </c>
      <c r="J187" s="70"/>
      <c r="K187" s="77">
        <v>1.4899999999995903</v>
      </c>
      <c r="L187" s="83" t="s">
        <v>160</v>
      </c>
      <c r="M187" s="84">
        <v>3.6000000000000004E-2</v>
      </c>
      <c r="N187" s="84">
        <v>3.0399999999995903E-2</v>
      </c>
      <c r="O187" s="77">
        <f>476319.25575/50000</f>
        <v>9.5263851150000001</v>
      </c>
      <c r="P187" s="79">
        <v>5124999</v>
      </c>
      <c r="Q187" s="70"/>
      <c r="R187" s="77">
        <v>488.22714188000003</v>
      </c>
      <c r="S187" s="78">
        <f>3037.55663382437%/50000</f>
        <v>6.0751132676487398E-4</v>
      </c>
      <c r="T187" s="78">
        <f t="shared" si="5"/>
        <v>5.3081625547663222E-3</v>
      </c>
      <c r="U187" s="78">
        <f>R187/'סכום נכסי הקרן'!$C$42</f>
        <v>1.3456408779950521E-4</v>
      </c>
    </row>
    <row r="188" spans="2:21">
      <c r="B188" s="76" t="s">
        <v>717</v>
      </c>
      <c r="C188" s="70" t="s">
        <v>718</v>
      </c>
      <c r="D188" s="83" t="s">
        <v>116</v>
      </c>
      <c r="E188" s="83" t="s">
        <v>287</v>
      </c>
      <c r="F188" s="70" t="s">
        <v>411</v>
      </c>
      <c r="G188" s="83" t="s">
        <v>412</v>
      </c>
      <c r="H188" s="70" t="s">
        <v>473</v>
      </c>
      <c r="I188" s="70" t="s">
        <v>291</v>
      </c>
      <c r="J188" s="70"/>
      <c r="K188" s="77">
        <v>9.8399999999858032</v>
      </c>
      <c r="L188" s="83" t="s">
        <v>160</v>
      </c>
      <c r="M188" s="84">
        <v>3.0499999999999999E-2</v>
      </c>
      <c r="N188" s="84">
        <v>2.5799999999967606E-2</v>
      </c>
      <c r="O188" s="77">
        <v>276776.483014</v>
      </c>
      <c r="P188" s="79">
        <v>104.85</v>
      </c>
      <c r="Q188" s="70"/>
      <c r="R188" s="77">
        <v>290.200142443</v>
      </c>
      <c r="S188" s="78">
        <v>8.7579872958524184E-4</v>
      </c>
      <c r="T188" s="78">
        <f t="shared" si="5"/>
        <v>3.1551493093401255E-3</v>
      </c>
      <c r="U188" s="78">
        <f>R188/'סכום נכסי הקרן'!$C$42</f>
        <v>7.9984323068886014E-5</v>
      </c>
    </row>
    <row r="189" spans="2:21">
      <c r="B189" s="76" t="s">
        <v>719</v>
      </c>
      <c r="C189" s="70" t="s">
        <v>720</v>
      </c>
      <c r="D189" s="83" t="s">
        <v>116</v>
      </c>
      <c r="E189" s="83" t="s">
        <v>287</v>
      </c>
      <c r="F189" s="70" t="s">
        <v>411</v>
      </c>
      <c r="G189" s="83" t="s">
        <v>412</v>
      </c>
      <c r="H189" s="70" t="s">
        <v>473</v>
      </c>
      <c r="I189" s="70" t="s">
        <v>291</v>
      </c>
      <c r="J189" s="70"/>
      <c r="K189" s="77">
        <v>9.1100000000065933</v>
      </c>
      <c r="L189" s="83" t="s">
        <v>160</v>
      </c>
      <c r="M189" s="84">
        <v>3.0499999999999999E-2</v>
      </c>
      <c r="N189" s="84">
        <v>2.5300000000028945E-2</v>
      </c>
      <c r="O189" s="77">
        <v>474287.91663300002</v>
      </c>
      <c r="P189" s="79">
        <v>104.9</v>
      </c>
      <c r="Q189" s="70"/>
      <c r="R189" s="77">
        <v>497.52802455199998</v>
      </c>
      <c r="S189" s="78">
        <v>6.5071540955161512E-4</v>
      </c>
      <c r="T189" s="78">
        <f t="shared" si="5"/>
        <v>5.4092847433764744E-3</v>
      </c>
      <c r="U189" s="78">
        <f>R189/'סכום נכסי הקרן'!$C$42</f>
        <v>1.3712757656350252E-4</v>
      </c>
    </row>
    <row r="190" spans="2:21">
      <c r="B190" s="76" t="s">
        <v>721</v>
      </c>
      <c r="C190" s="70" t="s">
        <v>722</v>
      </c>
      <c r="D190" s="83" t="s">
        <v>116</v>
      </c>
      <c r="E190" s="83" t="s">
        <v>287</v>
      </c>
      <c r="F190" s="70" t="s">
        <v>411</v>
      </c>
      <c r="G190" s="83" t="s">
        <v>412</v>
      </c>
      <c r="H190" s="70" t="s">
        <v>473</v>
      </c>
      <c r="I190" s="70" t="s">
        <v>291</v>
      </c>
      <c r="J190" s="70"/>
      <c r="K190" s="77">
        <v>5.5699999999903476</v>
      </c>
      <c r="L190" s="83" t="s">
        <v>160</v>
      </c>
      <c r="M190" s="84">
        <v>2.9100000000000001E-2</v>
      </c>
      <c r="N190" s="84">
        <v>1.7999999999975768E-2</v>
      </c>
      <c r="O190" s="77">
        <v>232904.65933400003</v>
      </c>
      <c r="P190" s="79">
        <v>106.31</v>
      </c>
      <c r="Q190" s="70"/>
      <c r="R190" s="77">
        <v>247.60094332699998</v>
      </c>
      <c r="S190" s="78">
        <v>3.8817443222333338E-4</v>
      </c>
      <c r="T190" s="78">
        <f t="shared" si="5"/>
        <v>2.6919971119021462E-3</v>
      </c>
      <c r="U190" s="78">
        <f>R190/'סכום נכסי הקרן'!$C$42</f>
        <v>6.8243225783797017E-5</v>
      </c>
    </row>
    <row r="191" spans="2:21">
      <c r="B191" s="76" t="s">
        <v>723</v>
      </c>
      <c r="C191" s="70" t="s">
        <v>724</v>
      </c>
      <c r="D191" s="83" t="s">
        <v>116</v>
      </c>
      <c r="E191" s="83" t="s">
        <v>287</v>
      </c>
      <c r="F191" s="70" t="s">
        <v>411</v>
      </c>
      <c r="G191" s="83" t="s">
        <v>412</v>
      </c>
      <c r="H191" s="70" t="s">
        <v>473</v>
      </c>
      <c r="I191" s="70" t="s">
        <v>291</v>
      </c>
      <c r="J191" s="70"/>
      <c r="K191" s="77">
        <v>7.3999999999958783</v>
      </c>
      <c r="L191" s="83" t="s">
        <v>160</v>
      </c>
      <c r="M191" s="84">
        <v>3.95E-2</v>
      </c>
      <c r="N191" s="84">
        <v>2.0899999999975272E-2</v>
      </c>
      <c r="O191" s="77">
        <v>169528.49882099999</v>
      </c>
      <c r="P191" s="79">
        <v>114.5</v>
      </c>
      <c r="Q191" s="70"/>
      <c r="R191" s="77">
        <v>194.110131172</v>
      </c>
      <c r="S191" s="78">
        <v>7.063393937426091E-4</v>
      </c>
      <c r="T191" s="78">
        <f t="shared" si="5"/>
        <v>2.1104277935478661E-3</v>
      </c>
      <c r="U191" s="78">
        <f>R191/'סכום נכסי הקרן'!$C$42</f>
        <v>5.3500206140162739E-5</v>
      </c>
    </row>
    <row r="192" spans="2:21">
      <c r="B192" s="76" t="s">
        <v>725</v>
      </c>
      <c r="C192" s="70" t="s">
        <v>726</v>
      </c>
      <c r="D192" s="83" t="s">
        <v>116</v>
      </c>
      <c r="E192" s="83" t="s">
        <v>287</v>
      </c>
      <c r="F192" s="70" t="s">
        <v>411</v>
      </c>
      <c r="G192" s="83" t="s">
        <v>412</v>
      </c>
      <c r="H192" s="70" t="s">
        <v>473</v>
      </c>
      <c r="I192" s="70" t="s">
        <v>291</v>
      </c>
      <c r="J192" s="70"/>
      <c r="K192" s="77">
        <v>8.1399999999564034</v>
      </c>
      <c r="L192" s="83" t="s">
        <v>160</v>
      </c>
      <c r="M192" s="84">
        <v>3.95E-2</v>
      </c>
      <c r="N192" s="84">
        <v>2.1399999999771636E-2</v>
      </c>
      <c r="O192" s="77">
        <v>41682.975255999998</v>
      </c>
      <c r="P192" s="79">
        <v>115.56</v>
      </c>
      <c r="Q192" s="70"/>
      <c r="R192" s="77">
        <v>48.168846214999995</v>
      </c>
      <c r="S192" s="78">
        <v>1.7367184677780036E-4</v>
      </c>
      <c r="T192" s="78">
        <f t="shared" si="5"/>
        <v>5.2370719251738224E-4</v>
      </c>
      <c r="U192" s="78">
        <f>R192/'סכום נכסי הקרן'!$C$42</f>
        <v>1.3276191131686952E-5</v>
      </c>
    </row>
    <row r="193" spans="2:21">
      <c r="B193" s="76" t="s">
        <v>727</v>
      </c>
      <c r="C193" s="70" t="s">
        <v>728</v>
      </c>
      <c r="D193" s="83" t="s">
        <v>116</v>
      </c>
      <c r="E193" s="83" t="s">
        <v>287</v>
      </c>
      <c r="F193" s="70" t="s">
        <v>423</v>
      </c>
      <c r="G193" s="83" t="s">
        <v>352</v>
      </c>
      <c r="H193" s="70" t="s">
        <v>477</v>
      </c>
      <c r="I193" s="70" t="s">
        <v>156</v>
      </c>
      <c r="J193" s="70"/>
      <c r="K193" s="77">
        <v>3.3701012994986184</v>
      </c>
      <c r="L193" s="83" t="s">
        <v>160</v>
      </c>
      <c r="M193" s="84">
        <v>5.0499999999999996E-2</v>
      </c>
      <c r="N193" s="84">
        <v>2.1100992530441013E-2</v>
      </c>
      <c r="O193" s="77">
        <v>8.796E-3</v>
      </c>
      <c r="P193" s="79">
        <v>111.92</v>
      </c>
      <c r="Q193" s="70"/>
      <c r="R193" s="77">
        <v>9.7730000000000011E-6</v>
      </c>
      <c r="S193" s="78">
        <v>1.35584105110964E-11</v>
      </c>
      <c r="T193" s="78">
        <f t="shared" si="5"/>
        <v>1.0625520008570497E-10</v>
      </c>
      <c r="U193" s="78">
        <f>R193/'סכום נכסי הקרן'!$C$42</f>
        <v>2.6936127004340083E-12</v>
      </c>
    </row>
    <row r="194" spans="2:21">
      <c r="B194" s="76" t="s">
        <v>729</v>
      </c>
      <c r="C194" s="70" t="s">
        <v>730</v>
      </c>
      <c r="D194" s="83" t="s">
        <v>116</v>
      </c>
      <c r="E194" s="83" t="s">
        <v>287</v>
      </c>
      <c r="F194" s="70" t="s">
        <v>428</v>
      </c>
      <c r="G194" s="83" t="s">
        <v>412</v>
      </c>
      <c r="H194" s="70" t="s">
        <v>477</v>
      </c>
      <c r="I194" s="70" t="s">
        <v>156</v>
      </c>
      <c r="J194" s="70"/>
      <c r="K194" s="77">
        <v>3.7700000000033587</v>
      </c>
      <c r="L194" s="83" t="s">
        <v>160</v>
      </c>
      <c r="M194" s="84">
        <v>3.9199999999999999E-2</v>
      </c>
      <c r="N194" s="84">
        <v>1.8400000000008628E-2</v>
      </c>
      <c r="O194" s="77">
        <v>295560.18555400003</v>
      </c>
      <c r="P194" s="79">
        <v>109.8</v>
      </c>
      <c r="Q194" s="70"/>
      <c r="R194" s="77">
        <v>324.525093583</v>
      </c>
      <c r="S194" s="78">
        <v>3.0792202309309544E-4</v>
      </c>
      <c r="T194" s="78">
        <f t="shared" si="5"/>
        <v>3.5283412208629685E-3</v>
      </c>
      <c r="U194" s="78">
        <f>R194/'סכום נכסי הקרן'!$C$42</f>
        <v>8.9444890380098623E-5</v>
      </c>
    </row>
    <row r="195" spans="2:21">
      <c r="B195" s="76" t="s">
        <v>731</v>
      </c>
      <c r="C195" s="70" t="s">
        <v>732</v>
      </c>
      <c r="D195" s="83" t="s">
        <v>116</v>
      </c>
      <c r="E195" s="83" t="s">
        <v>287</v>
      </c>
      <c r="F195" s="70" t="s">
        <v>428</v>
      </c>
      <c r="G195" s="83" t="s">
        <v>412</v>
      </c>
      <c r="H195" s="70" t="s">
        <v>477</v>
      </c>
      <c r="I195" s="70" t="s">
        <v>156</v>
      </c>
      <c r="J195" s="70"/>
      <c r="K195" s="77">
        <v>8.5799999999972894</v>
      </c>
      <c r="L195" s="83" t="s">
        <v>160</v>
      </c>
      <c r="M195" s="84">
        <v>2.64E-2</v>
      </c>
      <c r="N195" s="84">
        <v>3.1199999999990152E-2</v>
      </c>
      <c r="O195" s="77">
        <v>922663.08443299995</v>
      </c>
      <c r="P195" s="79">
        <v>96.82</v>
      </c>
      <c r="Q195" s="70"/>
      <c r="R195" s="77">
        <v>893.32239839900001</v>
      </c>
      <c r="S195" s="78">
        <v>5.6391561527186775E-4</v>
      </c>
      <c r="T195" s="78">
        <f t="shared" si="5"/>
        <v>9.7124885074109883E-3</v>
      </c>
      <c r="U195" s="78">
        <f>R195/'סכום נכסי הקרן'!$C$42</f>
        <v>2.4621554874754072E-4</v>
      </c>
    </row>
    <row r="196" spans="2:21">
      <c r="B196" s="76" t="s">
        <v>733</v>
      </c>
      <c r="C196" s="70" t="s">
        <v>734</v>
      </c>
      <c r="D196" s="83" t="s">
        <v>116</v>
      </c>
      <c r="E196" s="83" t="s">
        <v>287</v>
      </c>
      <c r="F196" s="70" t="s">
        <v>441</v>
      </c>
      <c r="G196" s="83" t="s">
        <v>352</v>
      </c>
      <c r="H196" s="70" t="s">
        <v>473</v>
      </c>
      <c r="I196" s="70" t="s">
        <v>291</v>
      </c>
      <c r="J196" s="70"/>
      <c r="K196" s="77">
        <v>2.1300001413055791</v>
      </c>
      <c r="L196" s="83" t="s">
        <v>160</v>
      </c>
      <c r="M196" s="84">
        <v>5.74E-2</v>
      </c>
      <c r="N196" s="84">
        <v>2.2100001710541224E-2</v>
      </c>
      <c r="O196" s="77">
        <v>7.3940140000000012</v>
      </c>
      <c r="P196" s="79">
        <v>109.11</v>
      </c>
      <c r="Q196" s="70"/>
      <c r="R196" s="77">
        <v>8.067622E-3</v>
      </c>
      <c r="S196" s="78">
        <v>4.9293403663078298E-7</v>
      </c>
      <c r="T196" s="78">
        <f t="shared" si="5"/>
        <v>8.7713781830127414E-8</v>
      </c>
      <c r="U196" s="78">
        <f>R196/'סכום נכסי הקרן'!$C$42</f>
        <v>2.2235801781951104E-9</v>
      </c>
    </row>
    <row r="197" spans="2:21">
      <c r="B197" s="76" t="s">
        <v>735</v>
      </c>
      <c r="C197" s="70" t="s">
        <v>736</v>
      </c>
      <c r="D197" s="83" t="s">
        <v>116</v>
      </c>
      <c r="E197" s="83" t="s">
        <v>287</v>
      </c>
      <c r="F197" s="70" t="s">
        <v>441</v>
      </c>
      <c r="G197" s="83" t="s">
        <v>352</v>
      </c>
      <c r="H197" s="70" t="s">
        <v>473</v>
      </c>
      <c r="I197" s="70" t="s">
        <v>291</v>
      </c>
      <c r="J197" s="70"/>
      <c r="K197" s="77">
        <v>4.0899999999101171</v>
      </c>
      <c r="L197" s="83" t="s">
        <v>160</v>
      </c>
      <c r="M197" s="84">
        <v>5.6500000000000002E-2</v>
      </c>
      <c r="N197" s="84">
        <v>2.3799999999686645E-2</v>
      </c>
      <c r="O197" s="77">
        <v>10661.88</v>
      </c>
      <c r="P197" s="79">
        <v>113.74</v>
      </c>
      <c r="Q197" s="70"/>
      <c r="R197" s="77">
        <v>12.126822800999999</v>
      </c>
      <c r="S197" s="78">
        <v>3.4157499227202707E-5</v>
      </c>
      <c r="T197" s="78">
        <f t="shared" si="5"/>
        <v>1.3184671882985203E-4</v>
      </c>
      <c r="U197" s="78">
        <f>R197/'סכום נכסי הקרן'!$C$42</f>
        <v>3.3423681482335321E-6</v>
      </c>
    </row>
    <row r="198" spans="2:21">
      <c r="B198" s="76" t="s">
        <v>737</v>
      </c>
      <c r="C198" s="70" t="s">
        <v>738</v>
      </c>
      <c r="D198" s="83" t="s">
        <v>116</v>
      </c>
      <c r="E198" s="83" t="s">
        <v>287</v>
      </c>
      <c r="F198" s="70" t="s">
        <v>555</v>
      </c>
      <c r="G198" s="83" t="s">
        <v>412</v>
      </c>
      <c r="H198" s="70" t="s">
        <v>477</v>
      </c>
      <c r="I198" s="70" t="s">
        <v>156</v>
      </c>
      <c r="J198" s="70"/>
      <c r="K198" s="77">
        <v>3.7500000000000004</v>
      </c>
      <c r="L198" s="83" t="s">
        <v>160</v>
      </c>
      <c r="M198" s="84">
        <v>4.0999999999999995E-2</v>
      </c>
      <c r="N198" s="84">
        <v>1.3100000000016614E-2</v>
      </c>
      <c r="O198" s="77">
        <v>106618.8</v>
      </c>
      <c r="P198" s="79">
        <v>110.86</v>
      </c>
      <c r="Q198" s="77">
        <v>2.1856853999999997</v>
      </c>
      <c r="R198" s="77">
        <v>120.38328707999997</v>
      </c>
      <c r="S198" s="78">
        <v>3.5539600000000001E-4</v>
      </c>
      <c r="T198" s="78">
        <f t="shared" si="5"/>
        <v>1.3088458258119571E-3</v>
      </c>
      <c r="U198" s="78">
        <f>R198/'סכום נכסי הקרן'!$C$42</f>
        <v>3.3179776015418105E-5</v>
      </c>
    </row>
    <row r="199" spans="2:21">
      <c r="B199" s="76" t="s">
        <v>739</v>
      </c>
      <c r="C199" s="70" t="s">
        <v>740</v>
      </c>
      <c r="D199" s="83" t="s">
        <v>116</v>
      </c>
      <c r="E199" s="83" t="s">
        <v>287</v>
      </c>
      <c r="F199" s="70" t="s">
        <v>571</v>
      </c>
      <c r="G199" s="83" t="s">
        <v>416</v>
      </c>
      <c r="H199" s="70" t="s">
        <v>473</v>
      </c>
      <c r="I199" s="70" t="s">
        <v>291</v>
      </c>
      <c r="J199" s="70"/>
      <c r="K199" s="77">
        <v>7.5400000000026894</v>
      </c>
      <c r="L199" s="83" t="s">
        <v>160</v>
      </c>
      <c r="M199" s="84">
        <v>2.4300000000000002E-2</v>
      </c>
      <c r="N199" s="84">
        <v>2.6500000000020084E-2</v>
      </c>
      <c r="O199" s="77">
        <v>575754.38089300005</v>
      </c>
      <c r="P199" s="79">
        <v>99.46</v>
      </c>
      <c r="Q199" s="70"/>
      <c r="R199" s="77">
        <v>572.64530724899998</v>
      </c>
      <c r="S199" s="78">
        <v>6.6590838800275275E-4</v>
      </c>
      <c r="T199" s="78">
        <f t="shared" si="5"/>
        <v>6.2259840069459208E-3</v>
      </c>
      <c r="U199" s="78">
        <f>R199/'סכום נכסי הקרן'!$C$42</f>
        <v>1.5783123630920301E-4</v>
      </c>
    </row>
    <row r="200" spans="2:21">
      <c r="B200" s="76" t="s">
        <v>741</v>
      </c>
      <c r="C200" s="70" t="s">
        <v>742</v>
      </c>
      <c r="D200" s="83" t="s">
        <v>116</v>
      </c>
      <c r="E200" s="83" t="s">
        <v>287</v>
      </c>
      <c r="F200" s="70" t="s">
        <v>571</v>
      </c>
      <c r="G200" s="83" t="s">
        <v>416</v>
      </c>
      <c r="H200" s="70" t="s">
        <v>473</v>
      </c>
      <c r="I200" s="70" t="s">
        <v>291</v>
      </c>
      <c r="J200" s="70"/>
      <c r="K200" s="77">
        <v>3.7899999999918736</v>
      </c>
      <c r="L200" s="83" t="s">
        <v>160</v>
      </c>
      <c r="M200" s="84">
        <v>1.7500000000000002E-2</v>
      </c>
      <c r="N200" s="84">
        <v>1.8099999999947675E-2</v>
      </c>
      <c r="O200" s="77">
        <v>179691.30145999999</v>
      </c>
      <c r="P200" s="79">
        <v>99.98</v>
      </c>
      <c r="Q200" s="70"/>
      <c r="R200" s="77">
        <v>179.65536017400001</v>
      </c>
      <c r="S200" s="78">
        <v>2.586982834038417E-4</v>
      </c>
      <c r="T200" s="78">
        <f t="shared" si="5"/>
        <v>1.9532708729927107E-3</v>
      </c>
      <c r="U200" s="78">
        <f>R200/'סכום נכסי הקרן'!$C$42</f>
        <v>4.9516214045403924E-5</v>
      </c>
    </row>
    <row r="201" spans="2:21">
      <c r="B201" s="76" t="s">
        <v>743</v>
      </c>
      <c r="C201" s="70" t="s">
        <v>744</v>
      </c>
      <c r="D201" s="83" t="s">
        <v>116</v>
      </c>
      <c r="E201" s="83" t="s">
        <v>287</v>
      </c>
      <c r="F201" s="70" t="s">
        <v>571</v>
      </c>
      <c r="G201" s="83" t="s">
        <v>416</v>
      </c>
      <c r="H201" s="70" t="s">
        <v>473</v>
      </c>
      <c r="I201" s="70" t="s">
        <v>291</v>
      </c>
      <c r="J201" s="70"/>
      <c r="K201" s="77">
        <v>2.3500000000074039</v>
      </c>
      <c r="L201" s="83" t="s">
        <v>160</v>
      </c>
      <c r="M201" s="84">
        <v>2.9600000000000001E-2</v>
      </c>
      <c r="N201" s="84">
        <v>1.5600000000051155E-2</v>
      </c>
      <c r="O201" s="77">
        <v>143449.673614</v>
      </c>
      <c r="P201" s="79">
        <v>103.57</v>
      </c>
      <c r="Q201" s="70"/>
      <c r="R201" s="77">
        <v>148.57082535399999</v>
      </c>
      <c r="S201" s="78">
        <v>3.5125313695597878E-4</v>
      </c>
      <c r="T201" s="78">
        <f t="shared" si="5"/>
        <v>1.6153098101798422E-3</v>
      </c>
      <c r="U201" s="78">
        <f>R201/'סכום נכסי הקרן'!$C$42</f>
        <v>4.0948763131842557E-5</v>
      </c>
    </row>
    <row r="202" spans="2:21">
      <c r="B202" s="76" t="s">
        <v>745</v>
      </c>
      <c r="C202" s="70" t="s">
        <v>746</v>
      </c>
      <c r="D202" s="83" t="s">
        <v>116</v>
      </c>
      <c r="E202" s="83" t="s">
        <v>287</v>
      </c>
      <c r="F202" s="70" t="s">
        <v>576</v>
      </c>
      <c r="G202" s="83" t="s">
        <v>412</v>
      </c>
      <c r="H202" s="70" t="s">
        <v>473</v>
      </c>
      <c r="I202" s="70" t="s">
        <v>291</v>
      </c>
      <c r="J202" s="70"/>
      <c r="K202" s="77">
        <v>3.3400000000081982</v>
      </c>
      <c r="L202" s="83" t="s">
        <v>160</v>
      </c>
      <c r="M202" s="84">
        <v>3.85E-2</v>
      </c>
      <c r="N202" s="84">
        <v>1.6999999999954454E-2</v>
      </c>
      <c r="O202" s="77">
        <v>40260.480554000002</v>
      </c>
      <c r="P202" s="79">
        <v>109.07</v>
      </c>
      <c r="Q202" s="70"/>
      <c r="R202" s="77">
        <v>43.912104796000001</v>
      </c>
      <c r="S202" s="78">
        <v>1.0094621670331544E-4</v>
      </c>
      <c r="T202" s="78">
        <f t="shared" si="5"/>
        <v>4.7742653036768898E-4</v>
      </c>
      <c r="U202" s="78">
        <f>R202/'סכום נכסי הקרן'!$C$42</f>
        <v>1.2102957452296605E-5</v>
      </c>
    </row>
    <row r="203" spans="2:21">
      <c r="B203" s="76" t="s">
        <v>747</v>
      </c>
      <c r="C203" s="70" t="s">
        <v>748</v>
      </c>
      <c r="D203" s="83" t="s">
        <v>116</v>
      </c>
      <c r="E203" s="83" t="s">
        <v>287</v>
      </c>
      <c r="F203" s="70" t="s">
        <v>576</v>
      </c>
      <c r="G203" s="83" t="s">
        <v>412</v>
      </c>
      <c r="H203" s="70" t="s">
        <v>477</v>
      </c>
      <c r="I203" s="70" t="s">
        <v>156</v>
      </c>
      <c r="J203" s="70"/>
      <c r="K203" s="77">
        <v>4.6499999999973038</v>
      </c>
      <c r="L203" s="83" t="s">
        <v>160</v>
      </c>
      <c r="M203" s="84">
        <v>3.61E-2</v>
      </c>
      <c r="N203" s="84">
        <v>1.5799999999989215E-2</v>
      </c>
      <c r="O203" s="77">
        <v>582809.00037799997</v>
      </c>
      <c r="P203" s="79">
        <v>111.39</v>
      </c>
      <c r="Q203" s="70"/>
      <c r="R203" s="77">
        <v>649.19092611500002</v>
      </c>
      <c r="S203" s="78">
        <v>7.5936026107882733E-4</v>
      </c>
      <c r="T203" s="78">
        <f t="shared" si="5"/>
        <v>7.0582126008567926E-3</v>
      </c>
      <c r="U203" s="78">
        <f>R203/'סכום נכסי הקרן'!$C$42</f>
        <v>1.7892857091884577E-4</v>
      </c>
    </row>
    <row r="204" spans="2:21">
      <c r="B204" s="76" t="s">
        <v>749</v>
      </c>
      <c r="C204" s="70" t="s">
        <v>750</v>
      </c>
      <c r="D204" s="83" t="s">
        <v>116</v>
      </c>
      <c r="E204" s="83" t="s">
        <v>287</v>
      </c>
      <c r="F204" s="70" t="s">
        <v>576</v>
      </c>
      <c r="G204" s="83" t="s">
        <v>412</v>
      </c>
      <c r="H204" s="70" t="s">
        <v>477</v>
      </c>
      <c r="I204" s="70" t="s">
        <v>156</v>
      </c>
      <c r="J204" s="70"/>
      <c r="K204" s="77">
        <v>5.5999999999927512</v>
      </c>
      <c r="L204" s="83" t="s">
        <v>160</v>
      </c>
      <c r="M204" s="84">
        <v>3.3000000000000002E-2</v>
      </c>
      <c r="N204" s="84">
        <v>1.9399999999984596E-2</v>
      </c>
      <c r="O204" s="77">
        <v>202421.69581599999</v>
      </c>
      <c r="P204" s="79">
        <v>109.04</v>
      </c>
      <c r="Q204" s="70"/>
      <c r="R204" s="77">
        <v>220.720617111</v>
      </c>
      <c r="S204" s="78">
        <v>6.5647795753457977E-4</v>
      </c>
      <c r="T204" s="78">
        <f t="shared" si="5"/>
        <v>2.3997455575738851E-3</v>
      </c>
      <c r="U204" s="78">
        <f>R204/'סכום נכסי הקרן'!$C$42</f>
        <v>6.083452957104486E-5</v>
      </c>
    </row>
    <row r="205" spans="2:21">
      <c r="B205" s="76" t="s">
        <v>751</v>
      </c>
      <c r="C205" s="70" t="s">
        <v>752</v>
      </c>
      <c r="D205" s="83" t="s">
        <v>116</v>
      </c>
      <c r="E205" s="83" t="s">
        <v>287</v>
      </c>
      <c r="F205" s="70" t="s">
        <v>576</v>
      </c>
      <c r="G205" s="83" t="s">
        <v>412</v>
      </c>
      <c r="H205" s="70" t="s">
        <v>477</v>
      </c>
      <c r="I205" s="70" t="s">
        <v>156</v>
      </c>
      <c r="J205" s="70"/>
      <c r="K205" s="77">
        <v>7.9099999999991306</v>
      </c>
      <c r="L205" s="83" t="s">
        <v>160</v>
      </c>
      <c r="M205" s="84">
        <v>2.6200000000000001E-2</v>
      </c>
      <c r="N205" s="84">
        <v>2.5900000000000166E-2</v>
      </c>
      <c r="O205" s="77">
        <v>581801.02179999999</v>
      </c>
      <c r="P205" s="79">
        <v>100.8</v>
      </c>
      <c r="Q205" s="70"/>
      <c r="R205" s="77">
        <v>586.45541056100001</v>
      </c>
      <c r="S205" s="78">
        <v>7.2725127725000002E-4</v>
      </c>
      <c r="T205" s="78">
        <f t="shared" si="5"/>
        <v>6.3761318930219283E-3</v>
      </c>
      <c r="U205" s="78">
        <f>R205/'סכום נכסי הקרן'!$C$42</f>
        <v>1.6163754651850508E-4</v>
      </c>
    </row>
    <row r="206" spans="2:21">
      <c r="B206" s="76" t="s">
        <v>753</v>
      </c>
      <c r="C206" s="70" t="s">
        <v>754</v>
      </c>
      <c r="D206" s="83" t="s">
        <v>116</v>
      </c>
      <c r="E206" s="83" t="s">
        <v>287</v>
      </c>
      <c r="F206" s="70" t="s">
        <v>755</v>
      </c>
      <c r="G206" s="83" t="s">
        <v>147</v>
      </c>
      <c r="H206" s="70" t="s">
        <v>477</v>
      </c>
      <c r="I206" s="70" t="s">
        <v>156</v>
      </c>
      <c r="J206" s="70"/>
      <c r="K206" s="77">
        <v>2.950000000001967</v>
      </c>
      <c r="L206" s="83" t="s">
        <v>160</v>
      </c>
      <c r="M206" s="84">
        <v>2.75E-2</v>
      </c>
      <c r="N206" s="84">
        <v>4.0200000000014606E-2</v>
      </c>
      <c r="O206" s="77">
        <v>182764.530929</v>
      </c>
      <c r="P206" s="79">
        <v>97.35</v>
      </c>
      <c r="Q206" s="70"/>
      <c r="R206" s="77">
        <v>177.92126478700001</v>
      </c>
      <c r="S206" s="78">
        <v>4.5264712659143957E-4</v>
      </c>
      <c r="T206" s="78">
        <f t="shared" si="5"/>
        <v>1.9344172300669578E-3</v>
      </c>
      <c r="U206" s="78">
        <f>R206/'סכום נכסי הקרן'!$C$42</f>
        <v>4.9038266500311606E-5</v>
      </c>
    </row>
    <row r="207" spans="2:21">
      <c r="B207" s="76" t="s">
        <v>756</v>
      </c>
      <c r="C207" s="70" t="s">
        <v>757</v>
      </c>
      <c r="D207" s="83" t="s">
        <v>116</v>
      </c>
      <c r="E207" s="83" t="s">
        <v>287</v>
      </c>
      <c r="F207" s="70" t="s">
        <v>755</v>
      </c>
      <c r="G207" s="83" t="s">
        <v>147</v>
      </c>
      <c r="H207" s="70" t="s">
        <v>477</v>
      </c>
      <c r="I207" s="70" t="s">
        <v>156</v>
      </c>
      <c r="J207" s="70"/>
      <c r="K207" s="77">
        <v>3.669999999998542</v>
      </c>
      <c r="L207" s="83" t="s">
        <v>160</v>
      </c>
      <c r="M207" s="84">
        <v>2.3E-2</v>
      </c>
      <c r="N207" s="84">
        <v>4.8899999999984095E-2</v>
      </c>
      <c r="O207" s="77">
        <v>328880.123364</v>
      </c>
      <c r="P207" s="79">
        <v>91.79</v>
      </c>
      <c r="Q207" s="70"/>
      <c r="R207" s="77">
        <v>301.87905793200002</v>
      </c>
      <c r="S207" s="78">
        <v>1.0892878292102781E-3</v>
      </c>
      <c r="T207" s="78">
        <f t="shared" si="5"/>
        <v>3.2821262357770162E-3</v>
      </c>
      <c r="U207" s="78">
        <f>R207/'סכום נכסי הקרן'!$C$42</f>
        <v>8.3203239991884678E-5</v>
      </c>
    </row>
    <row r="208" spans="2:21">
      <c r="B208" s="76" t="s">
        <v>758</v>
      </c>
      <c r="C208" s="70" t="s">
        <v>759</v>
      </c>
      <c r="D208" s="83" t="s">
        <v>116</v>
      </c>
      <c r="E208" s="83" t="s">
        <v>287</v>
      </c>
      <c r="F208" s="70" t="s">
        <v>582</v>
      </c>
      <c r="G208" s="83" t="s">
        <v>152</v>
      </c>
      <c r="H208" s="70" t="s">
        <v>473</v>
      </c>
      <c r="I208" s="70" t="s">
        <v>291</v>
      </c>
      <c r="J208" s="70"/>
      <c r="K208" s="77">
        <v>2.9000000001026747</v>
      </c>
      <c r="L208" s="83" t="s">
        <v>160</v>
      </c>
      <c r="M208" s="84">
        <v>2.7000000000000003E-2</v>
      </c>
      <c r="N208" s="84">
        <v>4.2600000001437446E-2</v>
      </c>
      <c r="O208" s="77">
        <v>8128.952362</v>
      </c>
      <c r="P208" s="79">
        <v>95.85</v>
      </c>
      <c r="Q208" s="70"/>
      <c r="R208" s="77">
        <v>7.7916008379999999</v>
      </c>
      <c r="S208" s="78">
        <v>4.7782740088926379E-5</v>
      </c>
      <c r="T208" s="78">
        <f t="shared" si="5"/>
        <v>8.4712790957703507E-5</v>
      </c>
      <c r="U208" s="78">
        <f>R208/'סכום נכסי הקרן'!$C$42</f>
        <v>2.1475038344366174E-6</v>
      </c>
    </row>
    <row r="209" spans="2:21">
      <c r="B209" s="76" t="s">
        <v>760</v>
      </c>
      <c r="C209" s="70" t="s">
        <v>761</v>
      </c>
      <c r="D209" s="83" t="s">
        <v>116</v>
      </c>
      <c r="E209" s="83" t="s">
        <v>287</v>
      </c>
      <c r="F209" s="70" t="s">
        <v>591</v>
      </c>
      <c r="G209" s="83" t="s">
        <v>152</v>
      </c>
      <c r="H209" s="70" t="s">
        <v>592</v>
      </c>
      <c r="I209" s="70" t="s">
        <v>291</v>
      </c>
      <c r="J209" s="70"/>
      <c r="K209" s="77">
        <v>2.9800000000038964</v>
      </c>
      <c r="L209" s="83" t="s">
        <v>160</v>
      </c>
      <c r="M209" s="84">
        <v>2.7999999999999997E-2</v>
      </c>
      <c r="N209" s="84">
        <v>0.1190000000001948</v>
      </c>
      <c r="O209" s="77">
        <v>227700.84892499997</v>
      </c>
      <c r="P209" s="79">
        <v>76.66</v>
      </c>
      <c r="Q209" s="70"/>
      <c r="R209" s="77">
        <v>174.55546573399997</v>
      </c>
      <c r="S209" s="78">
        <v>8.5505388255726613E-4</v>
      </c>
      <c r="T209" s="78">
        <f t="shared" si="5"/>
        <v>1.8978231799467494E-3</v>
      </c>
      <c r="U209" s="78">
        <f>R209/'סכום נכסי הקרן'!$C$42</f>
        <v>4.8110592390389399E-5</v>
      </c>
    </row>
    <row r="210" spans="2:21">
      <c r="B210" s="76" t="s">
        <v>762</v>
      </c>
      <c r="C210" s="70" t="s">
        <v>763</v>
      </c>
      <c r="D210" s="83" t="s">
        <v>116</v>
      </c>
      <c r="E210" s="83" t="s">
        <v>287</v>
      </c>
      <c r="F210" s="70" t="s">
        <v>591</v>
      </c>
      <c r="G210" s="83" t="s">
        <v>152</v>
      </c>
      <c r="H210" s="70" t="s">
        <v>592</v>
      </c>
      <c r="I210" s="70" t="s">
        <v>291</v>
      </c>
      <c r="J210" s="70"/>
      <c r="K210" s="77">
        <v>0.40000000000640507</v>
      </c>
      <c r="L210" s="83" t="s">
        <v>160</v>
      </c>
      <c r="M210" s="84">
        <v>4.2999999999999997E-2</v>
      </c>
      <c r="N210" s="84">
        <v>0.30280000000110169</v>
      </c>
      <c r="O210" s="77">
        <v>68110.861661999996</v>
      </c>
      <c r="P210" s="79">
        <v>91.69</v>
      </c>
      <c r="Q210" s="70"/>
      <c r="R210" s="77">
        <v>62.450851354000001</v>
      </c>
      <c r="S210" s="78">
        <v>5.0764033505984755E-4</v>
      </c>
      <c r="T210" s="78">
        <f t="shared" si="5"/>
        <v>6.7898574707274005E-4</v>
      </c>
      <c r="U210" s="78">
        <f>R210/'סכום נכסי הקרן'!$C$42</f>
        <v>1.7212565881515478E-5</v>
      </c>
    </row>
    <row r="211" spans="2:21">
      <c r="B211" s="76" t="s">
        <v>764</v>
      </c>
      <c r="C211" s="70" t="s">
        <v>765</v>
      </c>
      <c r="D211" s="83" t="s">
        <v>116</v>
      </c>
      <c r="E211" s="83" t="s">
        <v>287</v>
      </c>
      <c r="F211" s="70" t="s">
        <v>591</v>
      </c>
      <c r="G211" s="83" t="s">
        <v>152</v>
      </c>
      <c r="H211" s="70" t="s">
        <v>592</v>
      </c>
      <c r="I211" s="70" t="s">
        <v>291</v>
      </c>
      <c r="J211" s="70"/>
      <c r="K211" s="77">
        <v>1.3199999999897165</v>
      </c>
      <c r="L211" s="83" t="s">
        <v>160</v>
      </c>
      <c r="M211" s="84">
        <v>4.2500000000000003E-2</v>
      </c>
      <c r="N211" s="84">
        <v>0.2345999999996915</v>
      </c>
      <c r="O211" s="77">
        <v>62979.618096999999</v>
      </c>
      <c r="P211" s="79">
        <v>80.290000000000006</v>
      </c>
      <c r="Q211" s="70"/>
      <c r="R211" s="77">
        <v>50.566336036000003</v>
      </c>
      <c r="S211" s="78">
        <v>2.4354193426005404E-4</v>
      </c>
      <c r="T211" s="78">
        <f t="shared" si="5"/>
        <v>5.497734731511484E-4</v>
      </c>
      <c r="U211" s="78">
        <f>R211/'סכום נכסי הקרן'!$C$42</f>
        <v>1.3936981987207967E-5</v>
      </c>
    </row>
    <row r="212" spans="2:21">
      <c r="B212" s="76" t="s">
        <v>766</v>
      </c>
      <c r="C212" s="70" t="s">
        <v>767</v>
      </c>
      <c r="D212" s="83" t="s">
        <v>116</v>
      </c>
      <c r="E212" s="83" t="s">
        <v>287</v>
      </c>
      <c r="F212" s="70" t="s">
        <v>591</v>
      </c>
      <c r="G212" s="83" t="s">
        <v>152</v>
      </c>
      <c r="H212" s="70" t="s">
        <v>592</v>
      </c>
      <c r="I212" s="70" t="s">
        <v>291</v>
      </c>
      <c r="J212" s="70"/>
      <c r="K212" s="77">
        <v>1.1899999999974396</v>
      </c>
      <c r="L212" s="83" t="s">
        <v>160</v>
      </c>
      <c r="M212" s="84">
        <v>3.7000000000000005E-2</v>
      </c>
      <c r="N212" s="84">
        <v>0.22299999999993975</v>
      </c>
      <c r="O212" s="77">
        <v>161962.521355</v>
      </c>
      <c r="P212" s="79">
        <v>81.99</v>
      </c>
      <c r="Q212" s="70"/>
      <c r="R212" s="77">
        <v>132.79307848600001</v>
      </c>
      <c r="S212" s="78">
        <v>8.2132629136449551E-4</v>
      </c>
      <c r="T212" s="78">
        <f t="shared" si="5"/>
        <v>1.4437690703496013E-3</v>
      </c>
      <c r="U212" s="78">
        <f>R212/'סכום נכסי הקרן'!$C$42</f>
        <v>3.6600135346323513E-5</v>
      </c>
    </row>
    <row r="213" spans="2:21">
      <c r="B213" s="76" t="s">
        <v>768</v>
      </c>
      <c r="C213" s="70" t="s">
        <v>769</v>
      </c>
      <c r="D213" s="83" t="s">
        <v>116</v>
      </c>
      <c r="E213" s="83" t="s">
        <v>287</v>
      </c>
      <c r="F213" s="70" t="s">
        <v>770</v>
      </c>
      <c r="G213" s="83" t="s">
        <v>642</v>
      </c>
      <c r="H213" s="70" t="s">
        <v>588</v>
      </c>
      <c r="I213" s="70" t="s">
        <v>156</v>
      </c>
      <c r="J213" s="70"/>
      <c r="K213" s="77">
        <v>3.3299999999644201</v>
      </c>
      <c r="L213" s="83" t="s">
        <v>160</v>
      </c>
      <c r="M213" s="84">
        <v>3.7499999999999999E-2</v>
      </c>
      <c r="N213" s="84">
        <v>1.6299999999871303E-2</v>
      </c>
      <c r="O213" s="77">
        <v>36984.585315999997</v>
      </c>
      <c r="P213" s="79">
        <v>107.15</v>
      </c>
      <c r="Q213" s="70"/>
      <c r="R213" s="77">
        <v>39.628983177000002</v>
      </c>
      <c r="S213" s="78">
        <v>9.3567278817982435E-5</v>
      </c>
      <c r="T213" s="78">
        <f t="shared" si="5"/>
        <v>4.3085905419678412E-4</v>
      </c>
      <c r="U213" s="78">
        <f>R213/'סכום נכסי הקרן'!$C$42</f>
        <v>1.0922452920377863E-5</v>
      </c>
    </row>
    <row r="214" spans="2:21">
      <c r="B214" s="76" t="s">
        <v>771</v>
      </c>
      <c r="C214" s="70" t="s">
        <v>772</v>
      </c>
      <c r="D214" s="83" t="s">
        <v>116</v>
      </c>
      <c r="E214" s="83" t="s">
        <v>287</v>
      </c>
      <c r="F214" s="70" t="s">
        <v>770</v>
      </c>
      <c r="G214" s="83" t="s">
        <v>642</v>
      </c>
      <c r="H214" s="70" t="s">
        <v>592</v>
      </c>
      <c r="I214" s="70" t="s">
        <v>291</v>
      </c>
      <c r="J214" s="70"/>
      <c r="K214" s="77">
        <v>5.7900000000075629</v>
      </c>
      <c r="L214" s="83" t="s">
        <v>160</v>
      </c>
      <c r="M214" s="84">
        <v>3.7499999999999999E-2</v>
      </c>
      <c r="N214" s="84">
        <v>2.0800000000026592E-2</v>
      </c>
      <c r="O214" s="77">
        <v>215119.42181999999</v>
      </c>
      <c r="P214" s="79">
        <v>111.87</v>
      </c>
      <c r="Q214" s="70"/>
      <c r="R214" s="77">
        <v>240.65410434200001</v>
      </c>
      <c r="S214" s="78">
        <v>5.8140384275675672E-4</v>
      </c>
      <c r="T214" s="78">
        <f t="shared" si="5"/>
        <v>2.6164688435797944E-3</v>
      </c>
      <c r="U214" s="78">
        <f>R214/'סכום נכסי הקרן'!$C$42</f>
        <v>6.6328553347711272E-5</v>
      </c>
    </row>
    <row r="215" spans="2:21">
      <c r="B215" s="76" t="s">
        <v>773</v>
      </c>
      <c r="C215" s="70" t="s">
        <v>774</v>
      </c>
      <c r="D215" s="83" t="s">
        <v>116</v>
      </c>
      <c r="E215" s="83" t="s">
        <v>287</v>
      </c>
      <c r="F215" s="70" t="s">
        <v>775</v>
      </c>
      <c r="G215" s="83" t="s">
        <v>147</v>
      </c>
      <c r="H215" s="70" t="s">
        <v>592</v>
      </c>
      <c r="I215" s="70" t="s">
        <v>291</v>
      </c>
      <c r="J215" s="70"/>
      <c r="K215" s="77">
        <v>1.5199999999745577</v>
      </c>
      <c r="L215" s="83" t="s">
        <v>160</v>
      </c>
      <c r="M215" s="84">
        <v>3.4000000000000002E-2</v>
      </c>
      <c r="N215" s="84">
        <v>7.4699999999586569E-2</v>
      </c>
      <c r="O215" s="77">
        <v>13274.190799</v>
      </c>
      <c r="P215" s="79">
        <v>94.75</v>
      </c>
      <c r="Q215" s="70"/>
      <c r="R215" s="77">
        <v>12.577295315999997</v>
      </c>
      <c r="S215" s="78">
        <v>2.9168106572743871E-5</v>
      </c>
      <c r="T215" s="78">
        <f t="shared" si="5"/>
        <v>1.3674440093508437E-4</v>
      </c>
      <c r="U215" s="78">
        <f>R215/'סכום נכסי הקרן'!$C$42</f>
        <v>3.4665263890603453E-6</v>
      </c>
    </row>
    <row r="216" spans="2:21">
      <c r="B216" s="76" t="s">
        <v>776</v>
      </c>
      <c r="C216" s="70" t="s">
        <v>777</v>
      </c>
      <c r="D216" s="83" t="s">
        <v>116</v>
      </c>
      <c r="E216" s="83" t="s">
        <v>287</v>
      </c>
      <c r="F216" s="70" t="s">
        <v>778</v>
      </c>
      <c r="G216" s="83" t="s">
        <v>505</v>
      </c>
      <c r="H216" s="70" t="s">
        <v>588</v>
      </c>
      <c r="I216" s="70" t="s">
        <v>156</v>
      </c>
      <c r="J216" s="70"/>
      <c r="K216" s="77">
        <v>2.2399847386493708</v>
      </c>
      <c r="L216" s="83" t="s">
        <v>160</v>
      </c>
      <c r="M216" s="84">
        <v>6.0499999999999998E-2</v>
      </c>
      <c r="N216" s="84">
        <v>5.8199160625715375E-2</v>
      </c>
      <c r="O216" s="77">
        <v>2.6210000000000001E-3</v>
      </c>
      <c r="P216" s="79">
        <v>101.2</v>
      </c>
      <c r="Q216" s="70"/>
      <c r="R216" s="77">
        <v>2.621E-6</v>
      </c>
      <c r="S216" s="78">
        <v>4.916747044663128E-12</v>
      </c>
      <c r="T216" s="78">
        <f t="shared" si="5"/>
        <v>2.8496355205631095E-11</v>
      </c>
      <c r="U216" s="78">
        <f>R216/'סכום נכסי הקרן'!$C$42</f>
        <v>7.223942379860366E-13</v>
      </c>
    </row>
    <row r="217" spans="2:21">
      <c r="B217" s="76" t="s">
        <v>779</v>
      </c>
      <c r="C217" s="70" t="s">
        <v>780</v>
      </c>
      <c r="D217" s="83" t="s">
        <v>116</v>
      </c>
      <c r="E217" s="83" t="s">
        <v>287</v>
      </c>
      <c r="F217" s="70" t="s">
        <v>781</v>
      </c>
      <c r="G217" s="83" t="s">
        <v>152</v>
      </c>
      <c r="H217" s="70" t="s">
        <v>592</v>
      </c>
      <c r="I217" s="70" t="s">
        <v>291</v>
      </c>
      <c r="J217" s="70"/>
      <c r="K217" s="77">
        <v>2.419999999996747</v>
      </c>
      <c r="L217" s="83" t="s">
        <v>160</v>
      </c>
      <c r="M217" s="84">
        <v>2.9500000000000002E-2</v>
      </c>
      <c r="N217" s="84">
        <v>1.8599999999987273E-2</v>
      </c>
      <c r="O217" s="77">
        <v>137747.59503699999</v>
      </c>
      <c r="P217" s="79">
        <v>102.66</v>
      </c>
      <c r="Q217" s="70"/>
      <c r="R217" s="77">
        <v>141.411681063</v>
      </c>
      <c r="S217" s="78">
        <v>8.5600430161634014E-4</v>
      </c>
      <c r="T217" s="78">
        <f t="shared" si="5"/>
        <v>1.5374732902696162E-3</v>
      </c>
      <c r="U217" s="78">
        <f>R217/'סכום נכסי הקרן'!$C$42</f>
        <v>3.8975575575669718E-5</v>
      </c>
    </row>
    <row r="218" spans="2:21">
      <c r="B218" s="76" t="s">
        <v>782</v>
      </c>
      <c r="C218" s="70" t="s">
        <v>783</v>
      </c>
      <c r="D218" s="83" t="s">
        <v>116</v>
      </c>
      <c r="E218" s="83" t="s">
        <v>287</v>
      </c>
      <c r="F218" s="70" t="s">
        <v>555</v>
      </c>
      <c r="G218" s="83" t="s">
        <v>412</v>
      </c>
      <c r="H218" s="70" t="s">
        <v>588</v>
      </c>
      <c r="I218" s="70" t="s">
        <v>156</v>
      </c>
      <c r="J218" s="70"/>
      <c r="K218" s="77">
        <v>7.8899999999992056</v>
      </c>
      <c r="L218" s="83" t="s">
        <v>160</v>
      </c>
      <c r="M218" s="84">
        <v>3.4300000000000004E-2</v>
      </c>
      <c r="N218" s="84">
        <v>2.1700000000009278E-2</v>
      </c>
      <c r="O218" s="77">
        <v>273547.470462</v>
      </c>
      <c r="P218" s="79">
        <v>110.36</v>
      </c>
      <c r="Q218" s="70"/>
      <c r="R218" s="77">
        <v>301.88698841599995</v>
      </c>
      <c r="S218" s="78">
        <v>1.0774675849298881E-3</v>
      </c>
      <c r="T218" s="78">
        <f t="shared" si="5"/>
        <v>3.2822124585503909E-3</v>
      </c>
      <c r="U218" s="78">
        <f>R218/'סכום נכסי הקרן'!$C$42</f>
        <v>8.3205425774389826E-5</v>
      </c>
    </row>
    <row r="219" spans="2:21">
      <c r="B219" s="76" t="s">
        <v>784</v>
      </c>
      <c r="C219" s="70" t="s">
        <v>785</v>
      </c>
      <c r="D219" s="83" t="s">
        <v>116</v>
      </c>
      <c r="E219" s="83" t="s">
        <v>287</v>
      </c>
      <c r="F219" s="70" t="s">
        <v>786</v>
      </c>
      <c r="G219" s="83" t="s">
        <v>505</v>
      </c>
      <c r="H219" s="70" t="s">
        <v>592</v>
      </c>
      <c r="I219" s="70" t="s">
        <v>291</v>
      </c>
      <c r="J219" s="70"/>
      <c r="K219" s="77">
        <v>3.9300000000036559</v>
      </c>
      <c r="L219" s="83" t="s">
        <v>160</v>
      </c>
      <c r="M219" s="84">
        <v>3.9E-2</v>
      </c>
      <c r="N219" s="84">
        <v>5.200000000005623E-2</v>
      </c>
      <c r="O219" s="77">
        <v>260229.83609999999</v>
      </c>
      <c r="P219" s="79">
        <v>95.66</v>
      </c>
      <c r="Q219" s="70"/>
      <c r="R219" s="77">
        <v>248.93586121300001</v>
      </c>
      <c r="S219" s="78">
        <v>6.1828467319252059E-4</v>
      </c>
      <c r="T219" s="78">
        <f t="shared" si="5"/>
        <v>2.7065107686170672E-3</v>
      </c>
      <c r="U219" s="78">
        <f>R219/'סכום נכסי הקרן'!$C$42</f>
        <v>6.8611152906662684E-5</v>
      </c>
    </row>
    <row r="220" spans="2:21">
      <c r="B220" s="76" t="s">
        <v>787</v>
      </c>
      <c r="C220" s="70" t="s">
        <v>788</v>
      </c>
      <c r="D220" s="83" t="s">
        <v>116</v>
      </c>
      <c r="E220" s="83" t="s">
        <v>287</v>
      </c>
      <c r="F220" s="70" t="s">
        <v>789</v>
      </c>
      <c r="G220" s="83" t="s">
        <v>187</v>
      </c>
      <c r="H220" s="70" t="s">
        <v>592</v>
      </c>
      <c r="I220" s="70" t="s">
        <v>291</v>
      </c>
      <c r="J220" s="70"/>
      <c r="K220" s="77">
        <v>0.99000000000656463</v>
      </c>
      <c r="L220" s="83" t="s">
        <v>160</v>
      </c>
      <c r="M220" s="84">
        <v>1.21E-2</v>
      </c>
      <c r="N220" s="84">
        <v>1.4400000000039033E-2</v>
      </c>
      <c r="O220" s="77">
        <v>112930.017503</v>
      </c>
      <c r="P220" s="79">
        <v>99.82</v>
      </c>
      <c r="Q220" s="70"/>
      <c r="R220" s="77">
        <v>112.726743474</v>
      </c>
      <c r="S220" s="78">
        <v>5.1694439130757204E-4</v>
      </c>
      <c r="T220" s="78">
        <f t="shared" si="5"/>
        <v>1.2256014205300118E-3</v>
      </c>
      <c r="U220" s="78">
        <f>R220/'סכום נכסי הקרן'!$C$42</f>
        <v>3.1069496357324556E-5</v>
      </c>
    </row>
    <row r="221" spans="2:21">
      <c r="B221" s="76" t="s">
        <v>790</v>
      </c>
      <c r="C221" s="70" t="s">
        <v>791</v>
      </c>
      <c r="D221" s="83" t="s">
        <v>116</v>
      </c>
      <c r="E221" s="83" t="s">
        <v>287</v>
      </c>
      <c r="F221" s="70" t="s">
        <v>789</v>
      </c>
      <c r="G221" s="83" t="s">
        <v>187</v>
      </c>
      <c r="H221" s="70" t="s">
        <v>592</v>
      </c>
      <c r="I221" s="70" t="s">
        <v>291</v>
      </c>
      <c r="J221" s="70"/>
      <c r="K221" s="77">
        <v>2.4300000000016513</v>
      </c>
      <c r="L221" s="83" t="s">
        <v>160</v>
      </c>
      <c r="M221" s="84">
        <v>2.1600000000000001E-2</v>
      </c>
      <c r="N221" s="84">
        <v>1.4400000000005082E-2</v>
      </c>
      <c r="O221" s="77">
        <v>463973.49397499999</v>
      </c>
      <c r="P221" s="79">
        <v>101.79</v>
      </c>
      <c r="Q221" s="70"/>
      <c r="R221" s="77">
        <v>472.27861955399999</v>
      </c>
      <c r="S221" s="78">
        <v>5.6815882265745998E-4</v>
      </c>
      <c r="T221" s="78">
        <f t="shared" si="5"/>
        <v>5.1347650892162901E-3</v>
      </c>
      <c r="U221" s="78">
        <f>R221/'סכום נכסי הקרן'!$C$42</f>
        <v>1.3016839125898859E-4</v>
      </c>
    </row>
    <row r="222" spans="2:21">
      <c r="B222" s="76" t="s">
        <v>792</v>
      </c>
      <c r="C222" s="70" t="s">
        <v>793</v>
      </c>
      <c r="D222" s="83" t="s">
        <v>116</v>
      </c>
      <c r="E222" s="83" t="s">
        <v>287</v>
      </c>
      <c r="F222" s="70" t="s">
        <v>755</v>
      </c>
      <c r="G222" s="83" t="s">
        <v>147</v>
      </c>
      <c r="H222" s="70" t="s">
        <v>588</v>
      </c>
      <c r="I222" s="70" t="s">
        <v>156</v>
      </c>
      <c r="J222" s="70"/>
      <c r="K222" s="77">
        <v>1.9599999999977851</v>
      </c>
      <c r="L222" s="83" t="s">
        <v>160</v>
      </c>
      <c r="M222" s="84">
        <v>2.4E-2</v>
      </c>
      <c r="N222" s="84">
        <v>4.040000000002214E-2</v>
      </c>
      <c r="O222" s="77">
        <v>92951.069925000003</v>
      </c>
      <c r="P222" s="79">
        <v>97.15</v>
      </c>
      <c r="Q222" s="70"/>
      <c r="R222" s="77">
        <v>90.30196444500001</v>
      </c>
      <c r="S222" s="78">
        <v>3.3016740099088934E-4</v>
      </c>
      <c r="T222" s="78">
        <f t="shared" si="5"/>
        <v>9.8179200861922555E-4</v>
      </c>
      <c r="U222" s="78">
        <f>R222/'סכום נכסי הקרן'!$C$42</f>
        <v>2.4888828231166711E-5</v>
      </c>
    </row>
    <row r="223" spans="2:21">
      <c r="B223" s="76" t="s">
        <v>794</v>
      </c>
      <c r="C223" s="70" t="s">
        <v>795</v>
      </c>
      <c r="D223" s="83" t="s">
        <v>116</v>
      </c>
      <c r="E223" s="83" t="s">
        <v>287</v>
      </c>
      <c r="F223" s="70" t="s">
        <v>796</v>
      </c>
      <c r="G223" s="83" t="s">
        <v>797</v>
      </c>
      <c r="H223" s="70" t="s">
        <v>592</v>
      </c>
      <c r="I223" s="70" t="s">
        <v>291</v>
      </c>
      <c r="J223" s="70"/>
      <c r="K223" s="77">
        <v>5.150000000000416</v>
      </c>
      <c r="L223" s="83" t="s">
        <v>160</v>
      </c>
      <c r="M223" s="84">
        <v>2.6200000000000001E-2</v>
      </c>
      <c r="N223" s="84">
        <v>1.9200000000003332E-2</v>
      </c>
      <c r="O223" s="77">
        <v>313298.926209</v>
      </c>
      <c r="P223" s="79">
        <v>103.6</v>
      </c>
      <c r="Q223" s="77">
        <v>35.692298468000004</v>
      </c>
      <c r="R223" s="77">
        <v>360.269986039</v>
      </c>
      <c r="S223" s="78">
        <v>4.8261137951492576E-4</v>
      </c>
      <c r="T223" s="78">
        <f t="shared" si="5"/>
        <v>3.9169711911847E-3</v>
      </c>
      <c r="U223" s="78">
        <f>R223/'סכום נכסי הקרן'!$C$42</f>
        <v>9.9296818784388956E-5</v>
      </c>
    </row>
    <row r="224" spans="2:21">
      <c r="B224" s="76" t="s">
        <v>798</v>
      </c>
      <c r="C224" s="70" t="s">
        <v>799</v>
      </c>
      <c r="D224" s="83" t="s">
        <v>116</v>
      </c>
      <c r="E224" s="83" t="s">
        <v>287</v>
      </c>
      <c r="F224" s="70" t="s">
        <v>796</v>
      </c>
      <c r="G224" s="83" t="s">
        <v>797</v>
      </c>
      <c r="H224" s="70" t="s">
        <v>592</v>
      </c>
      <c r="I224" s="70" t="s">
        <v>291</v>
      </c>
      <c r="J224" s="70"/>
      <c r="K224" s="77">
        <v>2.6399999999933659</v>
      </c>
      <c r="L224" s="83" t="s">
        <v>160</v>
      </c>
      <c r="M224" s="84">
        <v>3.3500000000000002E-2</v>
      </c>
      <c r="N224" s="84">
        <v>1.5899999999941197E-2</v>
      </c>
      <c r="O224" s="77">
        <v>125707.65034399999</v>
      </c>
      <c r="P224" s="79">
        <v>105.52</v>
      </c>
      <c r="Q224" s="70"/>
      <c r="R224" s="77">
        <v>132.64671264200001</v>
      </c>
      <c r="S224" s="78">
        <v>3.0489127987364634E-4</v>
      </c>
      <c r="T224" s="78">
        <f t="shared" si="5"/>
        <v>1.4421777338060699E-3</v>
      </c>
      <c r="U224" s="78">
        <f>R224/'סכום נכסי הקרן'!$C$42</f>
        <v>3.6559794315288193E-5</v>
      </c>
    </row>
    <row r="225" spans="2:21">
      <c r="B225" s="76" t="s">
        <v>800</v>
      </c>
      <c r="C225" s="70" t="s">
        <v>801</v>
      </c>
      <c r="D225" s="83" t="s">
        <v>116</v>
      </c>
      <c r="E225" s="83" t="s">
        <v>287</v>
      </c>
      <c r="F225" s="70" t="s">
        <v>587</v>
      </c>
      <c r="G225" s="83" t="s">
        <v>297</v>
      </c>
      <c r="H225" s="70" t="s">
        <v>602</v>
      </c>
      <c r="I225" s="70" t="s">
        <v>156</v>
      </c>
      <c r="J225" s="70"/>
      <c r="K225" s="77">
        <v>0.1899999999815748</v>
      </c>
      <c r="L225" s="83" t="s">
        <v>160</v>
      </c>
      <c r="M225" s="84">
        <v>2.5399999999999999E-2</v>
      </c>
      <c r="N225" s="84">
        <v>2.0900000000276378E-2</v>
      </c>
      <c r="O225" s="77">
        <v>17327.663896999999</v>
      </c>
      <c r="P225" s="79">
        <v>100.23</v>
      </c>
      <c r="Q225" s="70"/>
      <c r="R225" s="77">
        <v>17.367517928000002</v>
      </c>
      <c r="S225" s="78">
        <v>1.7950919833623402E-4</v>
      </c>
      <c r="T225" s="78">
        <f t="shared" ref="T225:T243" si="6">R225/$R$11</f>
        <v>1.888252422420657E-4</v>
      </c>
      <c r="U225" s="78">
        <f>R225/'סכום נכסי הקרן'!$C$42</f>
        <v>4.7867969779879394E-6</v>
      </c>
    </row>
    <row r="226" spans="2:21">
      <c r="B226" s="76" t="s">
        <v>802</v>
      </c>
      <c r="C226" s="70" t="s">
        <v>803</v>
      </c>
      <c r="D226" s="83" t="s">
        <v>116</v>
      </c>
      <c r="E226" s="83" t="s">
        <v>287</v>
      </c>
      <c r="F226" s="70" t="s">
        <v>804</v>
      </c>
      <c r="G226" s="83" t="s">
        <v>505</v>
      </c>
      <c r="H226" s="70" t="s">
        <v>602</v>
      </c>
      <c r="I226" s="70" t="s">
        <v>156</v>
      </c>
      <c r="J226" s="70"/>
      <c r="K226" s="77">
        <v>3.089999999996186</v>
      </c>
      <c r="L226" s="83" t="s">
        <v>160</v>
      </c>
      <c r="M226" s="84">
        <v>3.95E-2</v>
      </c>
      <c r="N226" s="84">
        <v>0.1723999999998983</v>
      </c>
      <c r="O226" s="77">
        <v>214440.86246</v>
      </c>
      <c r="P226" s="79">
        <v>69.7</v>
      </c>
      <c r="Q226" s="70"/>
      <c r="R226" s="77">
        <v>149.465288273</v>
      </c>
      <c r="S226" s="78">
        <v>3.6527213884509811E-4</v>
      </c>
      <c r="T226" s="78">
        <f t="shared" si="6"/>
        <v>1.6250346987941456E-3</v>
      </c>
      <c r="U226" s="78">
        <f>R226/'סכום נכסי הקרן'!$C$42</f>
        <v>4.1195293028362122E-5</v>
      </c>
    </row>
    <row r="227" spans="2:21">
      <c r="B227" s="76" t="s">
        <v>805</v>
      </c>
      <c r="C227" s="70" t="s">
        <v>806</v>
      </c>
      <c r="D227" s="83" t="s">
        <v>116</v>
      </c>
      <c r="E227" s="83" t="s">
        <v>287</v>
      </c>
      <c r="F227" s="70" t="s">
        <v>804</v>
      </c>
      <c r="G227" s="83" t="s">
        <v>505</v>
      </c>
      <c r="H227" s="70" t="s">
        <v>602</v>
      </c>
      <c r="I227" s="70" t="s">
        <v>156</v>
      </c>
      <c r="J227" s="70"/>
      <c r="K227" s="77">
        <v>3.6599999999969941</v>
      </c>
      <c r="L227" s="83" t="s">
        <v>160</v>
      </c>
      <c r="M227" s="84">
        <v>0.03</v>
      </c>
      <c r="N227" s="84">
        <v>5.2799999999965819E-2</v>
      </c>
      <c r="O227" s="77">
        <v>362894.43800999998</v>
      </c>
      <c r="P227" s="79">
        <v>93.51</v>
      </c>
      <c r="Q227" s="70"/>
      <c r="R227" s="77">
        <v>339.34257689700001</v>
      </c>
      <c r="S227" s="78">
        <v>4.4242524192339059E-4</v>
      </c>
      <c r="T227" s="78">
        <f t="shared" si="6"/>
        <v>3.6894416664063705E-3</v>
      </c>
      <c r="U227" s="78">
        <f>R227/'סכום נכסי הקרן'!$C$42</f>
        <v>9.3528852443237827E-5</v>
      </c>
    </row>
    <row r="228" spans="2:21">
      <c r="B228" s="76" t="s">
        <v>807</v>
      </c>
      <c r="C228" s="70" t="s">
        <v>808</v>
      </c>
      <c r="D228" s="83" t="s">
        <v>116</v>
      </c>
      <c r="E228" s="83" t="s">
        <v>287</v>
      </c>
      <c r="F228" s="70" t="s">
        <v>605</v>
      </c>
      <c r="G228" s="83" t="s">
        <v>606</v>
      </c>
      <c r="H228" s="70" t="s">
        <v>602</v>
      </c>
      <c r="I228" s="70" t="s">
        <v>156</v>
      </c>
      <c r="J228" s="70"/>
      <c r="K228" s="77">
        <v>4.0599999999998255</v>
      </c>
      <c r="L228" s="83" t="s">
        <v>160</v>
      </c>
      <c r="M228" s="84">
        <v>2.9500000000000002E-2</v>
      </c>
      <c r="N228" s="84">
        <v>3.4799999999986037E-2</v>
      </c>
      <c r="O228" s="77">
        <v>233823.91329999999</v>
      </c>
      <c r="P228" s="79">
        <v>98</v>
      </c>
      <c r="Q228" s="70"/>
      <c r="R228" s="77">
        <v>229.14743503399995</v>
      </c>
      <c r="S228" s="78">
        <v>7.3666208783592193E-4</v>
      </c>
      <c r="T228" s="78">
        <f t="shared" si="6"/>
        <v>2.4913646330362981E-3</v>
      </c>
      <c r="U228" s="78">
        <f>R228/'סכום נכסי הקרן'!$C$42</f>
        <v>6.3157110537138963E-5</v>
      </c>
    </row>
    <row r="229" spans="2:21">
      <c r="B229" s="76" t="s">
        <v>809</v>
      </c>
      <c r="C229" s="70" t="s">
        <v>810</v>
      </c>
      <c r="D229" s="83" t="s">
        <v>116</v>
      </c>
      <c r="E229" s="83" t="s">
        <v>287</v>
      </c>
      <c r="F229" s="70" t="s">
        <v>811</v>
      </c>
      <c r="G229" s="83" t="s">
        <v>412</v>
      </c>
      <c r="H229" s="70" t="s">
        <v>602</v>
      </c>
      <c r="I229" s="70" t="s">
        <v>156</v>
      </c>
      <c r="J229" s="70"/>
      <c r="K229" s="77">
        <v>1.939999999967138</v>
      </c>
      <c r="L229" s="83" t="s">
        <v>160</v>
      </c>
      <c r="M229" s="84">
        <v>4.3499999999999997E-2</v>
      </c>
      <c r="N229" s="84">
        <v>2.0999999995070687E-2</v>
      </c>
      <c r="O229" s="77">
        <v>571.45899799999995</v>
      </c>
      <c r="P229" s="79">
        <v>106.5</v>
      </c>
      <c r="Q229" s="70"/>
      <c r="R229" s="77">
        <v>0.60860383299999998</v>
      </c>
      <c r="S229" s="78">
        <v>3.3075329069599185E-6</v>
      </c>
      <c r="T229" s="78">
        <f t="shared" si="6"/>
        <v>6.6169366671791638E-6</v>
      </c>
      <c r="U229" s="78">
        <f>R229/'סכום נכסי הקרן'!$C$42</f>
        <v>1.6774204585097903E-7</v>
      </c>
    </row>
    <row r="230" spans="2:21">
      <c r="B230" s="76" t="s">
        <v>812</v>
      </c>
      <c r="C230" s="70" t="s">
        <v>813</v>
      </c>
      <c r="D230" s="83" t="s">
        <v>116</v>
      </c>
      <c r="E230" s="83" t="s">
        <v>287</v>
      </c>
      <c r="F230" s="70" t="s">
        <v>811</v>
      </c>
      <c r="G230" s="83" t="s">
        <v>412</v>
      </c>
      <c r="H230" s="70" t="s">
        <v>602</v>
      </c>
      <c r="I230" s="70" t="s">
        <v>156</v>
      </c>
      <c r="J230" s="70"/>
      <c r="K230" s="77">
        <v>4.9700000000030631</v>
      </c>
      <c r="L230" s="83" t="s">
        <v>160</v>
      </c>
      <c r="M230" s="84">
        <v>3.27E-2</v>
      </c>
      <c r="N230" s="84">
        <v>2.2700000000046745E-2</v>
      </c>
      <c r="O230" s="77">
        <v>117607.12899599998</v>
      </c>
      <c r="P230" s="79">
        <v>105.5</v>
      </c>
      <c r="Q230" s="70"/>
      <c r="R230" s="77">
        <v>124.07552104599999</v>
      </c>
      <c r="S230" s="78">
        <v>5.2738622868161425E-4</v>
      </c>
      <c r="T230" s="78">
        <f t="shared" si="6"/>
        <v>1.3489889813241406E-3</v>
      </c>
      <c r="U230" s="78">
        <f>R230/'סכום נכסי הקרן'!$C$42</f>
        <v>3.419742139593499E-5</v>
      </c>
    </row>
    <row r="231" spans="2:21">
      <c r="B231" s="76" t="s">
        <v>814</v>
      </c>
      <c r="C231" s="70" t="s">
        <v>815</v>
      </c>
      <c r="D231" s="83" t="s">
        <v>116</v>
      </c>
      <c r="E231" s="83" t="s">
        <v>287</v>
      </c>
      <c r="F231" s="70" t="s">
        <v>816</v>
      </c>
      <c r="G231" s="83" t="s">
        <v>152</v>
      </c>
      <c r="H231" s="70" t="s">
        <v>609</v>
      </c>
      <c r="I231" s="70" t="s">
        <v>291</v>
      </c>
      <c r="J231" s="70"/>
      <c r="K231" s="77">
        <v>0.72000000001962972</v>
      </c>
      <c r="L231" s="83" t="s">
        <v>160</v>
      </c>
      <c r="M231" s="84">
        <v>3.3000000000000002E-2</v>
      </c>
      <c r="N231" s="84">
        <v>0.17150000000179511</v>
      </c>
      <c r="O231" s="77">
        <v>42239.694960000001</v>
      </c>
      <c r="P231" s="79">
        <v>91.66</v>
      </c>
      <c r="Q231" s="70"/>
      <c r="R231" s="77">
        <v>38.716902967000003</v>
      </c>
      <c r="S231" s="78">
        <v>1.9553710263694427E-4</v>
      </c>
      <c r="T231" s="78">
        <f t="shared" si="6"/>
        <v>4.2094262472704483E-4</v>
      </c>
      <c r="U231" s="78">
        <f>R231/'סכום נכסי הקרן'!$C$42</f>
        <v>1.0671067384977216E-5</v>
      </c>
    </row>
    <row r="232" spans="2:21">
      <c r="B232" s="76" t="s">
        <v>817</v>
      </c>
      <c r="C232" s="70" t="s">
        <v>818</v>
      </c>
      <c r="D232" s="83" t="s">
        <v>116</v>
      </c>
      <c r="E232" s="83" t="s">
        <v>287</v>
      </c>
      <c r="F232" s="70" t="s">
        <v>622</v>
      </c>
      <c r="G232" s="83" t="s">
        <v>187</v>
      </c>
      <c r="H232" s="70" t="s">
        <v>609</v>
      </c>
      <c r="I232" s="70" t="s">
        <v>291</v>
      </c>
      <c r="J232" s="70"/>
      <c r="K232" s="77">
        <v>2.8300000000005534</v>
      </c>
      <c r="L232" s="83" t="s">
        <v>160</v>
      </c>
      <c r="M232" s="84">
        <v>4.1399999999999999E-2</v>
      </c>
      <c r="N232" s="84">
        <v>3.8700000000008304E-2</v>
      </c>
      <c r="O232" s="77">
        <v>123097.241979</v>
      </c>
      <c r="P232" s="79">
        <v>100.8</v>
      </c>
      <c r="Q232" s="77">
        <v>20.497449417999999</v>
      </c>
      <c r="R232" s="77">
        <v>144.579469324</v>
      </c>
      <c r="S232" s="78">
        <v>2.4996593203547966E-4</v>
      </c>
      <c r="T232" s="78">
        <f t="shared" si="6"/>
        <v>1.571914503356867E-3</v>
      </c>
      <c r="U232" s="78">
        <f>R232/'סכום נכסי הקרן'!$C$42</f>
        <v>3.9848674387919317E-5</v>
      </c>
    </row>
    <row r="233" spans="2:21">
      <c r="B233" s="76" t="s">
        <v>819</v>
      </c>
      <c r="C233" s="70" t="s">
        <v>820</v>
      </c>
      <c r="D233" s="83" t="s">
        <v>116</v>
      </c>
      <c r="E233" s="83" t="s">
        <v>287</v>
      </c>
      <c r="F233" s="70" t="s">
        <v>622</v>
      </c>
      <c r="G233" s="83" t="s">
        <v>187</v>
      </c>
      <c r="H233" s="70" t="s">
        <v>609</v>
      </c>
      <c r="I233" s="70" t="s">
        <v>291</v>
      </c>
      <c r="J233" s="70"/>
      <c r="K233" s="77">
        <v>4.7500000000009219</v>
      </c>
      <c r="L233" s="83" t="s">
        <v>160</v>
      </c>
      <c r="M233" s="84">
        <v>2.5000000000000001E-2</v>
      </c>
      <c r="N233" s="84">
        <v>5.7700000000015121E-2</v>
      </c>
      <c r="O233" s="77">
        <v>623505.30304599996</v>
      </c>
      <c r="P233" s="79">
        <v>87</v>
      </c>
      <c r="Q233" s="70"/>
      <c r="R233" s="77">
        <v>542.44959983399997</v>
      </c>
      <c r="S233" s="78">
        <v>7.5578359726736761E-4</v>
      </c>
      <c r="T233" s="78">
        <f t="shared" si="6"/>
        <v>5.8976865616261389E-3</v>
      </c>
      <c r="U233" s="78">
        <f>R233/'סכום נכסי הקרן'!$C$42</f>
        <v>1.4950876204422467E-4</v>
      </c>
    </row>
    <row r="234" spans="2:21">
      <c r="B234" s="76" t="s">
        <v>821</v>
      </c>
      <c r="C234" s="70" t="s">
        <v>822</v>
      </c>
      <c r="D234" s="83" t="s">
        <v>116</v>
      </c>
      <c r="E234" s="83" t="s">
        <v>287</v>
      </c>
      <c r="F234" s="70" t="s">
        <v>622</v>
      </c>
      <c r="G234" s="83" t="s">
        <v>187</v>
      </c>
      <c r="H234" s="70" t="s">
        <v>609</v>
      </c>
      <c r="I234" s="70" t="s">
        <v>291</v>
      </c>
      <c r="J234" s="70"/>
      <c r="K234" s="77">
        <v>3.4200000000069455</v>
      </c>
      <c r="L234" s="83" t="s">
        <v>160</v>
      </c>
      <c r="M234" s="84">
        <v>3.5499999999999997E-2</v>
      </c>
      <c r="N234" s="84">
        <v>5.0300000000060782E-2</v>
      </c>
      <c r="O234" s="77">
        <v>237330.76111799999</v>
      </c>
      <c r="P234" s="79">
        <v>95.29</v>
      </c>
      <c r="Q234" s="77">
        <v>4.212621049</v>
      </c>
      <c r="R234" s="77">
        <v>230.36509271999998</v>
      </c>
      <c r="S234" s="78">
        <v>3.3397045612509392E-4</v>
      </c>
      <c r="T234" s="78">
        <f t="shared" si="6"/>
        <v>2.5046033991328737E-3</v>
      </c>
      <c r="U234" s="78">
        <f>R234/'סכום נכסי הקרן'!$C$42</f>
        <v>6.3492718662360559E-5</v>
      </c>
    </row>
    <row r="235" spans="2:21">
      <c r="B235" s="76" t="s">
        <v>823</v>
      </c>
      <c r="C235" s="70" t="s">
        <v>824</v>
      </c>
      <c r="D235" s="83" t="s">
        <v>116</v>
      </c>
      <c r="E235" s="83" t="s">
        <v>287</v>
      </c>
      <c r="F235" s="70" t="s">
        <v>629</v>
      </c>
      <c r="G235" s="83" t="s">
        <v>416</v>
      </c>
      <c r="H235" s="70" t="s">
        <v>626</v>
      </c>
      <c r="I235" s="70" t="s">
        <v>156</v>
      </c>
      <c r="J235" s="70"/>
      <c r="K235" s="77">
        <v>5.3000000000026821</v>
      </c>
      <c r="L235" s="83" t="s">
        <v>160</v>
      </c>
      <c r="M235" s="84">
        <v>4.4500000000000005E-2</v>
      </c>
      <c r="N235" s="84">
        <v>2.2300000000029508E-2</v>
      </c>
      <c r="O235" s="77">
        <v>232873.63184099999</v>
      </c>
      <c r="P235" s="79">
        <v>112.04</v>
      </c>
      <c r="Q235" s="70"/>
      <c r="R235" s="77">
        <v>260.91161970100001</v>
      </c>
      <c r="S235" s="78">
        <v>8.6060797008411188E-4</v>
      </c>
      <c r="T235" s="78">
        <f t="shared" si="6"/>
        <v>2.8367150676368684E-3</v>
      </c>
      <c r="U235" s="78">
        <f>R235/'סכום נכסי הקרן'!$C$42</f>
        <v>7.19118850422001E-5</v>
      </c>
    </row>
    <row r="236" spans="2:21">
      <c r="B236" s="76" t="s">
        <v>825</v>
      </c>
      <c r="C236" s="70" t="s">
        <v>826</v>
      </c>
      <c r="D236" s="83" t="s">
        <v>116</v>
      </c>
      <c r="E236" s="83" t="s">
        <v>287</v>
      </c>
      <c r="F236" s="70" t="s">
        <v>827</v>
      </c>
      <c r="G236" s="83" t="s">
        <v>186</v>
      </c>
      <c r="H236" s="70" t="s">
        <v>626</v>
      </c>
      <c r="I236" s="70" t="s">
        <v>156</v>
      </c>
      <c r="J236" s="70"/>
      <c r="K236" s="77">
        <v>3.499999999943634</v>
      </c>
      <c r="L236" s="83" t="s">
        <v>160</v>
      </c>
      <c r="M236" s="84">
        <v>4.2500000000000003E-2</v>
      </c>
      <c r="N236" s="84">
        <v>2.3199999999594167E-2</v>
      </c>
      <c r="O236" s="77">
        <v>24551.604188000001</v>
      </c>
      <c r="P236" s="79">
        <v>108.39</v>
      </c>
      <c r="Q236" s="70"/>
      <c r="R236" s="77">
        <v>26.611484068999999</v>
      </c>
      <c r="S236" s="78">
        <v>2.0319970360438652E-4</v>
      </c>
      <c r="T236" s="78">
        <f t="shared" si="6"/>
        <v>2.8932861601648879E-4</v>
      </c>
      <c r="U236" s="78">
        <f>R236/'סכום נכסי הקרן'!$C$42</f>
        <v>7.3345985332708148E-6</v>
      </c>
    </row>
    <row r="237" spans="2:21">
      <c r="B237" s="76" t="s">
        <v>828</v>
      </c>
      <c r="C237" s="70" t="s">
        <v>829</v>
      </c>
      <c r="D237" s="83" t="s">
        <v>116</v>
      </c>
      <c r="E237" s="83" t="s">
        <v>287</v>
      </c>
      <c r="F237" s="70" t="s">
        <v>827</v>
      </c>
      <c r="G237" s="83" t="s">
        <v>186</v>
      </c>
      <c r="H237" s="70" t="s">
        <v>626</v>
      </c>
      <c r="I237" s="70" t="s">
        <v>156</v>
      </c>
      <c r="J237" s="70"/>
      <c r="K237" s="77">
        <v>4.150000000003164</v>
      </c>
      <c r="L237" s="83" t="s">
        <v>160</v>
      </c>
      <c r="M237" s="84">
        <v>3.4500000000000003E-2</v>
      </c>
      <c r="N237" s="84">
        <v>2.160000000000149E-2</v>
      </c>
      <c r="O237" s="77">
        <v>251902.27254999999</v>
      </c>
      <c r="P237" s="79">
        <v>106.62</v>
      </c>
      <c r="Q237" s="70"/>
      <c r="R237" s="77">
        <v>268.57819458099999</v>
      </c>
      <c r="S237" s="78">
        <v>7.7985880865688465E-4</v>
      </c>
      <c r="T237" s="78">
        <f t="shared" si="6"/>
        <v>2.9200685361569175E-3</v>
      </c>
      <c r="U237" s="78">
        <f>R237/'סכום נכסי הקרן'!$C$42</f>
        <v>7.4024929497904218E-5</v>
      </c>
    </row>
    <row r="238" spans="2:21">
      <c r="B238" s="76" t="s">
        <v>830</v>
      </c>
      <c r="C238" s="70" t="s">
        <v>831</v>
      </c>
      <c r="D238" s="83" t="s">
        <v>116</v>
      </c>
      <c r="E238" s="83" t="s">
        <v>287</v>
      </c>
      <c r="F238" s="70" t="s">
        <v>832</v>
      </c>
      <c r="G238" s="83" t="s">
        <v>416</v>
      </c>
      <c r="H238" s="70" t="s">
        <v>636</v>
      </c>
      <c r="I238" s="70" t="s">
        <v>291</v>
      </c>
      <c r="J238" s="70"/>
      <c r="K238" s="77">
        <v>2.5599999999948104</v>
      </c>
      <c r="L238" s="83" t="s">
        <v>160</v>
      </c>
      <c r="M238" s="84">
        <v>5.9000000000000004E-2</v>
      </c>
      <c r="N238" s="84">
        <v>5.999999999988205E-2</v>
      </c>
      <c r="O238" s="77">
        <v>254381.26795699997</v>
      </c>
      <c r="P238" s="79">
        <v>99.99</v>
      </c>
      <c r="Q238" s="70"/>
      <c r="R238" s="77">
        <v>254.355829822</v>
      </c>
      <c r="S238" s="78">
        <v>2.8434215612980064E-4</v>
      </c>
      <c r="T238" s="78">
        <f t="shared" si="6"/>
        <v>2.765438410999911E-3</v>
      </c>
      <c r="U238" s="78">
        <f>R238/'סכום נכסי הקרן'!$C$42</f>
        <v>7.0104992698042615E-5</v>
      </c>
    </row>
    <row r="239" spans="2:21">
      <c r="B239" s="76" t="s">
        <v>833</v>
      </c>
      <c r="C239" s="70" t="s">
        <v>834</v>
      </c>
      <c r="D239" s="83" t="s">
        <v>116</v>
      </c>
      <c r="E239" s="83" t="s">
        <v>287</v>
      </c>
      <c r="F239" s="70" t="s">
        <v>832</v>
      </c>
      <c r="G239" s="83" t="s">
        <v>416</v>
      </c>
      <c r="H239" s="70" t="s">
        <v>636</v>
      </c>
      <c r="I239" s="70" t="s">
        <v>291</v>
      </c>
      <c r="J239" s="70"/>
      <c r="K239" s="77">
        <v>4.9900000000127829</v>
      </c>
      <c r="L239" s="83" t="s">
        <v>160</v>
      </c>
      <c r="M239" s="84">
        <v>2.7000000000000003E-2</v>
      </c>
      <c r="N239" s="84">
        <v>6.5900000000302134E-2</v>
      </c>
      <c r="O239" s="77">
        <v>41322.910240999998</v>
      </c>
      <c r="P239" s="79">
        <v>83.3</v>
      </c>
      <c r="Q239" s="70"/>
      <c r="R239" s="77">
        <v>34.421984244000001</v>
      </c>
      <c r="S239" s="78">
        <v>4.6976187459320343E-5</v>
      </c>
      <c r="T239" s="78">
        <f t="shared" si="6"/>
        <v>3.7424688664618882E-4</v>
      </c>
      <c r="U239" s="78">
        <f>R239/'סכום נכסי הקרן'!$C$42</f>
        <v>9.4873113612788015E-6</v>
      </c>
    </row>
    <row r="240" spans="2:21">
      <c r="B240" s="76" t="s">
        <v>835</v>
      </c>
      <c r="C240" s="70" t="s">
        <v>836</v>
      </c>
      <c r="D240" s="83" t="s">
        <v>116</v>
      </c>
      <c r="E240" s="83" t="s">
        <v>287</v>
      </c>
      <c r="F240" s="70" t="s">
        <v>837</v>
      </c>
      <c r="G240" s="83" t="s">
        <v>505</v>
      </c>
      <c r="H240" s="70" t="s">
        <v>626</v>
      </c>
      <c r="I240" s="70" t="s">
        <v>156</v>
      </c>
      <c r="J240" s="70"/>
      <c r="K240" s="77">
        <v>2.66000000000429</v>
      </c>
      <c r="L240" s="83" t="s">
        <v>160</v>
      </c>
      <c r="M240" s="84">
        <v>4.5999999999999999E-2</v>
      </c>
      <c r="N240" s="84">
        <v>9.2300000000039337E-2</v>
      </c>
      <c r="O240" s="77">
        <v>124067.963506</v>
      </c>
      <c r="P240" s="79">
        <v>90.18</v>
      </c>
      <c r="Q240" s="70"/>
      <c r="R240" s="77">
        <v>111.884489472</v>
      </c>
      <c r="S240" s="78">
        <v>5.1923351482489378E-4</v>
      </c>
      <c r="T240" s="78">
        <f t="shared" si="6"/>
        <v>1.216444164057537E-3</v>
      </c>
      <c r="U240" s="78">
        <f>R240/'סכום נכסי הקרן'!$C$42</f>
        <v>3.0837356167333903E-5</v>
      </c>
    </row>
    <row r="241" spans="2:21">
      <c r="B241" s="76" t="s">
        <v>838</v>
      </c>
      <c r="C241" s="70" t="s">
        <v>839</v>
      </c>
      <c r="D241" s="83" t="s">
        <v>116</v>
      </c>
      <c r="E241" s="83" t="s">
        <v>287</v>
      </c>
      <c r="F241" s="70" t="s">
        <v>840</v>
      </c>
      <c r="G241" s="83" t="s">
        <v>841</v>
      </c>
      <c r="H241" s="70" t="s">
        <v>626</v>
      </c>
      <c r="I241" s="70" t="s">
        <v>156</v>
      </c>
      <c r="J241" s="70"/>
      <c r="K241" s="77">
        <v>2.8499999999837984</v>
      </c>
      <c r="L241" s="83" t="s">
        <v>160</v>
      </c>
      <c r="M241" s="84">
        <v>0.04</v>
      </c>
      <c r="N241" s="84">
        <v>0.16859999999837985</v>
      </c>
      <c r="O241" s="77">
        <v>43955.252890999996</v>
      </c>
      <c r="P241" s="79">
        <v>70.209999999999994</v>
      </c>
      <c r="Q241" s="70"/>
      <c r="R241" s="77">
        <v>30.860983049999994</v>
      </c>
      <c r="S241" s="78">
        <v>6.0075407002902948E-5</v>
      </c>
      <c r="T241" s="78">
        <f t="shared" si="6"/>
        <v>3.3553053605027102E-4</v>
      </c>
      <c r="U241" s="78">
        <f>R241/'סכום נכסי הקרן'!$C$42</f>
        <v>8.5058360678766643E-6</v>
      </c>
    </row>
    <row r="242" spans="2:21">
      <c r="B242" s="76" t="s">
        <v>842</v>
      </c>
      <c r="C242" s="70" t="s">
        <v>843</v>
      </c>
      <c r="D242" s="83" t="s">
        <v>116</v>
      </c>
      <c r="E242" s="83" t="s">
        <v>287</v>
      </c>
      <c r="F242" s="70" t="s">
        <v>840</v>
      </c>
      <c r="G242" s="83" t="s">
        <v>841</v>
      </c>
      <c r="H242" s="70" t="s">
        <v>626</v>
      </c>
      <c r="I242" s="70" t="s">
        <v>156</v>
      </c>
      <c r="J242" s="70"/>
      <c r="K242" s="77">
        <v>4.5300000000022544</v>
      </c>
      <c r="L242" s="83" t="s">
        <v>160</v>
      </c>
      <c r="M242" s="84">
        <v>2.9100000000000001E-2</v>
      </c>
      <c r="N242" s="84">
        <v>0.11620000000009016</v>
      </c>
      <c r="O242" s="77">
        <v>222122.5</v>
      </c>
      <c r="P242" s="79">
        <v>67.92</v>
      </c>
      <c r="Q242" s="70"/>
      <c r="R242" s="77">
        <v>150.86560222199998</v>
      </c>
      <c r="S242" s="78">
        <v>9.6987830810275043E-4</v>
      </c>
      <c r="T242" s="78">
        <f t="shared" si="6"/>
        <v>1.6402593625446621E-3</v>
      </c>
      <c r="U242" s="78">
        <f>R242/'סכום נכסי הקרן'!$C$42</f>
        <v>4.1581244469845931E-5</v>
      </c>
    </row>
    <row r="243" spans="2:21">
      <c r="B243" s="76" t="s">
        <v>844</v>
      </c>
      <c r="C243" s="70" t="s">
        <v>845</v>
      </c>
      <c r="D243" s="83" t="s">
        <v>116</v>
      </c>
      <c r="E243" s="83" t="s">
        <v>287</v>
      </c>
      <c r="F243" s="70" t="s">
        <v>846</v>
      </c>
      <c r="G243" s="83" t="s">
        <v>505</v>
      </c>
      <c r="H243" s="70" t="s">
        <v>847</v>
      </c>
      <c r="I243" s="70" t="s">
        <v>291</v>
      </c>
      <c r="J243" s="70"/>
      <c r="K243" s="77">
        <v>0.24999999999883729</v>
      </c>
      <c r="L243" s="83" t="s">
        <v>160</v>
      </c>
      <c r="M243" s="84">
        <v>6.0999999999999999E-2</v>
      </c>
      <c r="N243" s="84">
        <v>0.27080000000000093</v>
      </c>
      <c r="O243" s="77">
        <v>442876.56547200005</v>
      </c>
      <c r="P243" s="79">
        <v>97.1</v>
      </c>
      <c r="Q243" s="70"/>
      <c r="R243" s="77">
        <v>430.03313026200004</v>
      </c>
      <c r="S243" s="78">
        <v>6.5359587584415586E-4</v>
      </c>
      <c r="T243" s="78">
        <f t="shared" si="6"/>
        <v>4.6754585387773296E-3</v>
      </c>
      <c r="U243" s="78">
        <f>R243/'סכום נכסי הקרן'!$C$42</f>
        <v>1.1852478269529474E-4</v>
      </c>
    </row>
    <row r="244" spans="2:21">
      <c r="B244" s="73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7"/>
      <c r="P244" s="79"/>
      <c r="Q244" s="70"/>
      <c r="R244" s="70"/>
      <c r="S244" s="70"/>
      <c r="T244" s="78"/>
      <c r="U244" s="70"/>
    </row>
    <row r="245" spans="2:21">
      <c r="B245" s="89" t="s">
        <v>45</v>
      </c>
      <c r="C245" s="72"/>
      <c r="D245" s="72"/>
      <c r="E245" s="72"/>
      <c r="F245" s="72"/>
      <c r="G245" s="72"/>
      <c r="H245" s="72"/>
      <c r="I245" s="72"/>
      <c r="J245" s="72"/>
      <c r="K245" s="80">
        <v>3.5198713750479071</v>
      </c>
      <c r="L245" s="72"/>
      <c r="M245" s="72"/>
      <c r="N245" s="94">
        <v>9.09730503241266E-2</v>
      </c>
      <c r="O245" s="80"/>
      <c r="P245" s="82"/>
      <c r="Q245" s="72"/>
      <c r="R245" s="80">
        <f>SUM(R246:R251)</f>
        <v>3021.4967260387421</v>
      </c>
      <c r="S245" s="72"/>
      <c r="T245" s="81">
        <f t="shared" ref="T245:T251" si="7">R245/$R$11</f>
        <v>3.2850684455494626E-2</v>
      </c>
      <c r="U245" s="81">
        <f>R245/'סכום נכסי הקרן'!$C$42</f>
        <v>8.3277826210761594E-4</v>
      </c>
    </row>
    <row r="246" spans="2:21">
      <c r="B246" s="76" t="s">
        <v>848</v>
      </c>
      <c r="C246" s="70" t="s">
        <v>849</v>
      </c>
      <c r="D246" s="83" t="s">
        <v>116</v>
      </c>
      <c r="E246" s="83" t="s">
        <v>287</v>
      </c>
      <c r="F246" s="70" t="s">
        <v>850</v>
      </c>
      <c r="G246" s="83" t="s">
        <v>142</v>
      </c>
      <c r="H246" s="70" t="s">
        <v>382</v>
      </c>
      <c r="I246" s="70" t="s">
        <v>291</v>
      </c>
      <c r="J246" s="70"/>
      <c r="K246" s="77">
        <v>2.5500000000008578</v>
      </c>
      <c r="L246" s="83" t="s">
        <v>160</v>
      </c>
      <c r="M246" s="84">
        <v>3.49E-2</v>
      </c>
      <c r="N246" s="84">
        <v>6.1100000000015739E-2</v>
      </c>
      <c r="O246" s="77">
        <v>1411547.260276</v>
      </c>
      <c r="P246" s="79">
        <v>90.82</v>
      </c>
      <c r="Q246" s="70"/>
      <c r="R246" s="77">
        <v>1281.9671852180002</v>
      </c>
      <c r="S246" s="78">
        <v>7.6421221571075124E-4</v>
      </c>
      <c r="T246" s="78">
        <f t="shared" si="7"/>
        <v>1.3937959661173293E-2</v>
      </c>
      <c r="U246" s="78">
        <f>R246/'סכום נכסי הקרן'!$C$42</f>
        <v>3.533329675271505E-4</v>
      </c>
    </row>
    <row r="247" spans="2:21">
      <c r="B247" s="76" t="s">
        <v>851</v>
      </c>
      <c r="C247" s="70" t="s">
        <v>852</v>
      </c>
      <c r="D247" s="83" t="s">
        <v>116</v>
      </c>
      <c r="E247" s="83" t="s">
        <v>287</v>
      </c>
      <c r="F247" s="70" t="s">
        <v>853</v>
      </c>
      <c r="G247" s="83" t="s">
        <v>142</v>
      </c>
      <c r="H247" s="70" t="s">
        <v>588</v>
      </c>
      <c r="I247" s="70" t="s">
        <v>156</v>
      </c>
      <c r="J247" s="70"/>
      <c r="K247" s="77">
        <v>4.3800000000007708</v>
      </c>
      <c r="L247" s="83" t="s">
        <v>160</v>
      </c>
      <c r="M247" s="84">
        <v>4.6900000000000004E-2</v>
      </c>
      <c r="N247" s="84">
        <v>0.11620000000003085</v>
      </c>
      <c r="O247" s="77">
        <v>697694.21764599998</v>
      </c>
      <c r="P247" s="79">
        <v>74.349999999999994</v>
      </c>
      <c r="Q247" s="70"/>
      <c r="R247" s="77">
        <v>518.73562257000003</v>
      </c>
      <c r="S247" s="78">
        <v>3.5482534948312009E-4</v>
      </c>
      <c r="T247" s="78">
        <f t="shared" si="7"/>
        <v>5.6398605717546384E-3</v>
      </c>
      <c r="U247" s="78">
        <f>R247/'סכום נכסי הקרן'!$C$42</f>
        <v>1.4297276794455072E-4</v>
      </c>
    </row>
    <row r="248" spans="2:21">
      <c r="B248" s="76" t="s">
        <v>854</v>
      </c>
      <c r="C248" s="70" t="s">
        <v>855</v>
      </c>
      <c r="D248" s="83" t="s">
        <v>116</v>
      </c>
      <c r="E248" s="83" t="s">
        <v>287</v>
      </c>
      <c r="F248" s="70" t="s">
        <v>853</v>
      </c>
      <c r="G248" s="83" t="s">
        <v>142</v>
      </c>
      <c r="H248" s="70" t="s">
        <v>588</v>
      </c>
      <c r="I248" s="70" t="s">
        <v>156</v>
      </c>
      <c r="J248" s="70"/>
      <c r="K248" s="77">
        <v>4.6300000000020898</v>
      </c>
      <c r="L248" s="83" t="s">
        <v>160</v>
      </c>
      <c r="M248" s="84">
        <v>4.6900000000000004E-2</v>
      </c>
      <c r="N248" s="84">
        <v>0.11660000000006052</v>
      </c>
      <c r="O248" s="77">
        <v>1293195.301983</v>
      </c>
      <c r="P248" s="79">
        <v>74.349999999999994</v>
      </c>
      <c r="Q248" s="70"/>
      <c r="R248" s="77">
        <v>961.49064967300001</v>
      </c>
      <c r="S248" s="78">
        <v>8.0177289692689242E-4</v>
      </c>
      <c r="T248" s="78">
        <f t="shared" si="7"/>
        <v>1.0453635665766813E-2</v>
      </c>
      <c r="U248" s="78">
        <f>R248/'סכום נכסי הקרן'!$C$42</f>
        <v>2.6500393178223046E-4</v>
      </c>
    </row>
    <row r="249" spans="2:21">
      <c r="B249" s="76" t="s">
        <v>856</v>
      </c>
      <c r="C249" s="70" t="s">
        <v>857</v>
      </c>
      <c r="D249" s="83" t="s">
        <v>116</v>
      </c>
      <c r="E249" s="83" t="s">
        <v>287</v>
      </c>
      <c r="F249" s="70" t="s">
        <v>858</v>
      </c>
      <c r="G249" s="83" t="s">
        <v>142</v>
      </c>
      <c r="H249" s="70" t="s">
        <v>602</v>
      </c>
      <c r="I249" s="70" t="s">
        <v>156</v>
      </c>
      <c r="J249" s="70"/>
      <c r="K249" s="77">
        <v>1.4600000000837035</v>
      </c>
      <c r="L249" s="83" t="s">
        <v>160</v>
      </c>
      <c r="M249" s="84">
        <v>4.4999999999999998E-2</v>
      </c>
      <c r="N249" s="84">
        <v>0.18680000000580585</v>
      </c>
      <c r="O249" s="77">
        <v>14893.788966999999</v>
      </c>
      <c r="P249" s="79">
        <v>75.39</v>
      </c>
      <c r="Q249" s="70"/>
      <c r="R249" s="77">
        <v>11.230117111</v>
      </c>
      <c r="S249" s="78">
        <v>9.7438452208751789E-6</v>
      </c>
      <c r="T249" s="78">
        <f t="shared" si="7"/>
        <v>1.2209744608771144E-4</v>
      </c>
      <c r="U249" s="78">
        <f>R249/'סכום נכסי הקרן'!$C$42</f>
        <v>3.0952201041185788E-6</v>
      </c>
    </row>
    <row r="250" spans="2:21">
      <c r="B250" s="76" t="s">
        <v>859</v>
      </c>
      <c r="C250" s="70" t="s">
        <v>860</v>
      </c>
      <c r="D250" s="83" t="s">
        <v>116</v>
      </c>
      <c r="E250" s="83" t="s">
        <v>287</v>
      </c>
      <c r="F250" s="70" t="s">
        <v>832</v>
      </c>
      <c r="G250" s="83" t="s">
        <v>416</v>
      </c>
      <c r="H250" s="70" t="s">
        <v>636</v>
      </c>
      <c r="I250" s="70" t="s">
        <v>291</v>
      </c>
      <c r="J250" s="70"/>
      <c r="K250" s="77">
        <v>2.0799999999963457</v>
      </c>
      <c r="L250" s="83" t="s">
        <v>160</v>
      </c>
      <c r="M250" s="84">
        <v>6.7000000000000004E-2</v>
      </c>
      <c r="N250" s="84">
        <v>9.309999999997258E-2</v>
      </c>
      <c r="O250" s="77">
        <v>164013.10300999999</v>
      </c>
      <c r="P250" s="79">
        <v>85.27</v>
      </c>
      <c r="Q250" s="70"/>
      <c r="R250" s="77">
        <v>139.85397293674168</v>
      </c>
      <c r="S250" s="78">
        <v>1.6022342627107137E-4</v>
      </c>
      <c r="T250" s="78">
        <f t="shared" si="7"/>
        <v>1.5205373863884431E-3</v>
      </c>
      <c r="U250" s="78">
        <f>R250/'סכום נכסי הקרן'!$C$42</f>
        <v>3.8546243498266804E-5</v>
      </c>
    </row>
    <row r="251" spans="2:21">
      <c r="B251" s="76" t="s">
        <v>861</v>
      </c>
      <c r="C251" s="70" t="s">
        <v>862</v>
      </c>
      <c r="D251" s="83" t="s">
        <v>116</v>
      </c>
      <c r="E251" s="83" t="s">
        <v>287</v>
      </c>
      <c r="F251" s="70" t="s">
        <v>832</v>
      </c>
      <c r="G251" s="83" t="s">
        <v>416</v>
      </c>
      <c r="H251" s="70" t="s">
        <v>636</v>
      </c>
      <c r="I251" s="70" t="s">
        <v>291</v>
      </c>
      <c r="J251" s="70"/>
      <c r="K251" s="77">
        <v>3.130000000000924</v>
      </c>
      <c r="L251" s="83" t="s">
        <v>160</v>
      </c>
      <c r="M251" s="84">
        <v>4.7E-2</v>
      </c>
      <c r="N251" s="84">
        <v>8.3499999999953792E-2</v>
      </c>
      <c r="O251" s="77">
        <v>125326.20177299999</v>
      </c>
      <c r="P251" s="79">
        <v>86.35</v>
      </c>
      <c r="Q251" s="70"/>
      <c r="R251" s="77">
        <v>108.21917853000001</v>
      </c>
      <c r="S251" s="78">
        <v>1.7520139652732003E-4</v>
      </c>
      <c r="T251" s="78">
        <f t="shared" si="7"/>
        <v>1.1765937243237263E-3</v>
      </c>
      <c r="U251" s="78">
        <f>R251/'סכום נכסי הקרן'!$C$42</f>
        <v>2.9827131251298818E-5</v>
      </c>
    </row>
    <row r="252" spans="2:21">
      <c r="C252" s="1"/>
      <c r="D252" s="1"/>
      <c r="E252" s="1"/>
      <c r="F252" s="1"/>
    </row>
    <row r="253" spans="2:21">
      <c r="C253" s="1"/>
      <c r="D253" s="1"/>
      <c r="E253" s="1"/>
      <c r="F253" s="1"/>
    </row>
    <row r="254" spans="2:21">
      <c r="C254" s="1"/>
      <c r="D254" s="1"/>
      <c r="E254" s="1"/>
      <c r="F254" s="1"/>
    </row>
    <row r="255" spans="2:21">
      <c r="B255" s="85" t="s">
        <v>251</v>
      </c>
      <c r="C255" s="86"/>
      <c r="D255" s="86"/>
      <c r="E255" s="86"/>
      <c r="F255" s="86"/>
      <c r="G255" s="86"/>
      <c r="H255" s="86"/>
      <c r="I255" s="86"/>
      <c r="J255" s="86"/>
      <c r="K255" s="86"/>
    </row>
    <row r="256" spans="2:21">
      <c r="B256" s="85" t="s">
        <v>108</v>
      </c>
      <c r="C256" s="86"/>
      <c r="D256" s="86"/>
      <c r="E256" s="86"/>
      <c r="F256" s="86"/>
      <c r="G256" s="86"/>
      <c r="H256" s="86"/>
      <c r="I256" s="86"/>
      <c r="J256" s="86"/>
      <c r="K256" s="86"/>
    </row>
    <row r="257" spans="2:11">
      <c r="B257" s="85" t="s">
        <v>234</v>
      </c>
      <c r="C257" s="86"/>
      <c r="D257" s="86"/>
      <c r="E257" s="86"/>
      <c r="F257" s="86"/>
      <c r="G257" s="86"/>
      <c r="H257" s="86"/>
      <c r="I257" s="86"/>
      <c r="J257" s="86"/>
      <c r="K257" s="86"/>
    </row>
    <row r="258" spans="2:11">
      <c r="B258" s="85" t="s">
        <v>242</v>
      </c>
      <c r="C258" s="86"/>
      <c r="D258" s="86"/>
      <c r="E258" s="86"/>
      <c r="F258" s="86"/>
      <c r="G258" s="86"/>
      <c r="H258" s="86"/>
      <c r="I258" s="86"/>
      <c r="J258" s="86"/>
      <c r="K258" s="86"/>
    </row>
    <row r="259" spans="2:11">
      <c r="B259" s="135" t="s">
        <v>247</v>
      </c>
      <c r="C259" s="135"/>
      <c r="D259" s="135"/>
      <c r="E259" s="135"/>
      <c r="F259" s="135"/>
      <c r="G259" s="135"/>
      <c r="H259" s="135"/>
      <c r="I259" s="135"/>
      <c r="J259" s="135"/>
      <c r="K259" s="135"/>
    </row>
    <row r="260" spans="2:11">
      <c r="C260" s="1"/>
      <c r="D260" s="1"/>
      <c r="E260" s="1"/>
      <c r="F260" s="1"/>
    </row>
    <row r="261" spans="2:11">
      <c r="C261" s="1"/>
      <c r="D261" s="1"/>
      <c r="E261" s="1"/>
      <c r="F261" s="1"/>
    </row>
    <row r="262" spans="2:11">
      <c r="C262" s="1"/>
      <c r="D262" s="1"/>
      <c r="E262" s="1"/>
      <c r="F262" s="1"/>
    </row>
    <row r="263" spans="2:11">
      <c r="C263" s="1"/>
      <c r="D263" s="1"/>
      <c r="E263" s="1"/>
      <c r="F263" s="1"/>
    </row>
    <row r="264" spans="2:11">
      <c r="C264" s="1"/>
      <c r="D264" s="1"/>
      <c r="E264" s="1"/>
      <c r="F264" s="1"/>
    </row>
    <row r="265" spans="2:11">
      <c r="C265" s="1"/>
      <c r="D265" s="1"/>
      <c r="E265" s="1"/>
      <c r="F265" s="1"/>
    </row>
    <row r="266" spans="2:11">
      <c r="C266" s="1"/>
      <c r="D266" s="1"/>
      <c r="E266" s="1"/>
      <c r="F266" s="1"/>
    </row>
    <row r="267" spans="2:11">
      <c r="C267" s="1"/>
      <c r="D267" s="1"/>
      <c r="E267" s="1"/>
      <c r="F267" s="1"/>
    </row>
    <row r="268" spans="2:11">
      <c r="C268" s="1"/>
      <c r="D268" s="1"/>
      <c r="E268" s="1"/>
      <c r="F268" s="1"/>
    </row>
    <row r="269" spans="2:11">
      <c r="C269" s="1"/>
      <c r="D269" s="1"/>
      <c r="E269" s="1"/>
      <c r="F269" s="1"/>
    </row>
    <row r="270" spans="2:11">
      <c r="C270" s="1"/>
      <c r="D270" s="1"/>
      <c r="E270" s="1"/>
      <c r="F270" s="1"/>
    </row>
    <row r="271" spans="2:11">
      <c r="C271" s="1"/>
      <c r="D271" s="1"/>
      <c r="E271" s="1"/>
      <c r="F271" s="1"/>
    </row>
    <row r="272" spans="2:11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2"/>
      <c r="C795" s="1"/>
      <c r="D795" s="1"/>
      <c r="E795" s="1"/>
      <c r="F795" s="1"/>
    </row>
    <row r="796" spans="2:6">
      <c r="B796" s="42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259:K259"/>
  </mergeCells>
  <phoneticPr fontId="3" type="noConversion"/>
  <conditionalFormatting sqref="B12:B251">
    <cfRule type="cellIs" dxfId="17" priority="2" operator="equal">
      <formula>"NR3"</formula>
    </cfRule>
  </conditionalFormatting>
  <conditionalFormatting sqref="B12:B251">
    <cfRule type="containsText" dxfId="16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257 B259"/>
    <dataValidation type="list" allowBlank="1" showInputMessage="1" showErrorMessage="1" sqref="I12:I35 I260:I827 I37:I258">
      <formula1>$BM$7:$BM$10</formula1>
    </dataValidation>
    <dataValidation type="list" allowBlank="1" showInputMessage="1" showErrorMessage="1" sqref="G555:G827">
      <formula1>$BK$7:$BK$24</formula1>
    </dataValidation>
    <dataValidation type="list" allowBlank="1" showInputMessage="1" showErrorMessage="1" sqref="E12:E35 E260:E821 E37:E258">
      <formula1>$BI$7:$BI$24</formula1>
    </dataValidation>
    <dataValidation type="list" allowBlank="1" showInputMessage="1" showErrorMessage="1" sqref="L12:L827">
      <formula1>$BN$7:$BN$20</formula1>
    </dataValidation>
    <dataValidation type="list" allowBlank="1" showInputMessage="1" showErrorMessage="1" sqref="G12:G35 G260:G554 G37:G258">
      <formula1>$BK$7:$BK$29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2"/>
  <sheetViews>
    <sheetView rightToLeft="1" zoomScale="90" zoomScaleNormal="90" workbookViewId="0">
      <selection activeCell="G19" sqref="G19"/>
    </sheetView>
  </sheetViews>
  <sheetFormatPr defaultColWidth="9.140625" defaultRowHeight="18"/>
  <cols>
    <col min="1" max="1" width="6.28515625" style="1" customWidth="1"/>
    <col min="2" max="2" width="43.85546875" style="2" bestFit="1" customWidth="1"/>
    <col min="3" max="3" width="28.140625" style="2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1.28515625" style="1" bestFit="1" customWidth="1"/>
    <col min="10" max="10" width="10.7109375" style="1" bestFit="1" customWidth="1"/>
    <col min="11" max="11" width="8.28515625" style="1" bestFit="1" customWidth="1"/>
    <col min="12" max="12" width="10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47" t="s">
        <v>175</v>
      </c>
      <c r="C1" s="68" t="s" vm="1">
        <v>259</v>
      </c>
    </row>
    <row r="2" spans="2:62">
      <c r="B2" s="47" t="s">
        <v>174</v>
      </c>
      <c r="C2" s="68" t="s">
        <v>260</v>
      </c>
    </row>
    <row r="3" spans="2:62">
      <c r="B3" s="47" t="s">
        <v>176</v>
      </c>
      <c r="C3" s="68" t="s">
        <v>261</v>
      </c>
    </row>
    <row r="4" spans="2:62">
      <c r="B4" s="47" t="s">
        <v>177</v>
      </c>
      <c r="C4" s="68">
        <v>2207</v>
      </c>
    </row>
    <row r="6" spans="2:62" ht="26.25" customHeight="1">
      <c r="B6" s="126" t="s">
        <v>205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  <c r="BJ6" s="3"/>
    </row>
    <row r="7" spans="2:62" ht="26.25" customHeight="1">
      <c r="B7" s="126" t="s">
        <v>88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  <c r="BF7" s="3"/>
      <c r="BJ7" s="3"/>
    </row>
    <row r="8" spans="2:62" s="3" customFormat="1" ht="78.75">
      <c r="B8" s="22" t="s">
        <v>111</v>
      </c>
      <c r="C8" s="30" t="s">
        <v>43</v>
      </c>
      <c r="D8" s="30" t="s">
        <v>115</v>
      </c>
      <c r="E8" s="30" t="s">
        <v>221</v>
      </c>
      <c r="F8" s="30" t="s">
        <v>113</v>
      </c>
      <c r="G8" s="30" t="s">
        <v>63</v>
      </c>
      <c r="H8" s="30" t="s">
        <v>99</v>
      </c>
      <c r="I8" s="13" t="s">
        <v>236</v>
      </c>
      <c r="J8" s="13" t="s">
        <v>235</v>
      </c>
      <c r="K8" s="30" t="s">
        <v>250</v>
      </c>
      <c r="L8" s="13" t="s">
        <v>60</v>
      </c>
      <c r="M8" s="13" t="s">
        <v>57</v>
      </c>
      <c r="N8" s="13" t="s">
        <v>178</v>
      </c>
      <c r="O8" s="14" t="s">
        <v>180</v>
      </c>
      <c r="BF8" s="1"/>
      <c r="BG8" s="1"/>
      <c r="BH8" s="1"/>
      <c r="BJ8" s="4"/>
    </row>
    <row r="9" spans="2:62" s="3" customFormat="1" ht="24" customHeight="1">
      <c r="B9" s="15"/>
      <c r="C9" s="16"/>
      <c r="D9" s="16"/>
      <c r="E9" s="16"/>
      <c r="F9" s="16"/>
      <c r="G9" s="16"/>
      <c r="H9" s="16"/>
      <c r="I9" s="16" t="s">
        <v>243</v>
      </c>
      <c r="J9" s="16"/>
      <c r="K9" s="16" t="s">
        <v>239</v>
      </c>
      <c r="L9" s="16" t="s">
        <v>239</v>
      </c>
      <c r="M9" s="16" t="s">
        <v>19</v>
      </c>
      <c r="N9" s="16" t="s">
        <v>19</v>
      </c>
      <c r="O9" s="17" t="s">
        <v>19</v>
      </c>
      <c r="BF9" s="1"/>
      <c r="BH9" s="1"/>
      <c r="BJ9" s="4"/>
    </row>
    <row r="10" spans="2:6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BF10" s="1"/>
      <c r="BG10" s="3"/>
      <c r="BH10" s="1"/>
      <c r="BJ10" s="1"/>
    </row>
    <row r="11" spans="2:62" s="4" customFormat="1" ht="18" customHeight="1">
      <c r="B11" s="87" t="s">
        <v>28</v>
      </c>
      <c r="C11" s="88"/>
      <c r="D11" s="88"/>
      <c r="E11" s="88"/>
      <c r="F11" s="88"/>
      <c r="G11" s="88"/>
      <c r="H11" s="88"/>
      <c r="I11" s="90"/>
      <c r="J11" s="92"/>
      <c r="K11" s="90">
        <v>55.853403061000002</v>
      </c>
      <c r="L11" s="90">
        <f>L12+L131</f>
        <v>34595.622178977006</v>
      </c>
      <c r="M11" s="88"/>
      <c r="N11" s="93">
        <f t="shared" ref="N11:N42" si="0">L11/$L$11</f>
        <v>1</v>
      </c>
      <c r="O11" s="93">
        <f>L11/'סכום נכסי הקרן'!$C$42</f>
        <v>9.5351690658660518E-3</v>
      </c>
      <c r="BF11" s="1"/>
      <c r="BG11" s="3"/>
      <c r="BH11" s="1"/>
      <c r="BJ11" s="1"/>
    </row>
    <row r="12" spans="2:62" ht="20.25">
      <c r="B12" s="71" t="s">
        <v>229</v>
      </c>
      <c r="C12" s="72"/>
      <c r="D12" s="72"/>
      <c r="E12" s="72"/>
      <c r="F12" s="72"/>
      <c r="G12" s="72"/>
      <c r="H12" s="72"/>
      <c r="I12" s="80"/>
      <c r="J12" s="82"/>
      <c r="K12" s="80">
        <v>51.735715701999986</v>
      </c>
      <c r="L12" s="80">
        <f>L13+L44+L87</f>
        <v>20966.911471740001</v>
      </c>
      <c r="M12" s="72"/>
      <c r="N12" s="81">
        <f t="shared" si="0"/>
        <v>0.60605678265503571</v>
      </c>
      <c r="O12" s="81">
        <f>L12/'סכום נכסי הקרן'!$C$42</f>
        <v>5.7788538861306016E-3</v>
      </c>
      <c r="BG12" s="4"/>
    </row>
    <row r="13" spans="2:62">
      <c r="B13" s="89" t="s">
        <v>863</v>
      </c>
      <c r="C13" s="72"/>
      <c r="D13" s="72"/>
      <c r="E13" s="72"/>
      <c r="F13" s="72"/>
      <c r="G13" s="72"/>
      <c r="H13" s="72"/>
      <c r="I13" s="80"/>
      <c r="J13" s="82"/>
      <c r="K13" s="80">
        <v>0.38972125599999996</v>
      </c>
      <c r="L13" s="80">
        <f>SUM(L14:L42)</f>
        <v>12824.967409661998</v>
      </c>
      <c r="M13" s="72"/>
      <c r="N13" s="81">
        <f t="shared" si="0"/>
        <v>0.37071070273901441</v>
      </c>
      <c r="O13" s="81">
        <f>L13/'סכום נכסי הקרן'!$C$42</f>
        <v>3.5347892251425153E-3</v>
      </c>
    </row>
    <row r="14" spans="2:62">
      <c r="B14" s="76" t="s">
        <v>864</v>
      </c>
      <c r="C14" s="70" t="s">
        <v>865</v>
      </c>
      <c r="D14" s="83" t="s">
        <v>116</v>
      </c>
      <c r="E14" s="83" t="s">
        <v>287</v>
      </c>
      <c r="F14" s="70" t="s">
        <v>866</v>
      </c>
      <c r="G14" s="83" t="s">
        <v>186</v>
      </c>
      <c r="H14" s="83" t="s">
        <v>160</v>
      </c>
      <c r="I14" s="77">
        <v>2426.8507330000002</v>
      </c>
      <c r="J14" s="79">
        <v>22090</v>
      </c>
      <c r="K14" s="70"/>
      <c r="L14" s="77">
        <v>536.09132748000002</v>
      </c>
      <c r="M14" s="78">
        <v>4.7552005303422992E-5</v>
      </c>
      <c r="N14" s="78">
        <f t="shared" si="0"/>
        <v>1.5495929649901508E-2</v>
      </c>
      <c r="O14" s="78">
        <f>L14/'סכום נכסי הקרן'!$C$42</f>
        <v>1.4775630904457742E-4</v>
      </c>
    </row>
    <row r="15" spans="2:62">
      <c r="B15" s="76" t="s">
        <v>867</v>
      </c>
      <c r="C15" s="70" t="s">
        <v>868</v>
      </c>
      <c r="D15" s="83" t="s">
        <v>116</v>
      </c>
      <c r="E15" s="83" t="s">
        <v>287</v>
      </c>
      <c r="F15" s="70" t="s">
        <v>675</v>
      </c>
      <c r="G15" s="83" t="s">
        <v>472</v>
      </c>
      <c r="H15" s="83" t="s">
        <v>160</v>
      </c>
      <c r="I15" s="77">
        <v>68266.663165999998</v>
      </c>
      <c r="J15" s="79">
        <v>1026</v>
      </c>
      <c r="K15" s="70"/>
      <c r="L15" s="77">
        <v>700.41596408299995</v>
      </c>
      <c r="M15" s="78">
        <v>5.3310376025144429E-5</v>
      </c>
      <c r="N15" s="78">
        <f t="shared" si="0"/>
        <v>2.0245797588477169E-2</v>
      </c>
      <c r="O15" s="78">
        <f>L15/'סכום נכסי הקרן'!$C$42</f>
        <v>1.9304710287943301E-4</v>
      </c>
    </row>
    <row r="16" spans="2:62" ht="20.25">
      <c r="B16" s="76" t="s">
        <v>869</v>
      </c>
      <c r="C16" s="70" t="s">
        <v>870</v>
      </c>
      <c r="D16" s="83" t="s">
        <v>116</v>
      </c>
      <c r="E16" s="83" t="s">
        <v>287</v>
      </c>
      <c r="F16" s="70">
        <v>1760</v>
      </c>
      <c r="G16" s="83" t="s">
        <v>672</v>
      </c>
      <c r="H16" s="83" t="s">
        <v>160</v>
      </c>
      <c r="I16" s="77">
        <v>150.44247300000001</v>
      </c>
      <c r="J16" s="79">
        <v>42220</v>
      </c>
      <c r="K16" s="77">
        <v>0.38972125599999996</v>
      </c>
      <c r="L16" s="77">
        <v>63.906533557000003</v>
      </c>
      <c r="M16" s="78">
        <v>1.4084757426294251E-6</v>
      </c>
      <c r="N16" s="78">
        <f t="shared" si="0"/>
        <v>1.8472433658335704E-3</v>
      </c>
      <c r="O16" s="78">
        <f>L16/'סכום נכסי הקרן'!$C$42</f>
        <v>1.7613777799022545E-5</v>
      </c>
      <c r="BF16" s="4"/>
    </row>
    <row r="17" spans="2:15">
      <c r="B17" s="76" t="s">
        <v>871</v>
      </c>
      <c r="C17" s="70" t="s">
        <v>872</v>
      </c>
      <c r="D17" s="83" t="s">
        <v>116</v>
      </c>
      <c r="E17" s="83" t="s">
        <v>287</v>
      </c>
      <c r="F17" s="70" t="s">
        <v>381</v>
      </c>
      <c r="G17" s="83" t="s">
        <v>352</v>
      </c>
      <c r="H17" s="83" t="s">
        <v>160</v>
      </c>
      <c r="I17" s="77">
        <v>5820.2262430000001</v>
      </c>
      <c r="J17" s="79">
        <v>3713</v>
      </c>
      <c r="K17" s="70"/>
      <c r="L17" s="77">
        <v>216.105000405</v>
      </c>
      <c r="M17" s="78">
        <v>4.5641899647417481E-5</v>
      </c>
      <c r="N17" s="78">
        <f t="shared" si="0"/>
        <v>6.2465996213914672E-3</v>
      </c>
      <c r="O17" s="78">
        <f>L17/'סכום נכסי הקרן'!$C$42</f>
        <v>5.9562383476742504E-5</v>
      </c>
    </row>
    <row r="18" spans="2:15">
      <c r="B18" s="76" t="s">
        <v>873</v>
      </c>
      <c r="C18" s="70" t="s">
        <v>874</v>
      </c>
      <c r="D18" s="83" t="s">
        <v>116</v>
      </c>
      <c r="E18" s="83" t="s">
        <v>287</v>
      </c>
      <c r="F18" s="70" t="s">
        <v>875</v>
      </c>
      <c r="G18" s="83" t="s">
        <v>708</v>
      </c>
      <c r="H18" s="83" t="s">
        <v>160</v>
      </c>
      <c r="I18" s="77">
        <v>1658.6942670000001</v>
      </c>
      <c r="J18" s="79">
        <v>47400</v>
      </c>
      <c r="K18" s="70"/>
      <c r="L18" s="77">
        <v>786.221082583</v>
      </c>
      <c r="M18" s="78">
        <v>3.7528437545038467E-5</v>
      </c>
      <c r="N18" s="78">
        <f t="shared" si="0"/>
        <v>2.2726028123314666E-2</v>
      </c>
      <c r="O18" s="78">
        <f>L18/'סכום נכסי הקרן'!$C$42</f>
        <v>2.1669652035143189E-4</v>
      </c>
    </row>
    <row r="19" spans="2:15">
      <c r="B19" s="76" t="s">
        <v>876</v>
      </c>
      <c r="C19" s="70" t="s">
        <v>877</v>
      </c>
      <c r="D19" s="83" t="s">
        <v>116</v>
      </c>
      <c r="E19" s="83" t="s">
        <v>287</v>
      </c>
      <c r="F19" s="70" t="s">
        <v>770</v>
      </c>
      <c r="G19" s="83" t="s">
        <v>642</v>
      </c>
      <c r="H19" s="83" t="s">
        <v>160</v>
      </c>
      <c r="I19" s="77">
        <v>427.17675600000001</v>
      </c>
      <c r="J19" s="79">
        <v>147300</v>
      </c>
      <c r="K19" s="70"/>
      <c r="L19" s="77">
        <v>629.23136134900005</v>
      </c>
      <c r="M19" s="78">
        <v>1.1370509967970788E-4</v>
      </c>
      <c r="N19" s="78">
        <f t="shared" si="0"/>
        <v>1.818817878440614E-2</v>
      </c>
      <c r="O19" s="78">
        <f>L19/'סכום נכסי הקרן'!$C$42</f>
        <v>1.7342735970951061E-4</v>
      </c>
    </row>
    <row r="20" spans="2:15">
      <c r="B20" s="76" t="s">
        <v>878</v>
      </c>
      <c r="C20" s="70" t="s">
        <v>879</v>
      </c>
      <c r="D20" s="83" t="s">
        <v>116</v>
      </c>
      <c r="E20" s="83" t="s">
        <v>287</v>
      </c>
      <c r="F20" s="70" t="s">
        <v>387</v>
      </c>
      <c r="G20" s="83" t="s">
        <v>352</v>
      </c>
      <c r="H20" s="83" t="s">
        <v>160</v>
      </c>
      <c r="I20" s="77">
        <v>14027.698687</v>
      </c>
      <c r="J20" s="79">
        <v>1569</v>
      </c>
      <c r="K20" s="70"/>
      <c r="L20" s="77">
        <v>220.09459240500001</v>
      </c>
      <c r="M20" s="78">
        <v>3.677080679299833E-5</v>
      </c>
      <c r="N20" s="78">
        <f t="shared" si="0"/>
        <v>6.3619203396997042E-3</v>
      </c>
      <c r="O20" s="78">
        <f>L20/'סכום נכסי הקרן'!$C$42</f>
        <v>6.0661986022608656E-5</v>
      </c>
    </row>
    <row r="21" spans="2:15">
      <c r="B21" s="76" t="s">
        <v>880</v>
      </c>
      <c r="C21" s="70" t="s">
        <v>881</v>
      </c>
      <c r="D21" s="83" t="s">
        <v>116</v>
      </c>
      <c r="E21" s="83" t="s">
        <v>287</v>
      </c>
      <c r="F21" s="70" t="s">
        <v>882</v>
      </c>
      <c r="G21" s="83" t="s">
        <v>142</v>
      </c>
      <c r="H21" s="83" t="s">
        <v>160</v>
      </c>
      <c r="I21" s="77">
        <v>1372.416428</v>
      </c>
      <c r="J21" s="79">
        <v>2644</v>
      </c>
      <c r="K21" s="70"/>
      <c r="L21" s="77">
        <v>36.286690354999998</v>
      </c>
      <c r="M21" s="78">
        <v>7.7498505359490555E-6</v>
      </c>
      <c r="N21" s="78">
        <f t="shared" si="0"/>
        <v>1.0488809875213233E-3</v>
      </c>
      <c r="O21" s="78">
        <f>L21/'סכום נכסי הקרן'!$C$42</f>
        <v>1.0001257545988359E-5</v>
      </c>
    </row>
    <row r="22" spans="2:15">
      <c r="B22" s="76" t="s">
        <v>883</v>
      </c>
      <c r="C22" s="70" t="s">
        <v>884</v>
      </c>
      <c r="D22" s="83" t="s">
        <v>116</v>
      </c>
      <c r="E22" s="83" t="s">
        <v>287</v>
      </c>
      <c r="F22" s="70" t="s">
        <v>476</v>
      </c>
      <c r="G22" s="83" t="s">
        <v>187</v>
      </c>
      <c r="H22" s="83" t="s">
        <v>160</v>
      </c>
      <c r="I22" s="77">
        <v>143677.719178</v>
      </c>
      <c r="J22" s="79">
        <v>314</v>
      </c>
      <c r="K22" s="70"/>
      <c r="L22" s="77">
        <v>451.14803821999999</v>
      </c>
      <c r="M22" s="78">
        <v>5.1953881527734634E-5</v>
      </c>
      <c r="N22" s="78">
        <f t="shared" si="0"/>
        <v>1.3040610626570916E-2</v>
      </c>
      <c r="O22" s="78">
        <f>L22/'סכום נכסי הקרן'!$C$42</f>
        <v>1.2434442704648308E-4</v>
      </c>
    </row>
    <row r="23" spans="2:15">
      <c r="B23" s="76" t="s">
        <v>885</v>
      </c>
      <c r="C23" s="70" t="s">
        <v>886</v>
      </c>
      <c r="D23" s="83" t="s">
        <v>116</v>
      </c>
      <c r="E23" s="83" t="s">
        <v>287</v>
      </c>
      <c r="F23" s="70" t="s">
        <v>887</v>
      </c>
      <c r="G23" s="83" t="s">
        <v>297</v>
      </c>
      <c r="H23" s="83" t="s">
        <v>160</v>
      </c>
      <c r="I23" s="77">
        <v>3499.4316999999996</v>
      </c>
      <c r="J23" s="79">
        <v>7310</v>
      </c>
      <c r="K23" s="70"/>
      <c r="L23" s="77">
        <v>255.80845724600005</v>
      </c>
      <c r="M23" s="78">
        <v>3.4879201682766193E-5</v>
      </c>
      <c r="N23" s="78">
        <f t="shared" si="0"/>
        <v>7.3942435815318036E-3</v>
      </c>
      <c r="O23" s="78">
        <f>L23/'סכום נכסי הקרן'!$C$42</f>
        <v>7.0505362664100658E-5</v>
      </c>
    </row>
    <row r="24" spans="2:15">
      <c r="B24" s="76" t="s">
        <v>888</v>
      </c>
      <c r="C24" s="70" t="s">
        <v>889</v>
      </c>
      <c r="D24" s="83" t="s">
        <v>116</v>
      </c>
      <c r="E24" s="83" t="s">
        <v>287</v>
      </c>
      <c r="F24" s="70" t="s">
        <v>832</v>
      </c>
      <c r="G24" s="83" t="s">
        <v>416</v>
      </c>
      <c r="H24" s="83" t="s">
        <v>160</v>
      </c>
      <c r="I24" s="77">
        <v>141213.256601</v>
      </c>
      <c r="J24" s="79">
        <v>63.9</v>
      </c>
      <c r="K24" s="70"/>
      <c r="L24" s="77">
        <v>90.235270966999991</v>
      </c>
      <c r="M24" s="78">
        <v>4.4050496665554129E-5</v>
      </c>
      <c r="N24" s="78">
        <f t="shared" si="0"/>
        <v>2.6082858258821536E-3</v>
      </c>
      <c r="O24" s="78">
        <f>L24/'סכום נכסי הקרן'!$C$42</f>
        <v>2.4870446321888398E-5</v>
      </c>
    </row>
    <row r="25" spans="2:15">
      <c r="B25" s="76" t="s">
        <v>890</v>
      </c>
      <c r="C25" s="70" t="s">
        <v>891</v>
      </c>
      <c r="D25" s="83" t="s">
        <v>116</v>
      </c>
      <c r="E25" s="83" t="s">
        <v>287</v>
      </c>
      <c r="F25" s="70" t="s">
        <v>345</v>
      </c>
      <c r="G25" s="83" t="s">
        <v>297</v>
      </c>
      <c r="H25" s="83" t="s">
        <v>160</v>
      </c>
      <c r="I25" s="77">
        <v>52599.411142999998</v>
      </c>
      <c r="J25" s="79">
        <v>1050</v>
      </c>
      <c r="K25" s="70"/>
      <c r="L25" s="77">
        <v>552.29381700499994</v>
      </c>
      <c r="M25" s="78">
        <v>4.5187837857449558E-5</v>
      </c>
      <c r="N25" s="78">
        <f t="shared" si="0"/>
        <v>1.5964268951365084E-2</v>
      </c>
      <c r="O25" s="78">
        <f>L25/'סכום נכסי הקרן'!$C$42</f>
        <v>1.5222200346422222E-4</v>
      </c>
    </row>
    <row r="26" spans="2:15">
      <c r="B26" s="76" t="s">
        <v>892</v>
      </c>
      <c r="C26" s="70" t="s">
        <v>893</v>
      </c>
      <c r="D26" s="83" t="s">
        <v>116</v>
      </c>
      <c r="E26" s="83" t="s">
        <v>287</v>
      </c>
      <c r="F26" s="70" t="s">
        <v>858</v>
      </c>
      <c r="G26" s="83" t="s">
        <v>142</v>
      </c>
      <c r="H26" s="83" t="s">
        <v>160</v>
      </c>
      <c r="I26" s="77">
        <v>73631.396437000003</v>
      </c>
      <c r="J26" s="79">
        <v>252</v>
      </c>
      <c r="K26" s="70"/>
      <c r="L26" s="77">
        <v>185.55111903700003</v>
      </c>
      <c r="M26" s="78">
        <v>6.2728296895203883E-5</v>
      </c>
      <c r="N26" s="78">
        <f t="shared" si="0"/>
        <v>5.3634277214923264E-3</v>
      </c>
      <c r="O26" s="78">
        <f>L26/'סכום נכסי הקרן'!$C$42</f>
        <v>5.1141190096982071E-5</v>
      </c>
    </row>
    <row r="27" spans="2:15">
      <c r="B27" s="76" t="s">
        <v>894</v>
      </c>
      <c r="C27" s="70" t="s">
        <v>895</v>
      </c>
      <c r="D27" s="83" t="s">
        <v>116</v>
      </c>
      <c r="E27" s="83" t="s">
        <v>287</v>
      </c>
      <c r="F27" s="70" t="s">
        <v>896</v>
      </c>
      <c r="G27" s="83" t="s">
        <v>412</v>
      </c>
      <c r="H27" s="83" t="s">
        <v>160</v>
      </c>
      <c r="I27" s="77">
        <v>12264.673224</v>
      </c>
      <c r="J27" s="79">
        <v>1280</v>
      </c>
      <c r="K27" s="70"/>
      <c r="L27" s="77">
        <v>156.987817277</v>
      </c>
      <c r="M27" s="78">
        <v>4.7880216551456402E-5</v>
      </c>
      <c r="N27" s="78">
        <f t="shared" si="0"/>
        <v>4.5377943042862233E-3</v>
      </c>
      <c r="O27" s="78">
        <f>L27/'סכום נכסי הקרן'!$C$42</f>
        <v>4.3268635877493157E-5</v>
      </c>
    </row>
    <row r="28" spans="2:15">
      <c r="B28" s="76" t="s">
        <v>897</v>
      </c>
      <c r="C28" s="70" t="s">
        <v>898</v>
      </c>
      <c r="D28" s="83" t="s">
        <v>116</v>
      </c>
      <c r="E28" s="83" t="s">
        <v>287</v>
      </c>
      <c r="F28" s="70" t="s">
        <v>899</v>
      </c>
      <c r="G28" s="83" t="s">
        <v>412</v>
      </c>
      <c r="H28" s="83" t="s">
        <v>160</v>
      </c>
      <c r="I28" s="77">
        <v>9246.4651649999996</v>
      </c>
      <c r="J28" s="79">
        <v>1870</v>
      </c>
      <c r="K28" s="70"/>
      <c r="L28" s="77">
        <v>172.908898588</v>
      </c>
      <c r="M28" s="78">
        <v>4.3131439907065796E-5</v>
      </c>
      <c r="N28" s="78">
        <f t="shared" si="0"/>
        <v>4.9979993911794113E-3</v>
      </c>
      <c r="O28" s="78">
        <f>L28/'סכום נכסי הקרן'!$C$42</f>
        <v>4.7656769185991274E-5</v>
      </c>
    </row>
    <row r="29" spans="2:15">
      <c r="B29" s="76" t="s">
        <v>900</v>
      </c>
      <c r="C29" s="70" t="s">
        <v>901</v>
      </c>
      <c r="D29" s="83" t="s">
        <v>116</v>
      </c>
      <c r="E29" s="83" t="s">
        <v>287</v>
      </c>
      <c r="F29" s="70" t="s">
        <v>902</v>
      </c>
      <c r="G29" s="83" t="s">
        <v>903</v>
      </c>
      <c r="H29" s="83" t="s">
        <v>160</v>
      </c>
      <c r="I29" s="77">
        <v>2934.2866220000001</v>
      </c>
      <c r="J29" s="79">
        <v>6606</v>
      </c>
      <c r="K29" s="70"/>
      <c r="L29" s="77">
        <v>193.83897414299997</v>
      </c>
      <c r="M29" s="78">
        <v>2.7463041361458757E-5</v>
      </c>
      <c r="N29" s="78">
        <f t="shared" si="0"/>
        <v>5.6029914172432962E-3</v>
      </c>
      <c r="O29" s="78">
        <f>L29/'סכום נכסי הקרן'!$C$42</f>
        <v>5.3425470438011257E-5</v>
      </c>
    </row>
    <row r="30" spans="2:15">
      <c r="B30" s="76" t="s">
        <v>904</v>
      </c>
      <c r="C30" s="70" t="s">
        <v>905</v>
      </c>
      <c r="D30" s="83" t="s">
        <v>116</v>
      </c>
      <c r="E30" s="83" t="s">
        <v>287</v>
      </c>
      <c r="F30" s="70" t="s">
        <v>906</v>
      </c>
      <c r="G30" s="83" t="s">
        <v>907</v>
      </c>
      <c r="H30" s="83" t="s">
        <v>160</v>
      </c>
      <c r="I30" s="77">
        <v>5189.1779919999999</v>
      </c>
      <c r="J30" s="79">
        <v>4166</v>
      </c>
      <c r="K30" s="70"/>
      <c r="L30" s="77">
        <v>216.18115512699998</v>
      </c>
      <c r="M30" s="78">
        <v>4.7367052767260233E-6</v>
      </c>
      <c r="N30" s="78">
        <f t="shared" si="0"/>
        <v>6.2488009034382527E-3</v>
      </c>
      <c r="O30" s="78">
        <f>L30/'סכום נכסי הקרן'!$C$42</f>
        <v>5.9583373073220268E-5</v>
      </c>
    </row>
    <row r="31" spans="2:15">
      <c r="B31" s="76" t="s">
        <v>908</v>
      </c>
      <c r="C31" s="70" t="s">
        <v>909</v>
      </c>
      <c r="D31" s="83" t="s">
        <v>116</v>
      </c>
      <c r="E31" s="83" t="s">
        <v>287</v>
      </c>
      <c r="F31" s="70" t="s">
        <v>310</v>
      </c>
      <c r="G31" s="83" t="s">
        <v>297</v>
      </c>
      <c r="H31" s="83" t="s">
        <v>160</v>
      </c>
      <c r="I31" s="77">
        <v>76000.268660000002</v>
      </c>
      <c r="J31" s="79">
        <v>1731</v>
      </c>
      <c r="K31" s="70"/>
      <c r="L31" s="77">
        <v>1315.5646505120001</v>
      </c>
      <c r="M31" s="78">
        <v>5.2309503464902496E-5</v>
      </c>
      <c r="N31" s="78">
        <f t="shared" si="0"/>
        <v>3.8026911142284341E-2</v>
      </c>
      <c r="O31" s="78">
        <f>L31/'סכום נכסי הקרן'!$C$42</f>
        <v>3.6259302679434672E-4</v>
      </c>
    </row>
    <row r="32" spans="2:15">
      <c r="B32" s="76" t="s">
        <v>910</v>
      </c>
      <c r="C32" s="70" t="s">
        <v>911</v>
      </c>
      <c r="D32" s="83" t="s">
        <v>116</v>
      </c>
      <c r="E32" s="83" t="s">
        <v>287</v>
      </c>
      <c r="F32" s="70" t="s">
        <v>441</v>
      </c>
      <c r="G32" s="83" t="s">
        <v>352</v>
      </c>
      <c r="H32" s="83" t="s">
        <v>160</v>
      </c>
      <c r="I32" s="77">
        <v>34996.467666999997</v>
      </c>
      <c r="J32" s="79">
        <v>624</v>
      </c>
      <c r="K32" s="70"/>
      <c r="L32" s="77">
        <v>218.37795824200001</v>
      </c>
      <c r="M32" s="78">
        <v>4.3049756834737209E-5</v>
      </c>
      <c r="N32" s="78">
        <f t="shared" si="0"/>
        <v>6.3123003573181419E-3</v>
      </c>
      <c r="O32" s="78">
        <f>L32/'סכום נכסי הקרן'!$C$42</f>
        <v>6.0188851101555173E-5</v>
      </c>
    </row>
    <row r="33" spans="2:15">
      <c r="B33" s="76" t="s">
        <v>912</v>
      </c>
      <c r="C33" s="70" t="s">
        <v>913</v>
      </c>
      <c r="D33" s="83" t="s">
        <v>116</v>
      </c>
      <c r="E33" s="83" t="s">
        <v>287</v>
      </c>
      <c r="F33" s="70" t="s">
        <v>546</v>
      </c>
      <c r="G33" s="83" t="s">
        <v>297</v>
      </c>
      <c r="H33" s="83" t="s">
        <v>160</v>
      </c>
      <c r="I33" s="77">
        <v>12352.664493</v>
      </c>
      <c r="J33" s="79">
        <v>6462</v>
      </c>
      <c r="K33" s="70"/>
      <c r="L33" s="77">
        <v>798.22917955100002</v>
      </c>
      <c r="M33" s="78">
        <v>5.254758237950585E-5</v>
      </c>
      <c r="N33" s="78">
        <f t="shared" si="0"/>
        <v>2.307312686620986E-2</v>
      </c>
      <c r="O33" s="78">
        <f>L33/'סכום נכסי הקרן'!$C$42</f>
        <v>2.2000616554748714E-4</v>
      </c>
    </row>
    <row r="34" spans="2:15">
      <c r="B34" s="76" t="s">
        <v>914</v>
      </c>
      <c r="C34" s="70" t="s">
        <v>915</v>
      </c>
      <c r="D34" s="83" t="s">
        <v>116</v>
      </c>
      <c r="E34" s="83" t="s">
        <v>287</v>
      </c>
      <c r="F34" s="70" t="s">
        <v>446</v>
      </c>
      <c r="G34" s="83" t="s">
        <v>352</v>
      </c>
      <c r="H34" s="83" t="s">
        <v>160</v>
      </c>
      <c r="I34" s="77">
        <v>2985.4976919999999</v>
      </c>
      <c r="J34" s="79">
        <v>12950</v>
      </c>
      <c r="K34" s="70"/>
      <c r="L34" s="77">
        <v>386.62195116499998</v>
      </c>
      <c r="M34" s="78">
        <v>6.29340421637961E-5</v>
      </c>
      <c r="N34" s="78">
        <f t="shared" si="0"/>
        <v>1.1175458824381011E-2</v>
      </c>
      <c r="O34" s="78">
        <f>L34/'סכום נכסי הקרן'!$C$42</f>
        <v>1.0655988927909759E-4</v>
      </c>
    </row>
    <row r="35" spans="2:15">
      <c r="B35" s="76" t="s">
        <v>916</v>
      </c>
      <c r="C35" s="70" t="s">
        <v>917</v>
      </c>
      <c r="D35" s="83" t="s">
        <v>116</v>
      </c>
      <c r="E35" s="83" t="s">
        <v>287</v>
      </c>
      <c r="F35" s="70" t="s">
        <v>918</v>
      </c>
      <c r="G35" s="83" t="s">
        <v>188</v>
      </c>
      <c r="H35" s="83" t="s">
        <v>160</v>
      </c>
      <c r="I35" s="77">
        <v>592.01068599999996</v>
      </c>
      <c r="J35" s="79">
        <v>64490</v>
      </c>
      <c r="K35" s="70"/>
      <c r="L35" s="77">
        <v>381.78769124399997</v>
      </c>
      <c r="M35" s="78">
        <v>9.4876212256115432E-6</v>
      </c>
      <c r="N35" s="78">
        <f t="shared" si="0"/>
        <v>1.1035722649208601E-2</v>
      </c>
      <c r="O35" s="78">
        <f>L35/'סכום נכסי הקרן'!$C$42</f>
        <v>1.0522748122421121E-4</v>
      </c>
    </row>
    <row r="36" spans="2:15">
      <c r="B36" s="76" t="s">
        <v>919</v>
      </c>
      <c r="C36" s="70" t="s">
        <v>920</v>
      </c>
      <c r="D36" s="83" t="s">
        <v>116</v>
      </c>
      <c r="E36" s="83" t="s">
        <v>287</v>
      </c>
      <c r="F36" s="70" t="s">
        <v>921</v>
      </c>
      <c r="G36" s="83" t="s">
        <v>297</v>
      </c>
      <c r="H36" s="83" t="s">
        <v>160</v>
      </c>
      <c r="I36" s="77">
        <v>69973.695485000004</v>
      </c>
      <c r="J36" s="79">
        <v>2058</v>
      </c>
      <c r="K36" s="70"/>
      <c r="L36" s="77">
        <v>1440.0586530820001</v>
      </c>
      <c r="M36" s="78">
        <v>5.2379515569235004E-5</v>
      </c>
      <c r="N36" s="78">
        <f t="shared" si="0"/>
        <v>4.1625459014207063E-2</v>
      </c>
      <c r="O36" s="78">
        <f>L36/'סכום נכסי הקרן'!$C$42</f>
        <v>3.9690578914474231E-4</v>
      </c>
    </row>
    <row r="37" spans="2:15">
      <c r="B37" s="76" t="s">
        <v>922</v>
      </c>
      <c r="C37" s="70" t="s">
        <v>923</v>
      </c>
      <c r="D37" s="83" t="s">
        <v>116</v>
      </c>
      <c r="E37" s="83" t="s">
        <v>287</v>
      </c>
      <c r="F37" s="70" t="s">
        <v>924</v>
      </c>
      <c r="G37" s="83" t="s">
        <v>907</v>
      </c>
      <c r="H37" s="83" t="s">
        <v>160</v>
      </c>
      <c r="I37" s="77">
        <v>1844.3802920000003</v>
      </c>
      <c r="J37" s="79">
        <v>19000</v>
      </c>
      <c r="K37" s="70"/>
      <c r="L37" s="77">
        <v>350.43225554999998</v>
      </c>
      <c r="M37" s="78">
        <v>1.3549225341356672E-5</v>
      </c>
      <c r="N37" s="78">
        <f t="shared" si="0"/>
        <v>1.0129381507783662E-2</v>
      </c>
      <c r="O37" s="78">
        <f>L37/'סכום נכסי הקרן'!$C$42</f>
        <v>9.6585365209374391E-5</v>
      </c>
    </row>
    <row r="38" spans="2:15">
      <c r="B38" s="76" t="s">
        <v>925</v>
      </c>
      <c r="C38" s="70" t="s">
        <v>926</v>
      </c>
      <c r="D38" s="83" t="s">
        <v>116</v>
      </c>
      <c r="E38" s="83" t="s">
        <v>287</v>
      </c>
      <c r="F38" s="70" t="s">
        <v>366</v>
      </c>
      <c r="G38" s="83" t="s">
        <v>352</v>
      </c>
      <c r="H38" s="83" t="s">
        <v>160</v>
      </c>
      <c r="I38" s="77">
        <v>5534.8733299999994</v>
      </c>
      <c r="J38" s="79">
        <v>15670</v>
      </c>
      <c r="K38" s="70"/>
      <c r="L38" s="77">
        <v>867.31465076900008</v>
      </c>
      <c r="M38" s="78">
        <v>4.5639872713377674E-5</v>
      </c>
      <c r="N38" s="78">
        <f t="shared" si="0"/>
        <v>2.5070069452199303E-2</v>
      </c>
      <c r="O38" s="78">
        <f>L38/'סכום נכסי הקרן'!$C$42</f>
        <v>2.3904735071972425E-4</v>
      </c>
    </row>
    <row r="39" spans="2:15">
      <c r="B39" s="76" t="s">
        <v>927</v>
      </c>
      <c r="C39" s="70" t="s">
        <v>928</v>
      </c>
      <c r="D39" s="83" t="s">
        <v>116</v>
      </c>
      <c r="E39" s="83" t="s">
        <v>287</v>
      </c>
      <c r="F39" s="70" t="s">
        <v>468</v>
      </c>
      <c r="G39" s="83" t="s">
        <v>147</v>
      </c>
      <c r="H39" s="83" t="s">
        <v>160</v>
      </c>
      <c r="I39" s="77">
        <v>19267.084073000002</v>
      </c>
      <c r="J39" s="79">
        <v>2259</v>
      </c>
      <c r="K39" s="70"/>
      <c r="L39" s="77">
        <v>435.24342919899999</v>
      </c>
      <c r="M39" s="78">
        <v>8.0874627525840399E-5</v>
      </c>
      <c r="N39" s="78">
        <f t="shared" si="0"/>
        <v>1.2580881677667523E-2</v>
      </c>
      <c r="O39" s="78">
        <f>L39/'סכום נכסי הקרן'!$C$42</f>
        <v>1.1996083379421635E-4</v>
      </c>
    </row>
    <row r="40" spans="2:15">
      <c r="B40" s="76" t="s">
        <v>929</v>
      </c>
      <c r="C40" s="70" t="s">
        <v>930</v>
      </c>
      <c r="D40" s="83" t="s">
        <v>116</v>
      </c>
      <c r="E40" s="83" t="s">
        <v>287</v>
      </c>
      <c r="F40" s="70" t="s">
        <v>671</v>
      </c>
      <c r="G40" s="83" t="s">
        <v>672</v>
      </c>
      <c r="H40" s="83" t="s">
        <v>160</v>
      </c>
      <c r="I40" s="77">
        <v>6367.206475</v>
      </c>
      <c r="J40" s="79">
        <v>9593</v>
      </c>
      <c r="K40" s="70"/>
      <c r="L40" s="77">
        <v>610.80611713000008</v>
      </c>
      <c r="M40" s="78">
        <v>5.49354646561324E-5</v>
      </c>
      <c r="N40" s="78">
        <f t="shared" si="0"/>
        <v>1.7655589888514085E-2</v>
      </c>
      <c r="O40" s="78">
        <f>L40/'סכום נכסי הקרן'!$C$42</f>
        <v>1.6834903454457695E-4</v>
      </c>
    </row>
    <row r="41" spans="2:15">
      <c r="B41" s="76" t="s">
        <v>931</v>
      </c>
      <c r="C41" s="70" t="s">
        <v>932</v>
      </c>
      <c r="D41" s="83" t="s">
        <v>116</v>
      </c>
      <c r="E41" s="83" t="s">
        <v>287</v>
      </c>
      <c r="F41" s="70" t="s">
        <v>933</v>
      </c>
      <c r="G41" s="83" t="s">
        <v>606</v>
      </c>
      <c r="H41" s="83" t="s">
        <v>160</v>
      </c>
      <c r="I41" s="77">
        <v>5589.2645510000002</v>
      </c>
      <c r="J41" s="79">
        <v>1230</v>
      </c>
      <c r="K41" s="70"/>
      <c r="L41" s="77">
        <v>68.747953972999994</v>
      </c>
      <c r="M41" s="78">
        <v>1.3756458128033534E-5</v>
      </c>
      <c r="N41" s="78">
        <f t="shared" si="0"/>
        <v>1.9871865179166108E-3</v>
      </c>
      <c r="O41" s="78">
        <f>L41/'סכום נכסי הקרן'!$C$42</f>
        <v>1.8948159413744543E-5</v>
      </c>
    </row>
    <row r="42" spans="2:15">
      <c r="B42" s="76" t="s">
        <v>934</v>
      </c>
      <c r="C42" s="70" t="s">
        <v>935</v>
      </c>
      <c r="D42" s="83" t="s">
        <v>116</v>
      </c>
      <c r="E42" s="83" t="s">
        <v>287</v>
      </c>
      <c r="F42" s="70" t="s">
        <v>796</v>
      </c>
      <c r="G42" s="83" t="s">
        <v>797</v>
      </c>
      <c r="H42" s="83" t="s">
        <v>160</v>
      </c>
      <c r="I42" s="77">
        <v>23249.729625</v>
      </c>
      <c r="J42" s="79">
        <v>2101</v>
      </c>
      <c r="K42" s="70"/>
      <c r="L42" s="77">
        <v>488.47681941799999</v>
      </c>
      <c r="M42" s="78">
        <v>6.5257893084479744E-5</v>
      </c>
      <c r="N42" s="78">
        <f t="shared" si="0"/>
        <v>1.4119613657789238E-2</v>
      </c>
      <c r="O42" s="78">
        <f>L42/'סכום נכסי הקרן'!$C$42</f>
        <v>1.3463290337173173E-4</v>
      </c>
    </row>
    <row r="43" spans="2:15">
      <c r="B43" s="73"/>
      <c r="C43" s="70"/>
      <c r="D43" s="70"/>
      <c r="E43" s="70"/>
      <c r="F43" s="70"/>
      <c r="G43" s="70"/>
      <c r="H43" s="70"/>
      <c r="I43" s="77"/>
      <c r="J43" s="79"/>
      <c r="K43" s="70"/>
      <c r="L43" s="70"/>
      <c r="M43" s="70"/>
      <c r="N43" s="78"/>
      <c r="O43" s="70"/>
    </row>
    <row r="44" spans="2:15">
      <c r="B44" s="89" t="s">
        <v>936</v>
      </c>
      <c r="C44" s="72"/>
      <c r="D44" s="72"/>
      <c r="E44" s="72"/>
      <c r="F44" s="72"/>
      <c r="G44" s="72"/>
      <c r="H44" s="72"/>
      <c r="I44" s="80"/>
      <c r="J44" s="82"/>
      <c r="K44" s="80">
        <v>51.345994445999999</v>
      </c>
      <c r="L44" s="80">
        <f>SUM(L45:L85)</f>
        <v>6815.4776878320017</v>
      </c>
      <c r="M44" s="72"/>
      <c r="N44" s="81">
        <f t="shared" ref="N44:N85" si="1">L44/$L$11</f>
        <v>0.19700405018221112</v>
      </c>
      <c r="O44" s="81">
        <f>L44/'סכום נכסי הקרן'!$C$42</f>
        <v>1.8784669251477426E-3</v>
      </c>
    </row>
    <row r="45" spans="2:15">
      <c r="B45" s="76" t="s">
        <v>937</v>
      </c>
      <c r="C45" s="70" t="s">
        <v>938</v>
      </c>
      <c r="D45" s="83" t="s">
        <v>116</v>
      </c>
      <c r="E45" s="83" t="s">
        <v>287</v>
      </c>
      <c r="F45" s="70" t="s">
        <v>629</v>
      </c>
      <c r="G45" s="83" t="s">
        <v>416</v>
      </c>
      <c r="H45" s="83" t="s">
        <v>160</v>
      </c>
      <c r="I45" s="77">
        <v>14151.306661000001</v>
      </c>
      <c r="J45" s="79">
        <v>2818</v>
      </c>
      <c r="K45" s="70"/>
      <c r="L45" s="77">
        <v>398.78382171699997</v>
      </c>
      <c r="M45" s="78">
        <v>9.8711976900377307E-5</v>
      </c>
      <c r="N45" s="78">
        <f t="shared" si="1"/>
        <v>1.152700245290955E-2</v>
      </c>
      <c r="O45" s="78">
        <f>L45/'סכום נכסי הקרן'!$C$42</f>
        <v>1.0991191721114524E-4</v>
      </c>
    </row>
    <row r="46" spans="2:15">
      <c r="B46" s="76" t="s">
        <v>939</v>
      </c>
      <c r="C46" s="70" t="s">
        <v>940</v>
      </c>
      <c r="D46" s="83" t="s">
        <v>116</v>
      </c>
      <c r="E46" s="83" t="s">
        <v>287</v>
      </c>
      <c r="F46" s="70" t="s">
        <v>605</v>
      </c>
      <c r="G46" s="83" t="s">
        <v>606</v>
      </c>
      <c r="H46" s="83" t="s">
        <v>160</v>
      </c>
      <c r="I46" s="77">
        <v>11909.426377999998</v>
      </c>
      <c r="J46" s="79">
        <v>626</v>
      </c>
      <c r="K46" s="70"/>
      <c r="L46" s="77">
        <v>74.553009122000006</v>
      </c>
      <c r="M46" s="78">
        <v>5.6512327505309402E-5</v>
      </c>
      <c r="N46" s="78">
        <f t="shared" si="1"/>
        <v>2.154983909128948E-3</v>
      </c>
      <c r="O46" s="78">
        <f>L46/'סכום נכסי הקרן'!$C$42</f>
        <v>2.0548135907765443E-5</v>
      </c>
    </row>
    <row r="47" spans="2:15">
      <c r="B47" s="76" t="s">
        <v>941</v>
      </c>
      <c r="C47" s="70" t="s">
        <v>942</v>
      </c>
      <c r="D47" s="83" t="s">
        <v>116</v>
      </c>
      <c r="E47" s="83" t="s">
        <v>287</v>
      </c>
      <c r="F47" s="70" t="s">
        <v>943</v>
      </c>
      <c r="G47" s="83" t="s">
        <v>412</v>
      </c>
      <c r="H47" s="83" t="s">
        <v>160</v>
      </c>
      <c r="I47" s="77">
        <v>757.43584999999996</v>
      </c>
      <c r="J47" s="79">
        <v>8049</v>
      </c>
      <c r="K47" s="70"/>
      <c r="L47" s="77">
        <v>60.966011526999999</v>
      </c>
      <c r="M47" s="78">
        <v>5.1614333250220968E-5</v>
      </c>
      <c r="N47" s="78">
        <f t="shared" si="1"/>
        <v>1.7622464256199356E-3</v>
      </c>
      <c r="O47" s="78">
        <f>L47/'סכום נכסי הקרן'!$C$42</f>
        <v>1.6803317604004228E-5</v>
      </c>
    </row>
    <row r="48" spans="2:15">
      <c r="B48" s="76" t="s">
        <v>944</v>
      </c>
      <c r="C48" s="70" t="s">
        <v>945</v>
      </c>
      <c r="D48" s="83" t="s">
        <v>116</v>
      </c>
      <c r="E48" s="83" t="s">
        <v>287</v>
      </c>
      <c r="F48" s="70" t="s">
        <v>946</v>
      </c>
      <c r="G48" s="83" t="s">
        <v>797</v>
      </c>
      <c r="H48" s="83" t="s">
        <v>160</v>
      </c>
      <c r="I48" s="77">
        <v>12692.382181999999</v>
      </c>
      <c r="J48" s="79">
        <v>1135</v>
      </c>
      <c r="K48" s="70"/>
      <c r="L48" s="77">
        <v>144.05853776999999</v>
      </c>
      <c r="M48" s="78">
        <v>1.166419934005337E-4</v>
      </c>
      <c r="N48" s="78">
        <f t="shared" si="1"/>
        <v>4.1640684195453255E-3</v>
      </c>
      <c r="O48" s="78">
        <f>L48/'סכום נכסי הקרן'!$C$42</f>
        <v>3.9705096382198324E-5</v>
      </c>
    </row>
    <row r="49" spans="2:15">
      <c r="B49" s="76" t="s">
        <v>947</v>
      </c>
      <c r="C49" s="70" t="s">
        <v>948</v>
      </c>
      <c r="D49" s="83" t="s">
        <v>116</v>
      </c>
      <c r="E49" s="83" t="s">
        <v>287</v>
      </c>
      <c r="F49" s="70" t="s">
        <v>949</v>
      </c>
      <c r="G49" s="83" t="s">
        <v>188</v>
      </c>
      <c r="H49" s="83" t="s">
        <v>160</v>
      </c>
      <c r="I49" s="77">
        <v>162.32004000000001</v>
      </c>
      <c r="J49" s="79">
        <v>3652</v>
      </c>
      <c r="K49" s="70"/>
      <c r="L49" s="77">
        <v>5.9279278729999998</v>
      </c>
      <c r="M49" s="78">
        <v>4.7021036172817682E-6</v>
      </c>
      <c r="N49" s="78">
        <f t="shared" si="1"/>
        <v>1.7134907539261631E-4</v>
      </c>
      <c r="O49" s="78">
        <f>L49/'סכום נכסי הקרן'!$C$42</f>
        <v>1.6338424031484248E-6</v>
      </c>
    </row>
    <row r="50" spans="2:15">
      <c r="B50" s="76" t="s">
        <v>950</v>
      </c>
      <c r="C50" s="70" t="s">
        <v>951</v>
      </c>
      <c r="D50" s="83" t="s">
        <v>116</v>
      </c>
      <c r="E50" s="83" t="s">
        <v>287</v>
      </c>
      <c r="F50" s="70" t="s">
        <v>827</v>
      </c>
      <c r="G50" s="83" t="s">
        <v>186</v>
      </c>
      <c r="H50" s="83" t="s">
        <v>160</v>
      </c>
      <c r="I50" s="77">
        <v>85568.703041999994</v>
      </c>
      <c r="J50" s="79">
        <v>525</v>
      </c>
      <c r="K50" s="70"/>
      <c r="L50" s="77">
        <v>449.23569096899996</v>
      </c>
      <c r="M50" s="78">
        <v>1.1069854702481321E-4</v>
      </c>
      <c r="N50" s="78">
        <f t="shared" si="1"/>
        <v>1.2985333480777534E-2</v>
      </c>
      <c r="O50" s="78">
        <f>L50/'סכום נכסי הקרן'!$C$42</f>
        <v>1.2381735011586468E-4</v>
      </c>
    </row>
    <row r="51" spans="2:15">
      <c r="B51" s="76" t="s">
        <v>952</v>
      </c>
      <c r="C51" s="70" t="s">
        <v>953</v>
      </c>
      <c r="D51" s="83" t="s">
        <v>116</v>
      </c>
      <c r="E51" s="83" t="s">
        <v>287</v>
      </c>
      <c r="F51" s="70" t="s">
        <v>954</v>
      </c>
      <c r="G51" s="83" t="s">
        <v>186</v>
      </c>
      <c r="H51" s="83" t="s">
        <v>160</v>
      </c>
      <c r="I51" s="77">
        <v>38571.405438000002</v>
      </c>
      <c r="J51" s="79">
        <v>1294</v>
      </c>
      <c r="K51" s="70"/>
      <c r="L51" s="77">
        <v>499.11398637300005</v>
      </c>
      <c r="M51" s="78">
        <v>8.1511014164885071E-5</v>
      </c>
      <c r="N51" s="78">
        <f t="shared" si="1"/>
        <v>1.4427085132069126E-2</v>
      </c>
      <c r="O51" s="78">
        <f>L51/'סכום נכסי הקרן'!$C$42</f>
        <v>1.3756469586192156E-4</v>
      </c>
    </row>
    <row r="52" spans="2:15">
      <c r="B52" s="76" t="s">
        <v>955</v>
      </c>
      <c r="C52" s="70" t="s">
        <v>956</v>
      </c>
      <c r="D52" s="83" t="s">
        <v>116</v>
      </c>
      <c r="E52" s="83" t="s">
        <v>287</v>
      </c>
      <c r="F52" s="70" t="s">
        <v>957</v>
      </c>
      <c r="G52" s="83" t="s">
        <v>642</v>
      </c>
      <c r="H52" s="83" t="s">
        <v>160</v>
      </c>
      <c r="I52" s="77">
        <v>725.43161699999996</v>
      </c>
      <c r="J52" s="79">
        <v>6299</v>
      </c>
      <c r="K52" s="70"/>
      <c r="L52" s="77">
        <v>45.694937584000002</v>
      </c>
      <c r="M52" s="78">
        <v>1.9967269775426448E-5</v>
      </c>
      <c r="N52" s="78">
        <f t="shared" si="1"/>
        <v>1.3208300561152447E-3</v>
      </c>
      <c r="O52" s="78">
        <f>L52/'סכום נכסי הקרן'!$C$42</f>
        <v>1.2594337892336201E-5</v>
      </c>
    </row>
    <row r="53" spans="2:15">
      <c r="B53" s="76" t="s">
        <v>958</v>
      </c>
      <c r="C53" s="70" t="s">
        <v>959</v>
      </c>
      <c r="D53" s="83" t="s">
        <v>116</v>
      </c>
      <c r="E53" s="83" t="s">
        <v>287</v>
      </c>
      <c r="F53" s="70" t="s">
        <v>960</v>
      </c>
      <c r="G53" s="83" t="s">
        <v>961</v>
      </c>
      <c r="H53" s="83" t="s">
        <v>160</v>
      </c>
      <c r="I53" s="77">
        <v>2521.4037579999999</v>
      </c>
      <c r="J53" s="79">
        <v>5699</v>
      </c>
      <c r="K53" s="70"/>
      <c r="L53" s="77">
        <v>143.694800141</v>
      </c>
      <c r="M53" s="78">
        <v>1.0195428771850146E-4</v>
      </c>
      <c r="N53" s="78">
        <f t="shared" si="1"/>
        <v>4.153554441010174E-3</v>
      </c>
      <c r="O53" s="78">
        <f>L53/'סכום נכסי הקרן'!$C$42</f>
        <v>3.9604843819310767E-5</v>
      </c>
    </row>
    <row r="54" spans="2:15">
      <c r="B54" s="76" t="s">
        <v>962</v>
      </c>
      <c r="C54" s="70" t="s">
        <v>963</v>
      </c>
      <c r="D54" s="83" t="s">
        <v>116</v>
      </c>
      <c r="E54" s="83" t="s">
        <v>287</v>
      </c>
      <c r="F54" s="70" t="s">
        <v>406</v>
      </c>
      <c r="G54" s="83" t="s">
        <v>352</v>
      </c>
      <c r="H54" s="83" t="s">
        <v>160</v>
      </c>
      <c r="I54" s="77">
        <v>387.13212199999992</v>
      </c>
      <c r="J54" s="79">
        <v>179690</v>
      </c>
      <c r="K54" s="70"/>
      <c r="L54" s="77">
        <v>695.6377095549999</v>
      </c>
      <c r="M54" s="78">
        <v>1.8117759031802895E-4</v>
      </c>
      <c r="N54" s="78">
        <f t="shared" si="1"/>
        <v>2.0107680271110245E-2</v>
      </c>
      <c r="O54" s="78">
        <f>L54/'סכום נכסי הקרן'!$C$42</f>
        <v>1.9173013090741548E-4</v>
      </c>
    </row>
    <row r="55" spans="2:15">
      <c r="B55" s="76" t="s">
        <v>964</v>
      </c>
      <c r="C55" s="70" t="s">
        <v>965</v>
      </c>
      <c r="D55" s="83" t="s">
        <v>116</v>
      </c>
      <c r="E55" s="83" t="s">
        <v>287</v>
      </c>
      <c r="F55" s="70" t="s">
        <v>966</v>
      </c>
      <c r="G55" s="83" t="s">
        <v>606</v>
      </c>
      <c r="H55" s="83" t="s">
        <v>160</v>
      </c>
      <c r="I55" s="77">
        <v>876.21999700000003</v>
      </c>
      <c r="J55" s="79">
        <v>9053</v>
      </c>
      <c r="K55" s="70"/>
      <c r="L55" s="77">
        <v>79.324196332000014</v>
      </c>
      <c r="M55" s="78">
        <v>4.6836970224992466E-5</v>
      </c>
      <c r="N55" s="78">
        <f t="shared" si="1"/>
        <v>2.2928969429028964E-3</v>
      </c>
      <c r="O55" s="78">
        <f>L55/'סכום נכסי הקרן'!$C$42</f>
        <v>2.1863160001186536E-5</v>
      </c>
    </row>
    <row r="56" spans="2:15">
      <c r="B56" s="76" t="s">
        <v>967</v>
      </c>
      <c r="C56" s="70" t="s">
        <v>968</v>
      </c>
      <c r="D56" s="83" t="s">
        <v>116</v>
      </c>
      <c r="E56" s="83" t="s">
        <v>287</v>
      </c>
      <c r="F56" s="70" t="s">
        <v>969</v>
      </c>
      <c r="G56" s="83" t="s">
        <v>152</v>
      </c>
      <c r="H56" s="83" t="s">
        <v>160</v>
      </c>
      <c r="I56" s="77">
        <v>900.60495500000002</v>
      </c>
      <c r="J56" s="79">
        <v>32310</v>
      </c>
      <c r="K56" s="70"/>
      <c r="L56" s="77">
        <v>290.98546102799997</v>
      </c>
      <c r="M56" s="78">
        <v>1.691439860779076E-4</v>
      </c>
      <c r="N56" s="78">
        <f t="shared" si="1"/>
        <v>8.4110486443231356E-3</v>
      </c>
      <c r="O56" s="78">
        <f>L56/'סכום נכסי הקרן'!$C$42</f>
        <v>8.020077084484455E-5</v>
      </c>
    </row>
    <row r="57" spans="2:15">
      <c r="B57" s="76" t="s">
        <v>970</v>
      </c>
      <c r="C57" s="70" t="s">
        <v>971</v>
      </c>
      <c r="D57" s="83" t="s">
        <v>116</v>
      </c>
      <c r="E57" s="83" t="s">
        <v>287</v>
      </c>
      <c r="F57" s="70" t="s">
        <v>972</v>
      </c>
      <c r="G57" s="83" t="s">
        <v>797</v>
      </c>
      <c r="H57" s="83" t="s">
        <v>160</v>
      </c>
      <c r="I57" s="77">
        <v>1637.2593939999999</v>
      </c>
      <c r="J57" s="79">
        <v>5480</v>
      </c>
      <c r="K57" s="70"/>
      <c r="L57" s="77">
        <v>89.721814781999996</v>
      </c>
      <c r="M57" s="78">
        <v>1.165669829661889E-4</v>
      </c>
      <c r="N57" s="78">
        <f t="shared" si="1"/>
        <v>2.5934441738851557E-3</v>
      </c>
      <c r="O57" s="78">
        <f>L57/'סכום נכסי הקרן'!$C$42</f>
        <v>2.4728928660880275E-5</v>
      </c>
    </row>
    <row r="58" spans="2:15">
      <c r="B58" s="76" t="s">
        <v>973</v>
      </c>
      <c r="C58" s="70" t="s">
        <v>974</v>
      </c>
      <c r="D58" s="83" t="s">
        <v>116</v>
      </c>
      <c r="E58" s="83" t="s">
        <v>287</v>
      </c>
      <c r="F58" s="70" t="s">
        <v>975</v>
      </c>
      <c r="G58" s="83" t="s">
        <v>976</v>
      </c>
      <c r="H58" s="83" t="s">
        <v>160</v>
      </c>
      <c r="I58" s="77">
        <v>813.60764700000004</v>
      </c>
      <c r="J58" s="79">
        <v>24710</v>
      </c>
      <c r="K58" s="70"/>
      <c r="L58" s="77">
        <v>201.04244951300001</v>
      </c>
      <c r="M58" s="78">
        <v>1.1960051905784607E-4</v>
      </c>
      <c r="N58" s="78">
        <f t="shared" si="1"/>
        <v>5.8112106922929996E-3</v>
      </c>
      <c r="O58" s="78">
        <f>L58/'סכום נכסי הקרן'!$C$42</f>
        <v>5.5410876428382247E-5</v>
      </c>
    </row>
    <row r="59" spans="2:15">
      <c r="B59" s="76" t="s">
        <v>977</v>
      </c>
      <c r="C59" s="70" t="s">
        <v>978</v>
      </c>
      <c r="D59" s="83" t="s">
        <v>116</v>
      </c>
      <c r="E59" s="83" t="s">
        <v>287</v>
      </c>
      <c r="F59" s="70" t="s">
        <v>979</v>
      </c>
      <c r="G59" s="83" t="s">
        <v>976</v>
      </c>
      <c r="H59" s="83" t="s">
        <v>160</v>
      </c>
      <c r="I59" s="77">
        <v>2348.7210839999998</v>
      </c>
      <c r="J59" s="79">
        <v>13930</v>
      </c>
      <c r="K59" s="70"/>
      <c r="L59" s="77">
        <v>327.17684698700003</v>
      </c>
      <c r="M59" s="78">
        <v>1.0428250087678298E-4</v>
      </c>
      <c r="N59" s="78">
        <f t="shared" si="1"/>
        <v>9.4571748209754166E-3</v>
      </c>
      <c r="O59" s="78">
        <f>L59/'סכום נכסי הקרן'!$C$42</f>
        <v>9.0175760803452108E-5</v>
      </c>
    </row>
    <row r="60" spans="2:15">
      <c r="B60" s="76" t="s">
        <v>980</v>
      </c>
      <c r="C60" s="70" t="s">
        <v>981</v>
      </c>
      <c r="D60" s="83" t="s">
        <v>116</v>
      </c>
      <c r="E60" s="83" t="s">
        <v>287</v>
      </c>
      <c r="F60" s="70" t="s">
        <v>695</v>
      </c>
      <c r="G60" s="83" t="s">
        <v>153</v>
      </c>
      <c r="H60" s="83" t="s">
        <v>160</v>
      </c>
      <c r="I60" s="77">
        <v>13366.153128</v>
      </c>
      <c r="J60" s="79">
        <v>786.2</v>
      </c>
      <c r="K60" s="70"/>
      <c r="L60" s="77">
        <v>105.084695893</v>
      </c>
      <c r="M60" s="78">
        <v>6.6830765640000004E-5</v>
      </c>
      <c r="N60" s="78">
        <f t="shared" si="1"/>
        <v>3.0375142655147173E-3</v>
      </c>
      <c r="O60" s="78">
        <f>L60/'סכום נכסי הקרן'!$C$42</f>
        <v>2.8963212061662772E-5</v>
      </c>
    </row>
    <row r="61" spans="2:15">
      <c r="B61" s="76" t="s">
        <v>982</v>
      </c>
      <c r="C61" s="70" t="s">
        <v>983</v>
      </c>
      <c r="D61" s="83" t="s">
        <v>116</v>
      </c>
      <c r="E61" s="83" t="s">
        <v>287</v>
      </c>
      <c r="F61" s="70" t="s">
        <v>850</v>
      </c>
      <c r="G61" s="83" t="s">
        <v>142</v>
      </c>
      <c r="H61" s="83" t="s">
        <v>160</v>
      </c>
      <c r="I61" s="77">
        <v>950007.29791199998</v>
      </c>
      <c r="J61" s="79">
        <v>29.9</v>
      </c>
      <c r="K61" s="77">
        <v>51.345994445999999</v>
      </c>
      <c r="L61" s="77">
        <v>335.39817651999999</v>
      </c>
      <c r="M61" s="78">
        <v>1.8336673670472654E-4</v>
      </c>
      <c r="N61" s="78">
        <f t="shared" si="1"/>
        <v>9.6948155690003476E-3</v>
      </c>
      <c r="O61" s="78">
        <f>L61/'סכום נכסי הקרן'!$C$42</f>
        <v>9.2441705512808688E-5</v>
      </c>
    </row>
    <row r="62" spans="2:15">
      <c r="B62" s="76" t="s">
        <v>984</v>
      </c>
      <c r="C62" s="70" t="s">
        <v>985</v>
      </c>
      <c r="D62" s="83" t="s">
        <v>116</v>
      </c>
      <c r="E62" s="83" t="s">
        <v>287</v>
      </c>
      <c r="F62" s="70" t="s">
        <v>423</v>
      </c>
      <c r="G62" s="83" t="s">
        <v>352</v>
      </c>
      <c r="H62" s="83" t="s">
        <v>160</v>
      </c>
      <c r="I62" s="77">
        <v>163.300847</v>
      </c>
      <c r="J62" s="79">
        <v>46780</v>
      </c>
      <c r="K62" s="70"/>
      <c r="L62" s="77">
        <v>76.392136152999996</v>
      </c>
      <c r="M62" s="78">
        <v>3.0219095075108773E-5</v>
      </c>
      <c r="N62" s="78">
        <f t="shared" si="1"/>
        <v>2.208144595804431E-3</v>
      </c>
      <c r="O62" s="78">
        <f>L62/'סכום נכסי הקרן'!$C$42</f>
        <v>2.1055032042873706E-5</v>
      </c>
    </row>
    <row r="63" spans="2:15">
      <c r="B63" s="76" t="s">
        <v>986</v>
      </c>
      <c r="C63" s="70" t="s">
        <v>987</v>
      </c>
      <c r="D63" s="83" t="s">
        <v>116</v>
      </c>
      <c r="E63" s="83" t="s">
        <v>287</v>
      </c>
      <c r="F63" s="70" t="s">
        <v>988</v>
      </c>
      <c r="G63" s="83" t="s">
        <v>412</v>
      </c>
      <c r="H63" s="83" t="s">
        <v>160</v>
      </c>
      <c r="I63" s="77">
        <v>2788.8923570000002</v>
      </c>
      <c r="J63" s="79">
        <v>2886</v>
      </c>
      <c r="K63" s="70"/>
      <c r="L63" s="77">
        <v>80.487433428999992</v>
      </c>
      <c r="M63" s="78">
        <v>4.1228440245140851E-5</v>
      </c>
      <c r="N63" s="78">
        <f t="shared" si="1"/>
        <v>2.3265207664890739E-3</v>
      </c>
      <c r="O63" s="78">
        <f>L63/'סכום נכסי הקרן'!$C$42</f>
        <v>2.2183768843721592E-5</v>
      </c>
    </row>
    <row r="64" spans="2:15">
      <c r="B64" s="76" t="s">
        <v>989</v>
      </c>
      <c r="C64" s="70" t="s">
        <v>990</v>
      </c>
      <c r="D64" s="83" t="s">
        <v>116</v>
      </c>
      <c r="E64" s="83" t="s">
        <v>287</v>
      </c>
      <c r="F64" s="70" t="s">
        <v>991</v>
      </c>
      <c r="G64" s="83" t="s">
        <v>147</v>
      </c>
      <c r="H64" s="83" t="s">
        <v>160</v>
      </c>
      <c r="I64" s="77">
        <v>403.97541100000001</v>
      </c>
      <c r="J64" s="79">
        <v>13790</v>
      </c>
      <c r="K64" s="70"/>
      <c r="L64" s="77">
        <v>55.708209196000006</v>
      </c>
      <c r="M64" s="78">
        <v>3.1832124413817908E-5</v>
      </c>
      <c r="N64" s="78">
        <f t="shared" si="1"/>
        <v>1.61026759130965E-3</v>
      </c>
      <c r="O64" s="78">
        <f>L64/'סכום נכסי הקרן'!$C$42</f>
        <v>1.535417372442241E-5</v>
      </c>
    </row>
    <row r="65" spans="2:15">
      <c r="B65" s="76" t="s">
        <v>992</v>
      </c>
      <c r="C65" s="70" t="s">
        <v>993</v>
      </c>
      <c r="D65" s="83" t="s">
        <v>116</v>
      </c>
      <c r="E65" s="83" t="s">
        <v>287</v>
      </c>
      <c r="F65" s="70" t="s">
        <v>537</v>
      </c>
      <c r="G65" s="83" t="s">
        <v>352</v>
      </c>
      <c r="H65" s="83" t="s">
        <v>160</v>
      </c>
      <c r="I65" s="77">
        <v>853.99029199999995</v>
      </c>
      <c r="J65" s="79">
        <v>7697</v>
      </c>
      <c r="K65" s="70"/>
      <c r="L65" s="77">
        <v>65.731632809000004</v>
      </c>
      <c r="M65" s="78">
        <v>2.3511110144471081E-5</v>
      </c>
      <c r="N65" s="78">
        <f t="shared" si="1"/>
        <v>1.8999985740665089E-3</v>
      </c>
      <c r="O65" s="78">
        <f>L65/'סכום נכסי הקרן'!$C$42</f>
        <v>1.8116807628628583E-5</v>
      </c>
    </row>
    <row r="66" spans="2:15">
      <c r="B66" s="76" t="s">
        <v>994</v>
      </c>
      <c r="C66" s="70" t="s">
        <v>995</v>
      </c>
      <c r="D66" s="83" t="s">
        <v>116</v>
      </c>
      <c r="E66" s="83" t="s">
        <v>287</v>
      </c>
      <c r="F66" s="70" t="s">
        <v>996</v>
      </c>
      <c r="G66" s="83" t="s">
        <v>976</v>
      </c>
      <c r="H66" s="83" t="s">
        <v>160</v>
      </c>
      <c r="I66" s="77">
        <v>6260.6449410000005</v>
      </c>
      <c r="J66" s="79">
        <v>7349</v>
      </c>
      <c r="K66" s="70"/>
      <c r="L66" s="77">
        <v>460.094796712</v>
      </c>
      <c r="M66" s="78">
        <v>1.0075564811209724E-4</v>
      </c>
      <c r="N66" s="78">
        <f t="shared" si="1"/>
        <v>1.3299220182592624E-2</v>
      </c>
      <c r="O66" s="78">
        <f>L66/'סכום נכסי הקרן'!$C$42</f>
        <v>1.2681031288519864E-4</v>
      </c>
    </row>
    <row r="67" spans="2:15">
      <c r="B67" s="76" t="s">
        <v>997</v>
      </c>
      <c r="C67" s="70" t="s">
        <v>998</v>
      </c>
      <c r="D67" s="83" t="s">
        <v>116</v>
      </c>
      <c r="E67" s="83" t="s">
        <v>287</v>
      </c>
      <c r="F67" s="70" t="s">
        <v>999</v>
      </c>
      <c r="G67" s="83" t="s">
        <v>961</v>
      </c>
      <c r="H67" s="83" t="s">
        <v>160</v>
      </c>
      <c r="I67" s="77">
        <v>11106.808347</v>
      </c>
      <c r="J67" s="79">
        <v>3920</v>
      </c>
      <c r="K67" s="70"/>
      <c r="L67" s="77">
        <v>435.38688720800002</v>
      </c>
      <c r="M67" s="78">
        <v>1.0274151169755004E-4</v>
      </c>
      <c r="N67" s="78">
        <f t="shared" si="1"/>
        <v>1.2585028387567922E-2</v>
      </c>
      <c r="O67" s="78">
        <f>L67/'סכום נכסי הקרן'!$C$42</f>
        <v>1.2000037337418376E-4</v>
      </c>
    </row>
    <row r="68" spans="2:15">
      <c r="B68" s="76" t="s">
        <v>1000</v>
      </c>
      <c r="C68" s="70" t="s">
        <v>1001</v>
      </c>
      <c r="D68" s="83" t="s">
        <v>116</v>
      </c>
      <c r="E68" s="83" t="s">
        <v>287</v>
      </c>
      <c r="F68" s="70" t="s">
        <v>1002</v>
      </c>
      <c r="G68" s="83" t="s">
        <v>797</v>
      </c>
      <c r="H68" s="83" t="s">
        <v>160</v>
      </c>
      <c r="I68" s="77">
        <v>696.79656999999997</v>
      </c>
      <c r="J68" s="79">
        <v>5889</v>
      </c>
      <c r="K68" s="70"/>
      <c r="L68" s="77">
        <v>41.034350023000002</v>
      </c>
      <c r="M68" s="78">
        <v>7.8746692972953171E-5</v>
      </c>
      <c r="N68" s="78">
        <f t="shared" si="1"/>
        <v>1.1861139484849522E-3</v>
      </c>
      <c r="O68" s="78">
        <f>L68/'סכום נכסי הקרן'!$C$42</f>
        <v>1.1309797030185955E-5</v>
      </c>
    </row>
    <row r="69" spans="2:15">
      <c r="B69" s="76" t="s">
        <v>1003</v>
      </c>
      <c r="C69" s="70" t="s">
        <v>1004</v>
      </c>
      <c r="D69" s="83" t="s">
        <v>116</v>
      </c>
      <c r="E69" s="83" t="s">
        <v>287</v>
      </c>
      <c r="F69" s="70" t="s">
        <v>1005</v>
      </c>
      <c r="G69" s="83" t="s">
        <v>412</v>
      </c>
      <c r="H69" s="83" t="s">
        <v>160</v>
      </c>
      <c r="I69" s="77">
        <v>2571.6861319999998</v>
      </c>
      <c r="J69" s="79">
        <v>3478</v>
      </c>
      <c r="K69" s="70"/>
      <c r="L69" s="77">
        <v>89.443243687999981</v>
      </c>
      <c r="M69" s="78">
        <v>4.0644976237567333E-5</v>
      </c>
      <c r="N69" s="78">
        <f t="shared" si="1"/>
        <v>2.5853919673788279E-3</v>
      </c>
      <c r="O69" s="78">
        <f>L69/'סכום נכסי הקרן'!$C$42</f>
        <v>2.4652149510489171E-5</v>
      </c>
    </row>
    <row r="70" spans="2:15">
      <c r="B70" s="76" t="s">
        <v>1006</v>
      </c>
      <c r="C70" s="70" t="s">
        <v>1007</v>
      </c>
      <c r="D70" s="83" t="s">
        <v>116</v>
      </c>
      <c r="E70" s="83" t="s">
        <v>287</v>
      </c>
      <c r="F70" s="70" t="s">
        <v>1008</v>
      </c>
      <c r="G70" s="83" t="s">
        <v>903</v>
      </c>
      <c r="H70" s="83" t="s">
        <v>160</v>
      </c>
      <c r="I70" s="77">
        <v>644.208842</v>
      </c>
      <c r="J70" s="79">
        <v>16660</v>
      </c>
      <c r="K70" s="70"/>
      <c r="L70" s="77">
        <v>107.32519302200001</v>
      </c>
      <c r="M70" s="78">
        <v>2.3002844108023043E-5</v>
      </c>
      <c r="N70" s="78">
        <f t="shared" si="1"/>
        <v>3.1022767119713531E-3</v>
      </c>
      <c r="O70" s="78">
        <f>L70/'סכום נכסי הקרן'!$C$42</f>
        <v>2.9580732937745894E-5</v>
      </c>
    </row>
    <row r="71" spans="2:15">
      <c r="B71" s="76" t="s">
        <v>1009</v>
      </c>
      <c r="C71" s="70" t="s">
        <v>1010</v>
      </c>
      <c r="D71" s="83" t="s">
        <v>116</v>
      </c>
      <c r="E71" s="83" t="s">
        <v>287</v>
      </c>
      <c r="F71" s="70" t="s">
        <v>1011</v>
      </c>
      <c r="G71" s="83" t="s">
        <v>142</v>
      </c>
      <c r="H71" s="83" t="s">
        <v>160</v>
      </c>
      <c r="I71" s="77">
        <v>7483.7588770000011</v>
      </c>
      <c r="J71" s="79">
        <v>1128</v>
      </c>
      <c r="K71" s="70"/>
      <c r="L71" s="77">
        <v>84.416800127000002</v>
      </c>
      <c r="M71" s="78">
        <v>7.7630994953438947E-5</v>
      </c>
      <c r="N71" s="78">
        <f t="shared" si="1"/>
        <v>2.440100648870487E-3</v>
      </c>
      <c r="O71" s="78">
        <f>L71/'סכום נכסי הקרן'!$C$42</f>
        <v>2.3266772224709546E-5</v>
      </c>
    </row>
    <row r="72" spans="2:15">
      <c r="B72" s="76" t="s">
        <v>1012</v>
      </c>
      <c r="C72" s="70" t="s">
        <v>1013</v>
      </c>
      <c r="D72" s="83" t="s">
        <v>116</v>
      </c>
      <c r="E72" s="83" t="s">
        <v>287</v>
      </c>
      <c r="F72" s="70" t="s">
        <v>622</v>
      </c>
      <c r="G72" s="83" t="s">
        <v>187</v>
      </c>
      <c r="H72" s="83" t="s">
        <v>160</v>
      </c>
      <c r="I72" s="77">
        <v>9993.9886819999992</v>
      </c>
      <c r="J72" s="79">
        <v>1360</v>
      </c>
      <c r="K72" s="70"/>
      <c r="L72" s="77">
        <v>135.91824606899999</v>
      </c>
      <c r="M72" s="78">
        <v>6.6251377420663095E-5</v>
      </c>
      <c r="N72" s="78">
        <f t="shared" si="1"/>
        <v>3.9287701017730074E-3</v>
      </c>
      <c r="O72" s="78">
        <f>L72/'סכום נכסי הקרן'!$C$42</f>
        <v>3.7461487141325392E-5</v>
      </c>
    </row>
    <row r="73" spans="2:15">
      <c r="B73" s="76" t="s">
        <v>1014</v>
      </c>
      <c r="C73" s="70" t="s">
        <v>1015</v>
      </c>
      <c r="D73" s="83" t="s">
        <v>116</v>
      </c>
      <c r="E73" s="83" t="s">
        <v>287</v>
      </c>
      <c r="F73" s="70" t="s">
        <v>1016</v>
      </c>
      <c r="G73" s="83" t="s">
        <v>147</v>
      </c>
      <c r="H73" s="83" t="s">
        <v>160</v>
      </c>
      <c r="I73" s="77">
        <v>1012.49825</v>
      </c>
      <c r="J73" s="79">
        <v>5167</v>
      </c>
      <c r="K73" s="70"/>
      <c r="L73" s="77">
        <v>52.315784553</v>
      </c>
      <c r="M73" s="78">
        <v>9.2941999869284309E-5</v>
      </c>
      <c r="N73" s="78">
        <f t="shared" si="1"/>
        <v>1.5122082291900837E-3</v>
      </c>
      <c r="O73" s="78">
        <f>L73/'סכום נכסי הקרן'!$C$42</f>
        <v>1.4419161128121366E-5</v>
      </c>
    </row>
    <row r="74" spans="2:15">
      <c r="B74" s="76" t="s">
        <v>1017</v>
      </c>
      <c r="C74" s="70" t="s">
        <v>1018</v>
      </c>
      <c r="D74" s="83" t="s">
        <v>116</v>
      </c>
      <c r="E74" s="83" t="s">
        <v>287</v>
      </c>
      <c r="F74" s="70" t="s">
        <v>1019</v>
      </c>
      <c r="G74" s="83" t="s">
        <v>642</v>
      </c>
      <c r="H74" s="83" t="s">
        <v>160</v>
      </c>
      <c r="I74" s="77">
        <v>422.22803699999997</v>
      </c>
      <c r="J74" s="79">
        <v>23610</v>
      </c>
      <c r="K74" s="70"/>
      <c r="L74" s="77">
        <v>99.688039536000005</v>
      </c>
      <c r="M74" s="78">
        <v>5.6990209321856142E-5</v>
      </c>
      <c r="N74" s="78">
        <f t="shared" si="1"/>
        <v>2.8815218012346725E-3</v>
      </c>
      <c r="O74" s="78">
        <f>L74/'סכום נכסי הקרן'!$C$42</f>
        <v>2.7475797541751472E-5</v>
      </c>
    </row>
    <row r="75" spans="2:15">
      <c r="B75" s="76" t="s">
        <v>1020</v>
      </c>
      <c r="C75" s="70" t="s">
        <v>1021</v>
      </c>
      <c r="D75" s="83" t="s">
        <v>116</v>
      </c>
      <c r="E75" s="83" t="s">
        <v>287</v>
      </c>
      <c r="F75" s="70" t="s">
        <v>1022</v>
      </c>
      <c r="G75" s="83" t="s">
        <v>183</v>
      </c>
      <c r="H75" s="83" t="s">
        <v>160</v>
      </c>
      <c r="I75" s="77">
        <v>146.906712</v>
      </c>
      <c r="J75" s="79">
        <v>12690</v>
      </c>
      <c r="K75" s="70"/>
      <c r="L75" s="77">
        <v>18.642461731000001</v>
      </c>
      <c r="M75" s="78">
        <v>1.0832780989979509E-5</v>
      </c>
      <c r="N75" s="78">
        <f t="shared" si="1"/>
        <v>5.3886765309654153E-4</v>
      </c>
      <c r="O75" s="78">
        <f>L75/'סכום נכסי הקרן'!$C$42</f>
        <v>5.1381941764019818E-6</v>
      </c>
    </row>
    <row r="76" spans="2:15">
      <c r="B76" s="76" t="s">
        <v>1023</v>
      </c>
      <c r="C76" s="70" t="s">
        <v>1024</v>
      </c>
      <c r="D76" s="83" t="s">
        <v>116</v>
      </c>
      <c r="E76" s="83" t="s">
        <v>287</v>
      </c>
      <c r="F76" s="70" t="s">
        <v>571</v>
      </c>
      <c r="G76" s="83" t="s">
        <v>416</v>
      </c>
      <c r="H76" s="83" t="s">
        <v>160</v>
      </c>
      <c r="I76" s="77">
        <v>1089.1925060000001</v>
      </c>
      <c r="J76" s="79">
        <v>27500</v>
      </c>
      <c r="K76" s="70"/>
      <c r="L76" s="77">
        <v>299.52793925700001</v>
      </c>
      <c r="M76" s="78">
        <v>1.0763771595385343E-4</v>
      </c>
      <c r="N76" s="78">
        <f t="shared" si="1"/>
        <v>8.6579723211053141E-3</v>
      </c>
      <c r="O76" s="78">
        <f>L76/'סכום נכסי הקרן'!$C$42</f>
        <v>8.2555229849327883E-5</v>
      </c>
    </row>
    <row r="77" spans="2:15">
      <c r="B77" s="76" t="s">
        <v>1025</v>
      </c>
      <c r="C77" s="70" t="s">
        <v>1026</v>
      </c>
      <c r="D77" s="83" t="s">
        <v>116</v>
      </c>
      <c r="E77" s="83" t="s">
        <v>287</v>
      </c>
      <c r="F77" s="70" t="s">
        <v>1027</v>
      </c>
      <c r="G77" s="83" t="s">
        <v>472</v>
      </c>
      <c r="H77" s="83" t="s">
        <v>160</v>
      </c>
      <c r="I77" s="77">
        <v>613.06823499999996</v>
      </c>
      <c r="J77" s="79">
        <v>11980</v>
      </c>
      <c r="K77" s="70"/>
      <c r="L77" s="77">
        <v>73.445574542000003</v>
      </c>
      <c r="M77" s="78">
        <v>6.4209376248631244E-5</v>
      </c>
      <c r="N77" s="78">
        <f t="shared" si="1"/>
        <v>2.1229730791380665E-3</v>
      </c>
      <c r="O77" s="78">
        <f>L77/'סכום נכסי הקרן'!$C$42</f>
        <v>2.0242907231863694E-5</v>
      </c>
    </row>
    <row r="78" spans="2:15">
      <c r="B78" s="76" t="s">
        <v>1028</v>
      </c>
      <c r="C78" s="70" t="s">
        <v>1029</v>
      </c>
      <c r="D78" s="83" t="s">
        <v>116</v>
      </c>
      <c r="E78" s="83" t="s">
        <v>287</v>
      </c>
      <c r="F78" s="70" t="s">
        <v>789</v>
      </c>
      <c r="G78" s="83" t="s">
        <v>187</v>
      </c>
      <c r="H78" s="83" t="s">
        <v>160</v>
      </c>
      <c r="I78" s="77">
        <v>8686.2676719999999</v>
      </c>
      <c r="J78" s="79">
        <v>1536</v>
      </c>
      <c r="K78" s="70"/>
      <c r="L78" s="77">
        <v>133.42107143999999</v>
      </c>
      <c r="M78" s="78">
        <v>4.7305094093527785E-5</v>
      </c>
      <c r="N78" s="78">
        <f t="shared" si="1"/>
        <v>3.8565882917138868E-3</v>
      </c>
      <c r="O78" s="78">
        <f>L78/'סכום נכסי הקרן'!$C$42</f>
        <v>3.6773221378931451E-5</v>
      </c>
    </row>
    <row r="79" spans="2:15">
      <c r="B79" s="76" t="s">
        <v>1030</v>
      </c>
      <c r="C79" s="70" t="s">
        <v>1031</v>
      </c>
      <c r="D79" s="83" t="s">
        <v>116</v>
      </c>
      <c r="E79" s="83" t="s">
        <v>287</v>
      </c>
      <c r="F79" s="70" t="s">
        <v>1032</v>
      </c>
      <c r="G79" s="83" t="s">
        <v>1033</v>
      </c>
      <c r="H79" s="83" t="s">
        <v>160</v>
      </c>
      <c r="I79" s="77">
        <v>760.44014200000004</v>
      </c>
      <c r="J79" s="79">
        <v>2647</v>
      </c>
      <c r="K79" s="70"/>
      <c r="L79" s="77">
        <v>20.128850568000001</v>
      </c>
      <c r="M79" s="78">
        <v>1.7080954734535007E-5</v>
      </c>
      <c r="N79" s="78">
        <f t="shared" si="1"/>
        <v>5.81832304210787E-4</v>
      </c>
      <c r="O79" s="78">
        <f>L79/'סכום נכסי הקרן'!$C$42</f>
        <v>5.547869388632262E-6</v>
      </c>
    </row>
    <row r="80" spans="2:15">
      <c r="B80" s="76" t="s">
        <v>1034</v>
      </c>
      <c r="C80" s="70" t="s">
        <v>1035</v>
      </c>
      <c r="D80" s="83" t="s">
        <v>116</v>
      </c>
      <c r="E80" s="83" t="s">
        <v>287</v>
      </c>
      <c r="F80" s="70" t="s">
        <v>1036</v>
      </c>
      <c r="G80" s="83" t="s">
        <v>903</v>
      </c>
      <c r="H80" s="83" t="s">
        <v>160</v>
      </c>
      <c r="I80" s="77">
        <v>792.49624500000004</v>
      </c>
      <c r="J80" s="79">
        <v>4281</v>
      </c>
      <c r="K80" s="70"/>
      <c r="L80" s="77">
        <v>33.926764243999997</v>
      </c>
      <c r="M80" s="78">
        <v>2.0466228973949092E-5</v>
      </c>
      <c r="N80" s="78">
        <f t="shared" si="1"/>
        <v>9.8066639959481757E-4</v>
      </c>
      <c r="O80" s="78">
        <f>L80/'סכום נכסי הקרן'!$C$42</f>
        <v>9.3508199173507399E-6</v>
      </c>
    </row>
    <row r="81" spans="2:15">
      <c r="B81" s="76" t="s">
        <v>1037</v>
      </c>
      <c r="C81" s="70" t="s">
        <v>1038</v>
      </c>
      <c r="D81" s="83" t="s">
        <v>116</v>
      </c>
      <c r="E81" s="83" t="s">
        <v>287</v>
      </c>
      <c r="F81" s="70" t="s">
        <v>1039</v>
      </c>
      <c r="G81" s="83" t="s">
        <v>672</v>
      </c>
      <c r="H81" s="83" t="s">
        <v>160</v>
      </c>
      <c r="I81" s="77">
        <v>992.28515600000003</v>
      </c>
      <c r="J81" s="79">
        <v>9394</v>
      </c>
      <c r="K81" s="70"/>
      <c r="L81" s="77">
        <v>93.215267596000004</v>
      </c>
      <c r="M81" s="78">
        <v>7.889345844741903E-5</v>
      </c>
      <c r="N81" s="78">
        <f t="shared" si="1"/>
        <v>2.6944237948304584E-3</v>
      </c>
      <c r="O81" s="78">
        <f>L81/'סכום נכסי הקרן'!$C$42</f>
        <v>2.5691786418800806E-5</v>
      </c>
    </row>
    <row r="82" spans="2:15">
      <c r="B82" s="76" t="s">
        <v>1040</v>
      </c>
      <c r="C82" s="70" t="s">
        <v>1041</v>
      </c>
      <c r="D82" s="83" t="s">
        <v>116</v>
      </c>
      <c r="E82" s="83" t="s">
        <v>287</v>
      </c>
      <c r="F82" s="70" t="s">
        <v>461</v>
      </c>
      <c r="G82" s="83" t="s">
        <v>352</v>
      </c>
      <c r="H82" s="83" t="s">
        <v>160</v>
      </c>
      <c r="I82" s="77">
        <v>13618.965905999999</v>
      </c>
      <c r="J82" s="79">
        <v>1264</v>
      </c>
      <c r="K82" s="70"/>
      <c r="L82" s="77">
        <v>172.14372905600001</v>
      </c>
      <c r="M82" s="78">
        <v>7.6301643984355534E-5</v>
      </c>
      <c r="N82" s="78">
        <f t="shared" si="1"/>
        <v>4.9758818663653906E-3</v>
      </c>
      <c r="O82" s="78">
        <f>L82/'סכום נכסי הקרן'!$C$42</f>
        <v>4.7445874847571106E-5</v>
      </c>
    </row>
    <row r="83" spans="2:15">
      <c r="B83" s="76" t="s">
        <v>1042</v>
      </c>
      <c r="C83" s="70" t="s">
        <v>1043</v>
      </c>
      <c r="D83" s="83" t="s">
        <v>116</v>
      </c>
      <c r="E83" s="83" t="s">
        <v>287</v>
      </c>
      <c r="F83" s="70" t="s">
        <v>1044</v>
      </c>
      <c r="G83" s="83" t="s">
        <v>147</v>
      </c>
      <c r="H83" s="83" t="s">
        <v>160</v>
      </c>
      <c r="I83" s="77">
        <v>656.84932900000001</v>
      </c>
      <c r="J83" s="79">
        <v>19180</v>
      </c>
      <c r="K83" s="70"/>
      <c r="L83" s="77">
        <v>125.98370136599999</v>
      </c>
      <c r="M83" s="78">
        <v>4.7682143761175119E-5</v>
      </c>
      <c r="N83" s="78">
        <f t="shared" si="1"/>
        <v>3.6416081986973916E-3</v>
      </c>
      <c r="O83" s="78">
        <f>L83/'סכום נכסי הקרן'!$C$42</f>
        <v>3.4723349846223564E-5</v>
      </c>
    </row>
    <row r="84" spans="2:15">
      <c r="B84" s="76" t="s">
        <v>1045</v>
      </c>
      <c r="C84" s="70" t="s">
        <v>1046</v>
      </c>
      <c r="D84" s="83" t="s">
        <v>116</v>
      </c>
      <c r="E84" s="83" t="s">
        <v>287</v>
      </c>
      <c r="F84" s="70" t="s">
        <v>1047</v>
      </c>
      <c r="G84" s="83" t="s">
        <v>142</v>
      </c>
      <c r="H84" s="83" t="s">
        <v>160</v>
      </c>
      <c r="I84" s="77">
        <v>71371.587274000005</v>
      </c>
      <c r="J84" s="79">
        <v>83.7</v>
      </c>
      <c r="K84" s="70"/>
      <c r="L84" s="77">
        <v>59.738018547999999</v>
      </c>
      <c r="M84" s="78">
        <v>6.3508134588681402E-5</v>
      </c>
      <c r="N84" s="78">
        <f t="shared" si="1"/>
        <v>1.7267508079187393E-3</v>
      </c>
      <c r="O84" s="78">
        <f>L84/'סכום נכסי הקרן'!$C$42</f>
        <v>1.6464860888125974E-5</v>
      </c>
    </row>
    <row r="85" spans="2:15">
      <c r="B85" s="76" t="s">
        <v>1048</v>
      </c>
      <c r="C85" s="70" t="s">
        <v>1049</v>
      </c>
      <c r="D85" s="83" t="s">
        <v>116</v>
      </c>
      <c r="E85" s="83" t="s">
        <v>287</v>
      </c>
      <c r="F85" s="70" t="s">
        <v>1050</v>
      </c>
      <c r="G85" s="83" t="s">
        <v>147</v>
      </c>
      <c r="H85" s="83" t="s">
        <v>160</v>
      </c>
      <c r="I85" s="77">
        <v>323.493133</v>
      </c>
      <c r="J85" s="79">
        <v>16990</v>
      </c>
      <c r="K85" s="70"/>
      <c r="L85" s="77">
        <v>54.961483272999999</v>
      </c>
      <c r="M85" s="78">
        <v>3.7947156377979062E-5</v>
      </c>
      <c r="N85" s="78">
        <f t="shared" si="1"/>
        <v>1.5886831862327042E-3</v>
      </c>
      <c r="O85" s="78">
        <f>L85/'סכום נכסי הקרן'!$C$42</f>
        <v>1.5148362772827596E-5</v>
      </c>
    </row>
    <row r="86" spans="2:15">
      <c r="B86" s="73"/>
      <c r="C86" s="70"/>
      <c r="D86" s="70"/>
      <c r="E86" s="70"/>
      <c r="F86" s="70"/>
      <c r="G86" s="70"/>
      <c r="H86" s="70"/>
      <c r="I86" s="77"/>
      <c r="J86" s="79"/>
      <c r="K86" s="70"/>
      <c r="L86" s="70"/>
      <c r="M86" s="70"/>
      <c r="N86" s="78"/>
      <c r="O86" s="70"/>
    </row>
    <row r="87" spans="2:15">
      <c r="B87" s="89" t="s">
        <v>27</v>
      </c>
      <c r="C87" s="72"/>
      <c r="D87" s="72"/>
      <c r="E87" s="72"/>
      <c r="F87" s="72"/>
      <c r="G87" s="72"/>
      <c r="H87" s="72"/>
      <c r="I87" s="80"/>
      <c r="J87" s="82"/>
      <c r="K87" s="72"/>
      <c r="L87" s="80">
        <f>SUM(L88:L129)</f>
        <v>1326.4663742459998</v>
      </c>
      <c r="M87" s="72"/>
      <c r="N87" s="81">
        <f t="shared" ref="N87:N129" si="2">L87/$L$11</f>
        <v>3.8342029733810193E-2</v>
      </c>
      <c r="O87" s="81">
        <f>L87/'סכום נכסי הקרן'!$C$42</f>
        <v>3.655977358403433E-4</v>
      </c>
    </row>
    <row r="88" spans="2:15">
      <c r="B88" s="76" t="s">
        <v>1051</v>
      </c>
      <c r="C88" s="70" t="s">
        <v>1052</v>
      </c>
      <c r="D88" s="83" t="s">
        <v>116</v>
      </c>
      <c r="E88" s="83" t="s">
        <v>287</v>
      </c>
      <c r="F88" s="70" t="s">
        <v>1053</v>
      </c>
      <c r="G88" s="83" t="s">
        <v>1054</v>
      </c>
      <c r="H88" s="83" t="s">
        <v>160</v>
      </c>
      <c r="I88" s="77">
        <v>27716.023426</v>
      </c>
      <c r="J88" s="79">
        <v>357.5</v>
      </c>
      <c r="K88" s="70"/>
      <c r="L88" s="77">
        <v>99.084783754000014</v>
      </c>
      <c r="M88" s="78">
        <v>9.3366125218494861E-5</v>
      </c>
      <c r="N88" s="78">
        <f t="shared" si="2"/>
        <v>2.864084456738334E-3</v>
      </c>
      <c r="O88" s="78">
        <f>L88/'סכום נכסי הקרן'!$C$42</f>
        <v>2.7309529513919137E-5</v>
      </c>
    </row>
    <row r="89" spans="2:15">
      <c r="B89" s="76" t="s">
        <v>1055</v>
      </c>
      <c r="C89" s="70" t="s">
        <v>1056</v>
      </c>
      <c r="D89" s="83" t="s">
        <v>116</v>
      </c>
      <c r="E89" s="83" t="s">
        <v>287</v>
      </c>
      <c r="F89" s="70" t="s">
        <v>1057</v>
      </c>
      <c r="G89" s="83" t="s">
        <v>961</v>
      </c>
      <c r="H89" s="83" t="s">
        <v>160</v>
      </c>
      <c r="I89" s="77">
        <v>382.640578</v>
      </c>
      <c r="J89" s="79">
        <v>2871</v>
      </c>
      <c r="K89" s="70"/>
      <c r="L89" s="77">
        <v>10.985610992</v>
      </c>
      <c r="M89" s="78">
        <v>8.2851813398354785E-5</v>
      </c>
      <c r="N89" s="78">
        <f t="shared" si="2"/>
        <v>3.1754338555228275E-4</v>
      </c>
      <c r="O89" s="78">
        <f>L89/'סכום נכסי הקרן'!$C$42</f>
        <v>3.0278298669885033E-6</v>
      </c>
    </row>
    <row r="90" spans="2:15">
      <c r="B90" s="76" t="s">
        <v>1058</v>
      </c>
      <c r="C90" s="70" t="s">
        <v>1059</v>
      </c>
      <c r="D90" s="83" t="s">
        <v>116</v>
      </c>
      <c r="E90" s="83" t="s">
        <v>287</v>
      </c>
      <c r="F90" s="70" t="s">
        <v>1060</v>
      </c>
      <c r="G90" s="83" t="s">
        <v>152</v>
      </c>
      <c r="H90" s="83" t="s">
        <v>160</v>
      </c>
      <c r="I90" s="77">
        <v>5001.5219770000003</v>
      </c>
      <c r="J90" s="79">
        <v>232</v>
      </c>
      <c r="K90" s="70"/>
      <c r="L90" s="77">
        <v>11.603530987000001</v>
      </c>
      <c r="M90" s="78">
        <v>9.1208588027234474E-5</v>
      </c>
      <c r="N90" s="78">
        <f t="shared" si="2"/>
        <v>3.3540460486504014E-4</v>
      </c>
      <c r="O90" s="78">
        <f>L90/'סכום נכסי הקרן'!$C$42</f>
        <v>3.1981396128581567E-6</v>
      </c>
    </row>
    <row r="91" spans="2:15">
      <c r="B91" s="76" t="s">
        <v>1061</v>
      </c>
      <c r="C91" s="70" t="s">
        <v>1062</v>
      </c>
      <c r="D91" s="83" t="s">
        <v>116</v>
      </c>
      <c r="E91" s="83" t="s">
        <v>287</v>
      </c>
      <c r="F91" s="70" t="s">
        <v>1063</v>
      </c>
      <c r="G91" s="83" t="s">
        <v>152</v>
      </c>
      <c r="H91" s="83" t="s">
        <v>160</v>
      </c>
      <c r="I91" s="77">
        <v>1592.0483389999999</v>
      </c>
      <c r="J91" s="79">
        <v>1779</v>
      </c>
      <c r="K91" s="70"/>
      <c r="L91" s="77">
        <v>28.322539941999999</v>
      </c>
      <c r="M91" s="78">
        <v>1.1993058843753569E-4</v>
      </c>
      <c r="N91" s="78">
        <f t="shared" si="2"/>
        <v>8.1867410262131317E-4</v>
      </c>
      <c r="O91" s="78">
        <f>L91/'סכום נכסי הקרן'!$C$42</f>
        <v>7.8061959783403941E-6</v>
      </c>
    </row>
    <row r="92" spans="2:15">
      <c r="B92" s="76" t="s">
        <v>1064</v>
      </c>
      <c r="C92" s="70" t="s">
        <v>1065</v>
      </c>
      <c r="D92" s="83" t="s">
        <v>116</v>
      </c>
      <c r="E92" s="83" t="s">
        <v>287</v>
      </c>
      <c r="F92" s="70" t="s">
        <v>1066</v>
      </c>
      <c r="G92" s="83" t="s">
        <v>147</v>
      </c>
      <c r="H92" s="83" t="s">
        <v>160</v>
      </c>
      <c r="I92" s="77">
        <v>437.39552200000003</v>
      </c>
      <c r="J92" s="79">
        <v>9430</v>
      </c>
      <c r="K92" s="70"/>
      <c r="L92" s="77">
        <v>41.246398133</v>
      </c>
      <c r="M92" s="78">
        <v>3.8774060685660773E-5</v>
      </c>
      <c r="N92" s="78">
        <f t="shared" si="2"/>
        <v>1.1922432821012978E-3</v>
      </c>
      <c r="O92" s="78">
        <f>L92/'סכום נכסי הקרן'!$C$42</f>
        <v>1.1368241262478908E-5</v>
      </c>
    </row>
    <row r="93" spans="2:15">
      <c r="B93" s="76" t="s">
        <v>1067</v>
      </c>
      <c r="C93" s="70" t="s">
        <v>1068</v>
      </c>
      <c r="D93" s="83" t="s">
        <v>116</v>
      </c>
      <c r="E93" s="83" t="s">
        <v>287</v>
      </c>
      <c r="F93" s="70" t="s">
        <v>1069</v>
      </c>
      <c r="G93" s="83" t="s">
        <v>1070</v>
      </c>
      <c r="H93" s="83" t="s">
        <v>160</v>
      </c>
      <c r="I93" s="77">
        <v>23483.943012</v>
      </c>
      <c r="J93" s="79">
        <v>222.7</v>
      </c>
      <c r="K93" s="70"/>
      <c r="L93" s="77">
        <v>52.298741091999993</v>
      </c>
      <c r="M93" s="78">
        <v>5.5504079152015301E-5</v>
      </c>
      <c r="N93" s="78">
        <f t="shared" si="2"/>
        <v>1.511715581278974E-3</v>
      </c>
      <c r="O93" s="78">
        <f>L93/'סכום נכסי הקרן'!$C$42</f>
        <v>1.4414463646998989E-5</v>
      </c>
    </row>
    <row r="94" spans="2:15">
      <c r="B94" s="76" t="s">
        <v>1071</v>
      </c>
      <c r="C94" s="70" t="s">
        <v>1072</v>
      </c>
      <c r="D94" s="83" t="s">
        <v>116</v>
      </c>
      <c r="E94" s="83" t="s">
        <v>287</v>
      </c>
      <c r="F94" s="70" t="s">
        <v>1073</v>
      </c>
      <c r="G94" s="83" t="s">
        <v>1074</v>
      </c>
      <c r="H94" s="83" t="s">
        <v>160</v>
      </c>
      <c r="I94" s="77">
        <v>2505.9228269999999</v>
      </c>
      <c r="J94" s="79">
        <v>416</v>
      </c>
      <c r="K94" s="70"/>
      <c r="L94" s="77">
        <v>10.424638958999999</v>
      </c>
      <c r="M94" s="78">
        <v>1.2981812195570755E-4</v>
      </c>
      <c r="N94" s="78">
        <f t="shared" si="2"/>
        <v>3.0132826937088076E-4</v>
      </c>
      <c r="O94" s="78">
        <f>L94/'סכום נכסי הקרן'!$C$42</f>
        <v>2.8732159927761747E-6</v>
      </c>
    </row>
    <row r="95" spans="2:15">
      <c r="B95" s="76" t="s">
        <v>1075</v>
      </c>
      <c r="C95" s="70" t="s">
        <v>1076</v>
      </c>
      <c r="D95" s="83" t="s">
        <v>116</v>
      </c>
      <c r="E95" s="83" t="s">
        <v>287</v>
      </c>
      <c r="F95" s="70" t="s">
        <v>1077</v>
      </c>
      <c r="G95" s="83" t="s">
        <v>186</v>
      </c>
      <c r="H95" s="83" t="s">
        <v>160</v>
      </c>
      <c r="I95" s="77">
        <v>292.17950999999999</v>
      </c>
      <c r="J95" s="79">
        <v>17450</v>
      </c>
      <c r="K95" s="70"/>
      <c r="L95" s="77">
        <v>50.985324495</v>
      </c>
      <c r="M95" s="78">
        <v>3.4473892336454335E-5</v>
      </c>
      <c r="N95" s="78">
        <f t="shared" si="2"/>
        <v>1.4737507604642142E-3</v>
      </c>
      <c r="O95" s="78">
        <f>L95/'סכום נכסי הקרן'!$C$42</f>
        <v>1.4052462661974945E-5</v>
      </c>
    </row>
    <row r="96" spans="2:15">
      <c r="B96" s="76" t="s">
        <v>1078</v>
      </c>
      <c r="C96" s="70" t="s">
        <v>1079</v>
      </c>
      <c r="D96" s="83" t="s">
        <v>116</v>
      </c>
      <c r="E96" s="83" t="s">
        <v>287</v>
      </c>
      <c r="F96" s="70" t="s">
        <v>1080</v>
      </c>
      <c r="G96" s="83" t="s">
        <v>185</v>
      </c>
      <c r="H96" s="83" t="s">
        <v>160</v>
      </c>
      <c r="I96" s="77">
        <v>1504.0480869999999</v>
      </c>
      <c r="J96" s="79">
        <v>614</v>
      </c>
      <c r="K96" s="70"/>
      <c r="L96" s="77">
        <v>9.2348552579999996</v>
      </c>
      <c r="M96" s="78">
        <v>3.4924690053866126E-5</v>
      </c>
      <c r="N96" s="78">
        <f t="shared" si="2"/>
        <v>2.6693710580559575E-4</v>
      </c>
      <c r="O96" s="78">
        <f>L96/'סכום נכסי הקרן'!$C$42</f>
        <v>2.5452904338093297E-6</v>
      </c>
    </row>
    <row r="97" spans="2:15">
      <c r="B97" s="76" t="s">
        <v>1081</v>
      </c>
      <c r="C97" s="70" t="s">
        <v>1082</v>
      </c>
      <c r="D97" s="83" t="s">
        <v>116</v>
      </c>
      <c r="E97" s="83" t="s">
        <v>287</v>
      </c>
      <c r="F97" s="70" t="s">
        <v>1083</v>
      </c>
      <c r="G97" s="83" t="s">
        <v>642</v>
      </c>
      <c r="H97" s="83" t="s">
        <v>160</v>
      </c>
      <c r="I97" s="77">
        <v>1576.6911540000001</v>
      </c>
      <c r="J97" s="79">
        <v>1331</v>
      </c>
      <c r="K97" s="70"/>
      <c r="L97" s="77">
        <v>20.985759264000002</v>
      </c>
      <c r="M97" s="78">
        <v>5.6322922161191985E-5</v>
      </c>
      <c r="N97" s="78">
        <f t="shared" si="2"/>
        <v>6.0660158546744049E-4</v>
      </c>
      <c r="O97" s="78">
        <f>L97/'סכום נכסי הקרן'!$C$42</f>
        <v>5.7840486730544404E-6</v>
      </c>
    </row>
    <row r="98" spans="2:15">
      <c r="B98" s="76" t="s">
        <v>1084</v>
      </c>
      <c r="C98" s="70" t="s">
        <v>1085</v>
      </c>
      <c r="D98" s="83" t="s">
        <v>116</v>
      </c>
      <c r="E98" s="83" t="s">
        <v>287</v>
      </c>
      <c r="F98" s="70" t="s">
        <v>1086</v>
      </c>
      <c r="G98" s="83" t="s">
        <v>152</v>
      </c>
      <c r="H98" s="83" t="s">
        <v>160</v>
      </c>
      <c r="I98" s="77">
        <v>841.70156600000007</v>
      </c>
      <c r="J98" s="79">
        <v>1535</v>
      </c>
      <c r="K98" s="70"/>
      <c r="L98" s="77">
        <v>12.920119037999999</v>
      </c>
      <c r="M98" s="78">
        <v>1.2664454656837853E-4</v>
      </c>
      <c r="N98" s="78">
        <f t="shared" si="2"/>
        <v>3.734610977989946E-4</v>
      </c>
      <c r="O98" s="78">
        <f>L98/'סכום נכסי הקרן'!$C$42</f>
        <v>3.5610147070373495E-6</v>
      </c>
    </row>
    <row r="99" spans="2:15">
      <c r="B99" s="76" t="s">
        <v>1087</v>
      </c>
      <c r="C99" s="70" t="s">
        <v>1088</v>
      </c>
      <c r="D99" s="83" t="s">
        <v>116</v>
      </c>
      <c r="E99" s="83" t="s">
        <v>287</v>
      </c>
      <c r="F99" s="70" t="s">
        <v>1089</v>
      </c>
      <c r="G99" s="83" t="s">
        <v>1074</v>
      </c>
      <c r="H99" s="83" t="s">
        <v>160</v>
      </c>
      <c r="I99" s="77">
        <v>366.95232600000003</v>
      </c>
      <c r="J99" s="79">
        <v>9180</v>
      </c>
      <c r="K99" s="70"/>
      <c r="L99" s="77">
        <v>33.686223497999997</v>
      </c>
      <c r="M99" s="78">
        <v>7.2557533735727344E-5</v>
      </c>
      <c r="N99" s="78">
        <f t="shared" si="2"/>
        <v>9.7371347518271747E-4</v>
      </c>
      <c r="O99" s="78">
        <f>L99/'סכום נכסי הקרן'!$C$42</f>
        <v>9.2845226075791784E-6</v>
      </c>
    </row>
    <row r="100" spans="2:15">
      <c r="B100" s="76" t="s">
        <v>1090</v>
      </c>
      <c r="C100" s="70" t="s">
        <v>1091</v>
      </c>
      <c r="D100" s="83" t="s">
        <v>116</v>
      </c>
      <c r="E100" s="83" t="s">
        <v>287</v>
      </c>
      <c r="F100" s="70" t="s">
        <v>1092</v>
      </c>
      <c r="G100" s="83" t="s">
        <v>606</v>
      </c>
      <c r="H100" s="83" t="s">
        <v>160</v>
      </c>
      <c r="I100" s="77">
        <v>970.77730699999995</v>
      </c>
      <c r="J100" s="79">
        <v>8510</v>
      </c>
      <c r="K100" s="70"/>
      <c r="L100" s="77">
        <v>82.613148834</v>
      </c>
      <c r="M100" s="78">
        <v>7.6780523027735278E-5</v>
      </c>
      <c r="N100" s="78">
        <f t="shared" si="2"/>
        <v>2.3879654022872922E-3</v>
      </c>
      <c r="O100" s="78">
        <f>L100/'סכום נכסי הקרן'!$C$42</f>
        <v>2.2769653834248172E-5</v>
      </c>
    </row>
    <row r="101" spans="2:15">
      <c r="B101" s="76" t="s">
        <v>1093</v>
      </c>
      <c r="C101" s="70" t="s">
        <v>1094</v>
      </c>
      <c r="D101" s="83" t="s">
        <v>116</v>
      </c>
      <c r="E101" s="83" t="s">
        <v>287</v>
      </c>
      <c r="F101" s="70" t="s">
        <v>1095</v>
      </c>
      <c r="G101" s="83" t="s">
        <v>797</v>
      </c>
      <c r="H101" s="83" t="s">
        <v>160</v>
      </c>
      <c r="I101" s="77">
        <v>139.892112</v>
      </c>
      <c r="J101" s="79">
        <v>0</v>
      </c>
      <c r="K101" s="70"/>
      <c r="L101" s="77">
        <v>1.37E-7</v>
      </c>
      <c r="M101" s="78">
        <v>8.8487171166863068E-5</v>
      </c>
      <c r="N101" s="78">
        <f t="shared" si="2"/>
        <v>3.9600386225529968E-12</v>
      </c>
      <c r="O101" s="78">
        <f>L101/'סכום נכסי הקרן'!$C$42</f>
        <v>3.7759637773402138E-14</v>
      </c>
    </row>
    <row r="102" spans="2:15">
      <c r="B102" s="76" t="s">
        <v>1096</v>
      </c>
      <c r="C102" s="70" t="s">
        <v>1097</v>
      </c>
      <c r="D102" s="83" t="s">
        <v>116</v>
      </c>
      <c r="E102" s="83" t="s">
        <v>287</v>
      </c>
      <c r="F102" s="70" t="s">
        <v>1098</v>
      </c>
      <c r="G102" s="83" t="s">
        <v>183</v>
      </c>
      <c r="H102" s="83" t="s">
        <v>160</v>
      </c>
      <c r="I102" s="77">
        <v>969.52609100000006</v>
      </c>
      <c r="J102" s="79">
        <v>508.5</v>
      </c>
      <c r="K102" s="70"/>
      <c r="L102" s="77">
        <v>4.9300401799999998</v>
      </c>
      <c r="M102" s="78">
        <v>1.6071595847456729E-4</v>
      </c>
      <c r="N102" s="78">
        <f t="shared" si="2"/>
        <v>1.4250474104772354E-4</v>
      </c>
      <c r="O102" s="78">
        <f>L102/'סכום נכסי הקרן'!$C$42</f>
        <v>1.3588067985775057E-6</v>
      </c>
    </row>
    <row r="103" spans="2:15">
      <c r="B103" s="76" t="s">
        <v>1099</v>
      </c>
      <c r="C103" s="70" t="s">
        <v>1100</v>
      </c>
      <c r="D103" s="83" t="s">
        <v>116</v>
      </c>
      <c r="E103" s="83" t="s">
        <v>287</v>
      </c>
      <c r="F103" s="70" t="s">
        <v>1101</v>
      </c>
      <c r="G103" s="83" t="s">
        <v>186</v>
      </c>
      <c r="H103" s="83" t="s">
        <v>160</v>
      </c>
      <c r="I103" s="77">
        <v>2215.351244</v>
      </c>
      <c r="J103" s="79">
        <v>1214</v>
      </c>
      <c r="K103" s="70"/>
      <c r="L103" s="77">
        <v>26.894364091</v>
      </c>
      <c r="M103" s="78">
        <v>1.3606628491435508E-4</v>
      </c>
      <c r="N103" s="78">
        <f t="shared" si="2"/>
        <v>7.7739212065228039E-4</v>
      </c>
      <c r="O103" s="78">
        <f>L103/'סכום נכסי הקרן'!$C$42</f>
        <v>7.4125653008916325E-6</v>
      </c>
    </row>
    <row r="104" spans="2:15">
      <c r="B104" s="76" t="s">
        <v>1102</v>
      </c>
      <c r="C104" s="70" t="s">
        <v>1103</v>
      </c>
      <c r="D104" s="83" t="s">
        <v>116</v>
      </c>
      <c r="E104" s="83" t="s">
        <v>287</v>
      </c>
      <c r="F104" s="70" t="s">
        <v>1104</v>
      </c>
      <c r="G104" s="83" t="s">
        <v>472</v>
      </c>
      <c r="H104" s="83" t="s">
        <v>160</v>
      </c>
      <c r="I104" s="77">
        <v>3101.3247879999999</v>
      </c>
      <c r="J104" s="79">
        <v>586.29999999999995</v>
      </c>
      <c r="K104" s="70"/>
      <c r="L104" s="77">
        <v>18.183067244999997</v>
      </c>
      <c r="M104" s="78">
        <v>9.0597670741489247E-5</v>
      </c>
      <c r="N104" s="78">
        <f t="shared" si="2"/>
        <v>5.2558867566918467E-4</v>
      </c>
      <c r="O104" s="78">
        <f>L104/'סכום נכסי הקרן'!$C$42</f>
        <v>5.0115768816103142E-6</v>
      </c>
    </row>
    <row r="105" spans="2:15">
      <c r="B105" s="76" t="s">
        <v>1105</v>
      </c>
      <c r="C105" s="70" t="s">
        <v>1106</v>
      </c>
      <c r="D105" s="83" t="s">
        <v>116</v>
      </c>
      <c r="E105" s="83" t="s">
        <v>287</v>
      </c>
      <c r="F105" s="70" t="s">
        <v>1107</v>
      </c>
      <c r="G105" s="83" t="s">
        <v>472</v>
      </c>
      <c r="H105" s="83" t="s">
        <v>160</v>
      </c>
      <c r="I105" s="77">
        <v>1936.232364</v>
      </c>
      <c r="J105" s="79">
        <v>1114</v>
      </c>
      <c r="K105" s="70"/>
      <c r="L105" s="77">
        <v>21.569628534</v>
      </c>
      <c r="M105" s="78">
        <v>1.2755349696737768E-4</v>
      </c>
      <c r="N105" s="78">
        <f t="shared" si="2"/>
        <v>6.2347855524643185E-4</v>
      </c>
      <c r="O105" s="78">
        <f>L105/'סכום נכסי הקרן'!$C$42</f>
        <v>5.9449734332166349E-6</v>
      </c>
    </row>
    <row r="106" spans="2:15">
      <c r="B106" s="76" t="s">
        <v>1108</v>
      </c>
      <c r="C106" s="70" t="s">
        <v>1109</v>
      </c>
      <c r="D106" s="83" t="s">
        <v>116</v>
      </c>
      <c r="E106" s="83" t="s">
        <v>287</v>
      </c>
      <c r="F106" s="70" t="s">
        <v>1110</v>
      </c>
      <c r="G106" s="83" t="s">
        <v>416</v>
      </c>
      <c r="H106" s="83" t="s">
        <v>160</v>
      </c>
      <c r="I106" s="77">
        <v>104277.936728</v>
      </c>
      <c r="J106" s="79">
        <v>75</v>
      </c>
      <c r="K106" s="70"/>
      <c r="L106" s="77">
        <v>78.208452546000004</v>
      </c>
      <c r="M106" s="78">
        <v>1.1053855285068695E-4</v>
      </c>
      <c r="N106" s="78">
        <f t="shared" si="2"/>
        <v>2.2606459320603156E-3</v>
      </c>
      <c r="O106" s="78">
        <f>L106/'סכום נכסי הקרן'!$C$42</f>
        <v>2.1555641160257447E-5</v>
      </c>
    </row>
    <row r="107" spans="2:15">
      <c r="B107" s="76" t="s">
        <v>1111</v>
      </c>
      <c r="C107" s="70" t="s">
        <v>1112</v>
      </c>
      <c r="D107" s="83" t="s">
        <v>116</v>
      </c>
      <c r="E107" s="83" t="s">
        <v>287</v>
      </c>
      <c r="F107" s="70" t="s">
        <v>1113</v>
      </c>
      <c r="G107" s="83" t="s">
        <v>142</v>
      </c>
      <c r="H107" s="83" t="s">
        <v>160</v>
      </c>
      <c r="I107" s="77">
        <v>1822.398081</v>
      </c>
      <c r="J107" s="79">
        <v>468.6</v>
      </c>
      <c r="K107" s="70"/>
      <c r="L107" s="77">
        <v>8.5397574079999998</v>
      </c>
      <c r="M107" s="78">
        <v>9.1115348282585874E-5</v>
      </c>
      <c r="N107" s="78">
        <f t="shared" si="2"/>
        <v>2.4684503038622678E-4</v>
      </c>
      <c r="O107" s="78">
        <f>L107/'סכום נכסי הקרן'!$C$42</f>
        <v>2.353709097801515E-6</v>
      </c>
    </row>
    <row r="108" spans="2:15">
      <c r="B108" s="76" t="s">
        <v>1114</v>
      </c>
      <c r="C108" s="70" t="s">
        <v>1115</v>
      </c>
      <c r="D108" s="83" t="s">
        <v>116</v>
      </c>
      <c r="E108" s="83" t="s">
        <v>287</v>
      </c>
      <c r="F108" s="70" t="s">
        <v>1116</v>
      </c>
      <c r="G108" s="83" t="s">
        <v>672</v>
      </c>
      <c r="H108" s="83" t="s">
        <v>160</v>
      </c>
      <c r="I108" s="77">
        <v>1343.1606650000001</v>
      </c>
      <c r="J108" s="79">
        <v>1813</v>
      </c>
      <c r="K108" s="70"/>
      <c r="L108" s="77">
        <v>24.351502864999997</v>
      </c>
      <c r="M108" s="78">
        <v>9.2590551240809705E-5</v>
      </c>
      <c r="N108" s="78">
        <f t="shared" si="2"/>
        <v>7.0388972162489002E-4</v>
      </c>
      <c r="O108" s="78">
        <f>L108/'סכום נכסי הקרן'!$C$42</f>
        <v>6.7117074994187179E-6</v>
      </c>
    </row>
    <row r="109" spans="2:15">
      <c r="B109" s="76" t="s">
        <v>1117</v>
      </c>
      <c r="C109" s="70" t="s">
        <v>1118</v>
      </c>
      <c r="D109" s="83" t="s">
        <v>116</v>
      </c>
      <c r="E109" s="83" t="s">
        <v>287</v>
      </c>
      <c r="F109" s="70" t="s">
        <v>1119</v>
      </c>
      <c r="G109" s="83" t="s">
        <v>152</v>
      </c>
      <c r="H109" s="83" t="s">
        <v>160</v>
      </c>
      <c r="I109" s="77">
        <v>1344.2743849999999</v>
      </c>
      <c r="J109" s="79">
        <v>418.2</v>
      </c>
      <c r="K109" s="70"/>
      <c r="L109" s="77">
        <v>5.6217554739999995</v>
      </c>
      <c r="M109" s="78">
        <v>1.1664313903488479E-4</v>
      </c>
      <c r="N109" s="78">
        <f t="shared" si="2"/>
        <v>1.6249904236196152E-4</v>
      </c>
      <c r="O109" s="78">
        <f>L109/'סכום נכסי הקרן'!$C$42</f>
        <v>1.5494558419626324E-6</v>
      </c>
    </row>
    <row r="110" spans="2:15">
      <c r="B110" s="76" t="s">
        <v>1120</v>
      </c>
      <c r="C110" s="70" t="s">
        <v>1121</v>
      </c>
      <c r="D110" s="83" t="s">
        <v>116</v>
      </c>
      <c r="E110" s="83" t="s">
        <v>287</v>
      </c>
      <c r="F110" s="70" t="s">
        <v>1122</v>
      </c>
      <c r="G110" s="83" t="s">
        <v>606</v>
      </c>
      <c r="H110" s="83" t="s">
        <v>160</v>
      </c>
      <c r="I110" s="77">
        <v>563.88353800000004</v>
      </c>
      <c r="J110" s="79">
        <v>12980</v>
      </c>
      <c r="K110" s="70"/>
      <c r="L110" s="77">
        <v>73.192083265999997</v>
      </c>
      <c r="M110" s="78">
        <v>1.5448051444965087E-4</v>
      </c>
      <c r="N110" s="78">
        <f t="shared" si="2"/>
        <v>2.1156458145874077E-3</v>
      </c>
      <c r="O110" s="78">
        <f>L110/'סכום נכסי הקרן'!$C$42</f>
        <v>2.0173040525582833E-5</v>
      </c>
    </row>
    <row r="111" spans="2:15">
      <c r="B111" s="76" t="s">
        <v>1123</v>
      </c>
      <c r="C111" s="70" t="s">
        <v>1124</v>
      </c>
      <c r="D111" s="83" t="s">
        <v>116</v>
      </c>
      <c r="E111" s="83" t="s">
        <v>287</v>
      </c>
      <c r="F111" s="70" t="s">
        <v>1125</v>
      </c>
      <c r="G111" s="83" t="s">
        <v>672</v>
      </c>
      <c r="H111" s="83" t="s">
        <v>160</v>
      </c>
      <c r="I111" s="77">
        <v>56.644061999999991</v>
      </c>
      <c r="J111" s="79">
        <v>11700</v>
      </c>
      <c r="K111" s="70"/>
      <c r="L111" s="77">
        <v>6.6273553080000012</v>
      </c>
      <c r="M111" s="78">
        <v>1.7036709913066071E-5</v>
      </c>
      <c r="N111" s="78">
        <f t="shared" si="2"/>
        <v>1.9156629916103368E-4</v>
      </c>
      <c r="O111" s="78">
        <f>L111/'סכום נכסי הקרן'!$C$42</f>
        <v>1.82661704982273E-6</v>
      </c>
    </row>
    <row r="112" spans="2:15">
      <c r="B112" s="76" t="s">
        <v>1126</v>
      </c>
      <c r="C112" s="70" t="s">
        <v>1127</v>
      </c>
      <c r="D112" s="83" t="s">
        <v>116</v>
      </c>
      <c r="E112" s="83" t="s">
        <v>287</v>
      </c>
      <c r="F112" s="70" t="s">
        <v>1128</v>
      </c>
      <c r="G112" s="83" t="s">
        <v>147</v>
      </c>
      <c r="H112" s="83" t="s">
        <v>160</v>
      </c>
      <c r="I112" s="77">
        <v>3642.8059039999998</v>
      </c>
      <c r="J112" s="79">
        <v>606.6</v>
      </c>
      <c r="K112" s="70"/>
      <c r="L112" s="77">
        <v>22.097260616</v>
      </c>
      <c r="M112" s="78">
        <v>9.1943363605757046E-5</v>
      </c>
      <c r="N112" s="78">
        <f t="shared" si="2"/>
        <v>6.3872996709473881E-4</v>
      </c>
      <c r="O112" s="78">
        <f>L112/'סכום נכסי הקרן'!$C$42</f>
        <v>6.090398223683394E-6</v>
      </c>
    </row>
    <row r="113" spans="2:15">
      <c r="B113" s="76" t="s">
        <v>1129</v>
      </c>
      <c r="C113" s="70" t="s">
        <v>1130</v>
      </c>
      <c r="D113" s="83" t="s">
        <v>116</v>
      </c>
      <c r="E113" s="83" t="s">
        <v>287</v>
      </c>
      <c r="F113" s="70" t="s">
        <v>653</v>
      </c>
      <c r="G113" s="83" t="s">
        <v>352</v>
      </c>
      <c r="H113" s="83" t="s">
        <v>160</v>
      </c>
      <c r="I113" s="77">
        <v>19096.623613</v>
      </c>
      <c r="J113" s="79">
        <v>150.19999999999999</v>
      </c>
      <c r="K113" s="70"/>
      <c r="L113" s="77">
        <v>28.683128667000002</v>
      </c>
      <c r="M113" s="78">
        <v>3.6598702581564905E-5</v>
      </c>
      <c r="N113" s="78">
        <f t="shared" si="2"/>
        <v>8.2909706085384713E-4</v>
      </c>
      <c r="O113" s="78">
        <f>L113/'סכום נכסי הקרן'!$C$42</f>
        <v>7.9055806472540666E-6</v>
      </c>
    </row>
    <row r="114" spans="2:15">
      <c r="B114" s="76" t="s">
        <v>1133</v>
      </c>
      <c r="C114" s="70" t="s">
        <v>1134</v>
      </c>
      <c r="D114" s="83" t="s">
        <v>116</v>
      </c>
      <c r="E114" s="83" t="s">
        <v>287</v>
      </c>
      <c r="F114" s="70" t="s">
        <v>1135</v>
      </c>
      <c r="G114" s="83" t="s">
        <v>147</v>
      </c>
      <c r="H114" s="83" t="s">
        <v>160</v>
      </c>
      <c r="I114" s="77">
        <v>5959.0435010000001</v>
      </c>
      <c r="J114" s="79">
        <v>37.4</v>
      </c>
      <c r="K114" s="70"/>
      <c r="L114" s="77">
        <v>2.2286822719999999</v>
      </c>
      <c r="M114" s="78">
        <v>3.4081907021084116E-5</v>
      </c>
      <c r="N114" s="78">
        <f t="shared" si="2"/>
        <v>6.4420933390650818E-5</v>
      </c>
      <c r="O114" s="78">
        <f>L114/'סכום נכסי הקרן'!$C$42</f>
        <v>6.1426449126075108E-7</v>
      </c>
    </row>
    <row r="115" spans="2:15">
      <c r="B115" s="76" t="s">
        <v>1136</v>
      </c>
      <c r="C115" s="70" t="s">
        <v>1137</v>
      </c>
      <c r="D115" s="83" t="s">
        <v>116</v>
      </c>
      <c r="E115" s="83" t="s">
        <v>287</v>
      </c>
      <c r="F115" s="70" t="s">
        <v>1138</v>
      </c>
      <c r="G115" s="83" t="s">
        <v>186</v>
      </c>
      <c r="H115" s="83" t="s">
        <v>160</v>
      </c>
      <c r="I115" s="77">
        <v>7404.9745849999999</v>
      </c>
      <c r="J115" s="79">
        <v>284.3</v>
      </c>
      <c r="K115" s="70"/>
      <c r="L115" s="77">
        <v>21.052342745999994</v>
      </c>
      <c r="M115" s="78">
        <v>5.7851363945312498E-5</v>
      </c>
      <c r="N115" s="78">
        <f t="shared" si="2"/>
        <v>6.0852620707579116E-4</v>
      </c>
      <c r="O115" s="78">
        <f>L115/'סכום נכסי הקרן'!$C$42</f>
        <v>5.8024002654778826E-6</v>
      </c>
    </row>
    <row r="116" spans="2:15">
      <c r="B116" s="76" t="s">
        <v>1139</v>
      </c>
      <c r="C116" s="70" t="s">
        <v>1140</v>
      </c>
      <c r="D116" s="83" t="s">
        <v>116</v>
      </c>
      <c r="E116" s="83" t="s">
        <v>287</v>
      </c>
      <c r="F116" s="70" t="s">
        <v>1141</v>
      </c>
      <c r="G116" s="83" t="s">
        <v>152</v>
      </c>
      <c r="H116" s="83" t="s">
        <v>160</v>
      </c>
      <c r="I116" s="77">
        <v>44891.959770999994</v>
      </c>
      <c r="J116" s="79">
        <v>257.2</v>
      </c>
      <c r="K116" s="70"/>
      <c r="L116" s="77">
        <v>115.46212053400001</v>
      </c>
      <c r="M116" s="78">
        <v>9.6857227768031525E-5</v>
      </c>
      <c r="N116" s="78">
        <f t="shared" si="2"/>
        <v>3.3374777865438645E-3</v>
      </c>
      <c r="O116" s="78">
        <f>L116/'סכום נכסי הקרן'!$C$42</f>
        <v>3.1823414948268159E-5</v>
      </c>
    </row>
    <row r="117" spans="2:15">
      <c r="B117" s="76" t="s">
        <v>1142</v>
      </c>
      <c r="C117" s="70" t="s">
        <v>1143</v>
      </c>
      <c r="D117" s="83" t="s">
        <v>116</v>
      </c>
      <c r="E117" s="83" t="s">
        <v>287</v>
      </c>
      <c r="F117" s="70" t="s">
        <v>1144</v>
      </c>
      <c r="G117" s="83" t="s">
        <v>416</v>
      </c>
      <c r="H117" s="83" t="s">
        <v>160</v>
      </c>
      <c r="I117" s="77">
        <v>825.69471199999998</v>
      </c>
      <c r="J117" s="79">
        <v>7627</v>
      </c>
      <c r="K117" s="70"/>
      <c r="L117" s="77">
        <v>62.975735688000007</v>
      </c>
      <c r="M117" s="78">
        <v>6.1162571259259252E-5</v>
      </c>
      <c r="N117" s="78">
        <f t="shared" si="2"/>
        <v>1.8203382891107235E-3</v>
      </c>
      <c r="O117" s="78">
        <f>L117/'סכום נכסי הקרן'!$C$42</f>
        <v>1.7357233343740103E-5</v>
      </c>
    </row>
    <row r="118" spans="2:15">
      <c r="B118" s="76" t="s">
        <v>1145</v>
      </c>
      <c r="C118" s="70" t="s">
        <v>1146</v>
      </c>
      <c r="D118" s="83" t="s">
        <v>116</v>
      </c>
      <c r="E118" s="83" t="s">
        <v>287</v>
      </c>
      <c r="F118" s="70" t="s">
        <v>1147</v>
      </c>
      <c r="G118" s="83" t="s">
        <v>1054</v>
      </c>
      <c r="H118" s="83" t="s">
        <v>160</v>
      </c>
      <c r="I118" s="77">
        <v>669.11704199999997</v>
      </c>
      <c r="J118" s="79">
        <v>5203</v>
      </c>
      <c r="K118" s="70"/>
      <c r="L118" s="77">
        <v>34.814159683999996</v>
      </c>
      <c r="M118" s="78">
        <v>6.3539389239734631E-5</v>
      </c>
      <c r="N118" s="78">
        <f t="shared" si="2"/>
        <v>1.0063169121194702E-3</v>
      </c>
      <c r="O118" s="78">
        <f>L118/'סכום נכסי הקרן'!$C$42</f>
        <v>9.5954018908994172E-6</v>
      </c>
    </row>
    <row r="119" spans="2:15">
      <c r="B119" s="76" t="s">
        <v>1148</v>
      </c>
      <c r="C119" s="70" t="s">
        <v>1149</v>
      </c>
      <c r="D119" s="83" t="s">
        <v>116</v>
      </c>
      <c r="E119" s="83" t="s">
        <v>287</v>
      </c>
      <c r="F119" s="70" t="s">
        <v>1150</v>
      </c>
      <c r="G119" s="83" t="s">
        <v>606</v>
      </c>
      <c r="H119" s="83" t="s">
        <v>160</v>
      </c>
      <c r="I119" s="77">
        <v>17.522784000000001</v>
      </c>
      <c r="J119" s="79">
        <v>243.7</v>
      </c>
      <c r="K119" s="70"/>
      <c r="L119" s="77">
        <v>4.2703032000000002E-2</v>
      </c>
      <c r="M119" s="78">
        <v>2.5559799772536422E-6</v>
      </c>
      <c r="N119" s="78">
        <f t="shared" si="2"/>
        <v>1.2343478541614347E-6</v>
      </c>
      <c r="O119" s="78">
        <f>L119/'סכום נכסי הקרן'!$C$42</f>
        <v>1.1769715475518251E-8</v>
      </c>
    </row>
    <row r="120" spans="2:15">
      <c r="B120" s="76" t="s">
        <v>1151</v>
      </c>
      <c r="C120" s="70" t="s">
        <v>1152</v>
      </c>
      <c r="D120" s="83" t="s">
        <v>116</v>
      </c>
      <c r="E120" s="83" t="s">
        <v>287</v>
      </c>
      <c r="F120" s="70" t="s">
        <v>1153</v>
      </c>
      <c r="G120" s="83" t="s">
        <v>472</v>
      </c>
      <c r="H120" s="83" t="s">
        <v>160</v>
      </c>
      <c r="I120" s="77">
        <v>845.95363700000007</v>
      </c>
      <c r="J120" s="79">
        <v>617.9</v>
      </c>
      <c r="K120" s="70"/>
      <c r="L120" s="77">
        <v>5.227147521</v>
      </c>
      <c r="M120" s="78">
        <v>6.4451778779924958E-5</v>
      </c>
      <c r="N120" s="78">
        <f t="shared" si="2"/>
        <v>1.5109274502877483E-4</v>
      </c>
      <c r="O120" s="78">
        <f>L120/'סכום נכסי הקרן'!$C$42</f>
        <v>1.4406948684751603E-6</v>
      </c>
    </row>
    <row r="121" spans="2:15">
      <c r="B121" s="76" t="s">
        <v>1154</v>
      </c>
      <c r="C121" s="70" t="s">
        <v>1155</v>
      </c>
      <c r="D121" s="83" t="s">
        <v>116</v>
      </c>
      <c r="E121" s="83" t="s">
        <v>287</v>
      </c>
      <c r="F121" s="70" t="s">
        <v>1156</v>
      </c>
      <c r="G121" s="83" t="s">
        <v>472</v>
      </c>
      <c r="H121" s="83" t="s">
        <v>160</v>
      </c>
      <c r="I121" s="77">
        <v>1855.989558</v>
      </c>
      <c r="J121" s="79">
        <v>2224</v>
      </c>
      <c r="K121" s="70"/>
      <c r="L121" s="77">
        <v>41.277207775000001</v>
      </c>
      <c r="M121" s="78">
        <v>7.2145944525753774E-5</v>
      </c>
      <c r="N121" s="78">
        <f t="shared" si="2"/>
        <v>1.1931338468623711E-3</v>
      </c>
      <c r="O121" s="78">
        <f>L121/'סכום נכסי הקרן'!$C$42</f>
        <v>1.1376732948039844E-5</v>
      </c>
    </row>
    <row r="122" spans="2:15">
      <c r="B122" s="76" t="s">
        <v>1157</v>
      </c>
      <c r="C122" s="70" t="s">
        <v>1158</v>
      </c>
      <c r="D122" s="83" t="s">
        <v>116</v>
      </c>
      <c r="E122" s="83" t="s">
        <v>287</v>
      </c>
      <c r="F122" s="70" t="s">
        <v>1159</v>
      </c>
      <c r="G122" s="83" t="s">
        <v>153</v>
      </c>
      <c r="H122" s="83" t="s">
        <v>160</v>
      </c>
      <c r="I122" s="77">
        <v>26153.726982</v>
      </c>
      <c r="J122" s="79">
        <v>219.5</v>
      </c>
      <c r="K122" s="70"/>
      <c r="L122" s="77">
        <v>57.407430732000009</v>
      </c>
      <c r="M122" s="78">
        <v>1.117173887316575E-4</v>
      </c>
      <c r="N122" s="78">
        <f t="shared" si="2"/>
        <v>1.6593842548923788E-3</v>
      </c>
      <c r="O122" s="78">
        <f>L122/'סכום נכסי הקרן'!$C$42</f>
        <v>1.5822509415634996E-5</v>
      </c>
    </row>
    <row r="123" spans="2:15">
      <c r="B123" s="76" t="s">
        <v>1160</v>
      </c>
      <c r="C123" s="70" t="s">
        <v>1161</v>
      </c>
      <c r="D123" s="83" t="s">
        <v>116</v>
      </c>
      <c r="E123" s="83" t="s">
        <v>287</v>
      </c>
      <c r="F123" s="70" t="s">
        <v>1162</v>
      </c>
      <c r="G123" s="83" t="s">
        <v>797</v>
      </c>
      <c r="H123" s="83" t="s">
        <v>160</v>
      </c>
      <c r="I123" s="77">
        <v>152.27364800000001</v>
      </c>
      <c r="J123" s="79">
        <v>22630</v>
      </c>
      <c r="K123" s="70"/>
      <c r="L123" s="77">
        <v>34.459526631999999</v>
      </c>
      <c r="M123" s="78">
        <v>6.6241617984644772E-5</v>
      </c>
      <c r="N123" s="78">
        <f t="shared" si="2"/>
        <v>9.9606610494608447E-4</v>
      </c>
      <c r="O123" s="78">
        <f>L123/'סכום נכסי הקרן'!$C$42</f>
        <v>9.4976587114395919E-6</v>
      </c>
    </row>
    <row r="124" spans="2:15">
      <c r="B124" s="76" t="s">
        <v>1163</v>
      </c>
      <c r="C124" s="70" t="s">
        <v>1164</v>
      </c>
      <c r="D124" s="83" t="s">
        <v>116</v>
      </c>
      <c r="E124" s="83" t="s">
        <v>287</v>
      </c>
      <c r="F124" s="70" t="s">
        <v>1165</v>
      </c>
      <c r="G124" s="83" t="s">
        <v>183</v>
      </c>
      <c r="H124" s="83" t="s">
        <v>160</v>
      </c>
      <c r="I124" s="77">
        <v>430.84215399999999</v>
      </c>
      <c r="J124" s="79">
        <v>2673</v>
      </c>
      <c r="K124" s="70"/>
      <c r="L124" s="77">
        <v>11.516410769</v>
      </c>
      <c r="M124" s="78">
        <v>5.2238298032283209E-5</v>
      </c>
      <c r="N124" s="78">
        <f t="shared" si="2"/>
        <v>3.3288636086441795E-4</v>
      </c>
      <c r="O124" s="78">
        <f>L124/'סכום נכסי הקרן'!$C$42</f>
        <v>3.1741277305631213E-6</v>
      </c>
    </row>
    <row r="125" spans="2:15">
      <c r="B125" s="76" t="s">
        <v>1166</v>
      </c>
      <c r="C125" s="70" t="s">
        <v>1167</v>
      </c>
      <c r="D125" s="83" t="s">
        <v>116</v>
      </c>
      <c r="E125" s="83" t="s">
        <v>287</v>
      </c>
      <c r="F125" s="70" t="s">
        <v>1168</v>
      </c>
      <c r="G125" s="83" t="s">
        <v>472</v>
      </c>
      <c r="H125" s="83" t="s">
        <v>160</v>
      </c>
      <c r="I125" s="77">
        <v>9486.9449430000004</v>
      </c>
      <c r="J125" s="79">
        <v>541.29999999999995</v>
      </c>
      <c r="K125" s="70"/>
      <c r="L125" s="77">
        <v>51.352832980999999</v>
      </c>
      <c r="M125" s="78">
        <v>1.1176857786388969E-4</v>
      </c>
      <c r="N125" s="78">
        <f t="shared" si="2"/>
        <v>1.4843737370968857E-3</v>
      </c>
      <c r="O125" s="78">
        <f>L125/'סכום נכסי הקרן'!$C$42</f>
        <v>1.4153754540150211E-5</v>
      </c>
    </row>
    <row r="126" spans="2:15">
      <c r="B126" s="76" t="s">
        <v>1169</v>
      </c>
      <c r="C126" s="70" t="s">
        <v>1170</v>
      </c>
      <c r="D126" s="83" t="s">
        <v>116</v>
      </c>
      <c r="E126" s="83" t="s">
        <v>287</v>
      </c>
      <c r="F126" s="70" t="s">
        <v>1171</v>
      </c>
      <c r="G126" s="83" t="s">
        <v>352</v>
      </c>
      <c r="H126" s="83" t="s">
        <v>160</v>
      </c>
      <c r="I126" s="77">
        <v>9739.3169999999991</v>
      </c>
      <c r="J126" s="79">
        <v>779.7</v>
      </c>
      <c r="K126" s="70"/>
      <c r="L126" s="77">
        <v>75.937454649000003</v>
      </c>
      <c r="M126" s="78">
        <v>1.5683280193236714E-4</v>
      </c>
      <c r="N126" s="78">
        <f t="shared" si="2"/>
        <v>2.1950018489664716E-3</v>
      </c>
      <c r="O126" s="78">
        <f>L126/'סכום נכסי הקרן'!$C$42</f>
        <v>2.0929713729783888E-5</v>
      </c>
    </row>
    <row r="127" spans="2:15">
      <c r="B127" s="76" t="s">
        <v>1172</v>
      </c>
      <c r="C127" s="70" t="s">
        <v>1173</v>
      </c>
      <c r="D127" s="83" t="s">
        <v>116</v>
      </c>
      <c r="E127" s="83" t="s">
        <v>287</v>
      </c>
      <c r="F127" s="70" t="s">
        <v>1174</v>
      </c>
      <c r="G127" s="83" t="s">
        <v>472</v>
      </c>
      <c r="H127" s="83" t="s">
        <v>160</v>
      </c>
      <c r="I127" s="77">
        <v>2246.4502349999998</v>
      </c>
      <c r="J127" s="79">
        <v>610.9</v>
      </c>
      <c r="K127" s="70"/>
      <c r="L127" s="77">
        <v>13.723564487000001</v>
      </c>
      <c r="M127" s="78">
        <v>1.3522226753474081E-4</v>
      </c>
      <c r="N127" s="78">
        <f t="shared" si="2"/>
        <v>3.9668500297530438E-4</v>
      </c>
      <c r="O127" s="78">
        <f>L127/'סכום נכסי הקרן'!$C$42</f>
        <v>3.7824585692631051E-6</v>
      </c>
    </row>
    <row r="128" spans="2:15">
      <c r="B128" s="76" t="s">
        <v>1175</v>
      </c>
      <c r="C128" s="70" t="s">
        <v>1176</v>
      </c>
      <c r="D128" s="83" t="s">
        <v>116</v>
      </c>
      <c r="E128" s="83" t="s">
        <v>287</v>
      </c>
      <c r="F128" s="70" t="s">
        <v>1177</v>
      </c>
      <c r="G128" s="83" t="s">
        <v>797</v>
      </c>
      <c r="H128" s="83" t="s">
        <v>160</v>
      </c>
      <c r="I128" s="77">
        <v>11610.919255999999</v>
      </c>
      <c r="J128" s="79">
        <v>10.7</v>
      </c>
      <c r="K128" s="70"/>
      <c r="L128" s="77">
        <v>1.2423683590000001</v>
      </c>
      <c r="M128" s="78">
        <v>2.8198651988687391E-5</v>
      </c>
      <c r="N128" s="78">
        <f t="shared" si="2"/>
        <v>3.5911143686699179E-5</v>
      </c>
      <c r="O128" s="78">
        <f>L128/'סכום נכסי הקרן'!$C$42</f>
        <v>3.4241882640128492E-7</v>
      </c>
    </row>
    <row r="129" spans="2:15">
      <c r="B129" s="76" t="s">
        <v>1178</v>
      </c>
      <c r="C129" s="70" t="s">
        <v>1179</v>
      </c>
      <c r="D129" s="83" t="s">
        <v>116</v>
      </c>
      <c r="E129" s="83" t="s">
        <v>287</v>
      </c>
      <c r="F129" s="70" t="s">
        <v>853</v>
      </c>
      <c r="G129" s="83" t="s">
        <v>142</v>
      </c>
      <c r="H129" s="83" t="s">
        <v>160</v>
      </c>
      <c r="I129" s="77">
        <v>7608.7451590000001</v>
      </c>
      <c r="J129" s="79">
        <v>190</v>
      </c>
      <c r="K129" s="70"/>
      <c r="L129" s="77">
        <v>14.456615802</v>
      </c>
      <c r="M129" s="78">
        <v>8.5978819540086384E-5</v>
      </c>
      <c r="N129" s="78">
        <f t="shared" si="2"/>
        <v>4.1787413815569315E-4</v>
      </c>
      <c r="O129" s="78">
        <f>L129/'סכום נכסי הקרן'!$C$42</f>
        <v>3.984500555567602E-6</v>
      </c>
    </row>
    <row r="130" spans="2:15">
      <c r="B130" s="73"/>
      <c r="C130" s="70"/>
      <c r="D130" s="70"/>
      <c r="E130" s="70"/>
      <c r="F130" s="70"/>
      <c r="G130" s="70"/>
      <c r="H130" s="70"/>
      <c r="I130" s="77"/>
      <c r="J130" s="79"/>
      <c r="K130" s="70"/>
      <c r="L130" s="70"/>
      <c r="M130" s="70"/>
      <c r="N130" s="78"/>
      <c r="O130" s="70"/>
    </row>
    <row r="131" spans="2:15">
      <c r="B131" s="71" t="s">
        <v>228</v>
      </c>
      <c r="C131" s="72"/>
      <c r="D131" s="72"/>
      <c r="E131" s="72"/>
      <c r="F131" s="72"/>
      <c r="G131" s="72"/>
      <c r="H131" s="72"/>
      <c r="I131" s="80"/>
      <c r="J131" s="82"/>
      <c r="K131" s="80">
        <v>4.1176873589999996</v>
      </c>
      <c r="L131" s="80">
        <f>L132+L158</f>
        <v>13628.710707237002</v>
      </c>
      <c r="M131" s="72"/>
      <c r="N131" s="81">
        <f t="shared" ref="N131:N156" si="3">L131/$L$11</f>
        <v>0.39394321734496418</v>
      </c>
      <c r="O131" s="81">
        <f>L131/'סכום נכסי הקרן'!$C$42</f>
        <v>3.7563151797354488E-3</v>
      </c>
    </row>
    <row r="132" spans="2:15">
      <c r="B132" s="89" t="s">
        <v>62</v>
      </c>
      <c r="C132" s="72"/>
      <c r="D132" s="72"/>
      <c r="E132" s="72"/>
      <c r="F132" s="72"/>
      <c r="G132" s="72"/>
      <c r="H132" s="72"/>
      <c r="I132" s="80"/>
      <c r="J132" s="82"/>
      <c r="K132" s="80">
        <v>0.99184459600000008</v>
      </c>
      <c r="L132" s="80">
        <f>SUM(L133:L156)</f>
        <v>4629.7062188380005</v>
      </c>
      <c r="M132" s="72"/>
      <c r="N132" s="81">
        <f t="shared" si="3"/>
        <v>0.13382347034797282</v>
      </c>
      <c r="O132" s="81">
        <f>L132/'סכום נכסי הקרן'!$C$42</f>
        <v>1.2760294147488333E-3</v>
      </c>
    </row>
    <row r="133" spans="2:15">
      <c r="B133" s="76" t="s">
        <v>1180</v>
      </c>
      <c r="C133" s="70" t="s">
        <v>1181</v>
      </c>
      <c r="D133" s="83" t="s">
        <v>1182</v>
      </c>
      <c r="E133" s="83" t="s">
        <v>1183</v>
      </c>
      <c r="F133" s="70" t="s">
        <v>949</v>
      </c>
      <c r="G133" s="83" t="s">
        <v>188</v>
      </c>
      <c r="H133" s="83" t="s">
        <v>159</v>
      </c>
      <c r="I133" s="77">
        <v>2309.2757040000001</v>
      </c>
      <c r="J133" s="79">
        <v>1047</v>
      </c>
      <c r="K133" s="70"/>
      <c r="L133" s="77">
        <v>83.801352222000006</v>
      </c>
      <c r="M133" s="78">
        <v>6.6895336158611718E-5</v>
      </c>
      <c r="N133" s="78">
        <f t="shared" si="3"/>
        <v>2.4223108862867692E-3</v>
      </c>
      <c r="O133" s="78">
        <f>L133/'סכום נכסי הקרן'!$C$42</f>
        <v>2.3097143830832182E-5</v>
      </c>
    </row>
    <row r="134" spans="2:15">
      <c r="B134" s="76" t="s">
        <v>1184</v>
      </c>
      <c r="C134" s="70" t="s">
        <v>1185</v>
      </c>
      <c r="D134" s="83" t="s">
        <v>1186</v>
      </c>
      <c r="E134" s="83" t="s">
        <v>1183</v>
      </c>
      <c r="F134" s="70" t="s">
        <v>1187</v>
      </c>
      <c r="G134" s="83" t="s">
        <v>1188</v>
      </c>
      <c r="H134" s="83" t="s">
        <v>159</v>
      </c>
      <c r="I134" s="77">
        <v>176.79724900000002</v>
      </c>
      <c r="J134" s="79">
        <v>3179</v>
      </c>
      <c r="K134" s="70"/>
      <c r="L134" s="77">
        <v>19.480252788999998</v>
      </c>
      <c r="M134" s="78">
        <v>5.4625933521676274E-6</v>
      </c>
      <c r="N134" s="78">
        <f t="shared" si="3"/>
        <v>5.6308433154405636E-4</v>
      </c>
      <c r="O134" s="78">
        <f>L134/'סכום נכסי הקרן'!$C$42</f>
        <v>5.36910429961275E-6</v>
      </c>
    </row>
    <row r="135" spans="2:15">
      <c r="B135" s="76" t="s">
        <v>1189</v>
      </c>
      <c r="C135" s="70" t="s">
        <v>1190</v>
      </c>
      <c r="D135" s="83" t="s">
        <v>1182</v>
      </c>
      <c r="E135" s="83" t="s">
        <v>1183</v>
      </c>
      <c r="F135" s="70" t="s">
        <v>1191</v>
      </c>
      <c r="G135" s="83" t="s">
        <v>1192</v>
      </c>
      <c r="H135" s="83" t="s">
        <v>159</v>
      </c>
      <c r="I135" s="77">
        <v>1140.692869</v>
      </c>
      <c r="J135" s="79">
        <v>1185</v>
      </c>
      <c r="K135" s="70"/>
      <c r="L135" s="77">
        <v>46.850651583999998</v>
      </c>
      <c r="M135" s="78">
        <v>3.3158602625484741E-5</v>
      </c>
      <c r="N135" s="78">
        <f t="shared" si="3"/>
        <v>1.3542364216380563E-3</v>
      </c>
      <c r="O135" s="78">
        <f>L135/'סכום נכסי הקרן'!$C$42</f>
        <v>1.2912873235472329E-5</v>
      </c>
    </row>
    <row r="136" spans="2:15">
      <c r="B136" s="76" t="s">
        <v>1193</v>
      </c>
      <c r="C136" s="70" t="s">
        <v>1194</v>
      </c>
      <c r="D136" s="83" t="s">
        <v>1182</v>
      </c>
      <c r="E136" s="83" t="s">
        <v>1183</v>
      </c>
      <c r="F136" s="70" t="s">
        <v>1036</v>
      </c>
      <c r="G136" s="83" t="s">
        <v>903</v>
      </c>
      <c r="H136" s="83" t="s">
        <v>159</v>
      </c>
      <c r="I136" s="77">
        <v>1164.169206</v>
      </c>
      <c r="J136" s="79">
        <v>1258</v>
      </c>
      <c r="K136" s="70"/>
      <c r="L136" s="77">
        <v>50.76043169199999</v>
      </c>
      <c r="M136" s="78">
        <v>3.0064689498202618E-5</v>
      </c>
      <c r="N136" s="78">
        <f t="shared" si="3"/>
        <v>1.4672501459692198E-3</v>
      </c>
      <c r="O136" s="78">
        <f>L136/'סכום נכסי הקרן'!$C$42</f>
        <v>1.3990478203733153E-5</v>
      </c>
    </row>
    <row r="137" spans="2:15">
      <c r="B137" s="76" t="s">
        <v>1195</v>
      </c>
      <c r="C137" s="70" t="s">
        <v>1196</v>
      </c>
      <c r="D137" s="83" t="s">
        <v>1182</v>
      </c>
      <c r="E137" s="83" t="s">
        <v>1183</v>
      </c>
      <c r="F137" s="70" t="s">
        <v>1197</v>
      </c>
      <c r="G137" s="83" t="s">
        <v>1198</v>
      </c>
      <c r="H137" s="83" t="s">
        <v>159</v>
      </c>
      <c r="I137" s="77">
        <v>352.51629800000001</v>
      </c>
      <c r="J137" s="79">
        <v>10743</v>
      </c>
      <c r="K137" s="70"/>
      <c r="L137" s="77">
        <v>131.26028237100002</v>
      </c>
      <c r="M137" s="78">
        <v>2.4653922867980989E-6</v>
      </c>
      <c r="N137" s="78">
        <f t="shared" si="3"/>
        <v>3.7941298379297246E-3</v>
      </c>
      <c r="O137" s="78">
        <f>L137/'סכום נכסי הקרן'!$C$42</f>
        <v>3.6177669462506884E-5</v>
      </c>
    </row>
    <row r="138" spans="2:15">
      <c r="B138" s="76" t="s">
        <v>1199</v>
      </c>
      <c r="C138" s="70" t="s">
        <v>1200</v>
      </c>
      <c r="D138" s="83" t="s">
        <v>1182</v>
      </c>
      <c r="E138" s="83" t="s">
        <v>1183</v>
      </c>
      <c r="F138" s="70" t="s">
        <v>1201</v>
      </c>
      <c r="G138" s="83" t="s">
        <v>1198</v>
      </c>
      <c r="H138" s="83" t="s">
        <v>159</v>
      </c>
      <c r="I138" s="77">
        <v>365.51083799999998</v>
      </c>
      <c r="J138" s="79">
        <v>9927</v>
      </c>
      <c r="K138" s="70"/>
      <c r="L138" s="77">
        <v>125.761248239</v>
      </c>
      <c r="M138" s="78">
        <v>9.4370760751654369E-6</v>
      </c>
      <c r="N138" s="78">
        <f t="shared" si="3"/>
        <v>3.6351781039920803E-3</v>
      </c>
      <c r="O138" s="78">
        <f>L138/'סכום נכסי הקרן'!$C$42</f>
        <v>3.466203780609889E-5</v>
      </c>
    </row>
    <row r="139" spans="2:15">
      <c r="B139" s="76" t="s">
        <v>1202</v>
      </c>
      <c r="C139" s="70" t="s">
        <v>1203</v>
      </c>
      <c r="D139" s="83" t="s">
        <v>1182</v>
      </c>
      <c r="E139" s="83" t="s">
        <v>1183</v>
      </c>
      <c r="F139" s="70" t="s">
        <v>875</v>
      </c>
      <c r="G139" s="83" t="s">
        <v>708</v>
      </c>
      <c r="H139" s="83" t="s">
        <v>159</v>
      </c>
      <c r="I139" s="77">
        <v>8.0206140000000001</v>
      </c>
      <c r="J139" s="79">
        <v>13705</v>
      </c>
      <c r="K139" s="70"/>
      <c r="L139" s="77">
        <v>3.809914365</v>
      </c>
      <c r="M139" s="78">
        <v>1.8146871160064192E-7</v>
      </c>
      <c r="N139" s="78">
        <f t="shared" si="3"/>
        <v>1.1012706594174799E-4</v>
      </c>
      <c r="O139" s="78">
        <f>L139/'סכום נכסי הקרן'!$C$42</f>
        <v>1.0500801924823461E-6</v>
      </c>
    </row>
    <row r="140" spans="2:15">
      <c r="B140" s="76" t="s">
        <v>1206</v>
      </c>
      <c r="C140" s="70" t="s">
        <v>1207</v>
      </c>
      <c r="D140" s="83" t="s">
        <v>1186</v>
      </c>
      <c r="E140" s="83" t="s">
        <v>1183</v>
      </c>
      <c r="F140" s="70" t="s">
        <v>1208</v>
      </c>
      <c r="G140" s="83" t="s">
        <v>1209</v>
      </c>
      <c r="H140" s="83" t="s">
        <v>159</v>
      </c>
      <c r="I140" s="77">
        <v>537.81997999999999</v>
      </c>
      <c r="J140" s="79">
        <v>7382</v>
      </c>
      <c r="K140" s="70"/>
      <c r="L140" s="77">
        <v>137.60668465700002</v>
      </c>
      <c r="M140" s="78">
        <v>1.5580884222599979E-5</v>
      </c>
      <c r="N140" s="78">
        <f t="shared" si="3"/>
        <v>3.9775750800232915E-3</v>
      </c>
      <c r="O140" s="78">
        <f>L140/'סכום נכסי הקרן'!$C$42</f>
        <v>3.7926850860197771E-5</v>
      </c>
    </row>
    <row r="141" spans="2:15">
      <c r="B141" s="76" t="s">
        <v>1212</v>
      </c>
      <c r="C141" s="70" t="s">
        <v>1213</v>
      </c>
      <c r="D141" s="83" t="s">
        <v>1182</v>
      </c>
      <c r="E141" s="83" t="s">
        <v>1183</v>
      </c>
      <c r="F141" s="70" t="s">
        <v>1214</v>
      </c>
      <c r="G141" s="83" t="s">
        <v>1215</v>
      </c>
      <c r="H141" s="83" t="s">
        <v>159</v>
      </c>
      <c r="I141" s="77">
        <v>421.76169599999992</v>
      </c>
      <c r="J141" s="79">
        <v>1602</v>
      </c>
      <c r="K141" s="70"/>
      <c r="L141" s="77">
        <v>23.418453117000002</v>
      </c>
      <c r="M141" s="78">
        <v>2.0264041474237677E-5</v>
      </c>
      <c r="N141" s="78">
        <f t="shared" si="3"/>
        <v>6.7691955345815051E-4</v>
      </c>
      <c r="O141" s="78">
        <f>L141/'סכום נכסי הקרן'!$C$42</f>
        <v>6.4545423862140173E-6</v>
      </c>
    </row>
    <row r="142" spans="2:15">
      <c r="B142" s="76" t="s">
        <v>1216</v>
      </c>
      <c r="C142" s="70" t="s">
        <v>1217</v>
      </c>
      <c r="D142" s="83" t="s">
        <v>1182</v>
      </c>
      <c r="E142" s="83" t="s">
        <v>1183</v>
      </c>
      <c r="F142" s="70" t="s">
        <v>1032</v>
      </c>
      <c r="G142" s="83" t="s">
        <v>1033</v>
      </c>
      <c r="H142" s="83" t="s">
        <v>159</v>
      </c>
      <c r="I142" s="77">
        <v>528.98699299999998</v>
      </c>
      <c r="J142" s="79">
        <v>776</v>
      </c>
      <c r="K142" s="70"/>
      <c r="L142" s="77">
        <v>14.227718787000001</v>
      </c>
      <c r="M142" s="78">
        <v>1.1882069848162731E-5</v>
      </c>
      <c r="N142" s="78">
        <f t="shared" si="3"/>
        <v>4.1125778034556843E-4</v>
      </c>
      <c r="O142" s="78">
        <f>L142/'סכום נכסי הקרן'!$C$42</f>
        <v>3.9214124652477995E-6</v>
      </c>
    </row>
    <row r="143" spans="2:15">
      <c r="B143" s="76" t="s">
        <v>1218</v>
      </c>
      <c r="C143" s="70" t="s">
        <v>1219</v>
      </c>
      <c r="D143" s="83" t="s">
        <v>1182</v>
      </c>
      <c r="E143" s="83" t="s">
        <v>1183</v>
      </c>
      <c r="F143" s="70" t="s">
        <v>1220</v>
      </c>
      <c r="G143" s="83" t="s">
        <v>1192</v>
      </c>
      <c r="H143" s="83" t="s">
        <v>159</v>
      </c>
      <c r="I143" s="77">
        <v>1676.024167</v>
      </c>
      <c r="J143" s="79">
        <v>5338</v>
      </c>
      <c r="K143" s="70"/>
      <c r="L143" s="77">
        <v>310.08974535799996</v>
      </c>
      <c r="M143" s="78">
        <v>4.1077177241591643E-5</v>
      </c>
      <c r="N143" s="78">
        <f t="shared" si="3"/>
        <v>8.9632654604036768E-3</v>
      </c>
      <c r="O143" s="78">
        <f>L143/'סכום נכסי הקרן'!$C$42</f>
        <v>8.5466251547186765E-5</v>
      </c>
    </row>
    <row r="144" spans="2:15">
      <c r="B144" s="76" t="s">
        <v>1223</v>
      </c>
      <c r="C144" s="70" t="s">
        <v>1224</v>
      </c>
      <c r="D144" s="83" t="s">
        <v>1182</v>
      </c>
      <c r="E144" s="83" t="s">
        <v>1183</v>
      </c>
      <c r="F144" s="70" t="s">
        <v>1225</v>
      </c>
      <c r="G144" s="83" t="s">
        <v>1226</v>
      </c>
      <c r="H144" s="83" t="s">
        <v>159</v>
      </c>
      <c r="I144" s="77">
        <v>2187.464348</v>
      </c>
      <c r="J144" s="79">
        <v>297</v>
      </c>
      <c r="K144" s="70"/>
      <c r="L144" s="77">
        <v>22.517801746</v>
      </c>
      <c r="M144" s="78">
        <v>8.0388594989520465E-5</v>
      </c>
      <c r="N144" s="78">
        <f t="shared" si="3"/>
        <v>6.5088587305949853E-4</v>
      </c>
      <c r="O144" s="78">
        <f>L144/'סכום נכסי הקרן'!$C$42</f>
        <v>6.2063068422061477E-6</v>
      </c>
    </row>
    <row r="145" spans="2:15">
      <c r="B145" s="76" t="s">
        <v>1227</v>
      </c>
      <c r="C145" s="70" t="s">
        <v>1228</v>
      </c>
      <c r="D145" s="83" t="s">
        <v>1182</v>
      </c>
      <c r="E145" s="83" t="s">
        <v>1183</v>
      </c>
      <c r="F145" s="70" t="s">
        <v>918</v>
      </c>
      <c r="G145" s="83" t="s">
        <v>188</v>
      </c>
      <c r="H145" s="83" t="s">
        <v>159</v>
      </c>
      <c r="I145" s="77">
        <v>1636.1708819999999</v>
      </c>
      <c r="J145" s="79">
        <v>18924</v>
      </c>
      <c r="K145" s="70"/>
      <c r="L145" s="77">
        <v>1073.174036697</v>
      </c>
      <c r="M145" s="78">
        <v>2.6221434774558717E-5</v>
      </c>
      <c r="N145" s="78">
        <f t="shared" si="3"/>
        <v>3.1020515576943263E-2</v>
      </c>
      <c r="O145" s="78">
        <f>L145/'סכום נכסי הקרן'!$C$42</f>
        <v>2.957858605364854E-4</v>
      </c>
    </row>
    <row r="146" spans="2:15">
      <c r="B146" s="76" t="s">
        <v>1229</v>
      </c>
      <c r="C146" s="70" t="s">
        <v>1230</v>
      </c>
      <c r="D146" s="83" t="s">
        <v>1182</v>
      </c>
      <c r="E146" s="83" t="s">
        <v>1183</v>
      </c>
      <c r="F146" s="70" t="s">
        <v>1008</v>
      </c>
      <c r="G146" s="83" t="s">
        <v>903</v>
      </c>
      <c r="H146" s="83" t="s">
        <v>159</v>
      </c>
      <c r="I146" s="77">
        <v>1144.6710929999999</v>
      </c>
      <c r="J146" s="79">
        <v>4819</v>
      </c>
      <c r="K146" s="70"/>
      <c r="L146" s="77">
        <v>191.19045216700005</v>
      </c>
      <c r="M146" s="78">
        <v>4.0872911066376432E-5</v>
      </c>
      <c r="N146" s="78">
        <f t="shared" si="3"/>
        <v>5.5264348528809596E-3</v>
      </c>
      <c r="O146" s="78">
        <f>L146/'סכום נכסי הקרן'!$C$42</f>
        <v>5.2695490653714526E-5</v>
      </c>
    </row>
    <row r="147" spans="2:15">
      <c r="B147" s="76" t="s">
        <v>1233</v>
      </c>
      <c r="C147" s="70" t="s">
        <v>1234</v>
      </c>
      <c r="D147" s="83" t="s">
        <v>1182</v>
      </c>
      <c r="E147" s="83" t="s">
        <v>1183</v>
      </c>
      <c r="F147" s="70" t="s">
        <v>789</v>
      </c>
      <c r="G147" s="83" t="s">
        <v>187</v>
      </c>
      <c r="H147" s="83" t="s">
        <v>159</v>
      </c>
      <c r="I147" s="77">
        <v>84.74007899999998</v>
      </c>
      <c r="J147" s="79">
        <v>431.38</v>
      </c>
      <c r="K147" s="70"/>
      <c r="L147" s="77">
        <v>1.2670023799999999</v>
      </c>
      <c r="M147" s="78">
        <v>4.6149135186217378E-7</v>
      </c>
      <c r="N147" s="78">
        <f t="shared" si="3"/>
        <v>3.6623199705595388E-5</v>
      </c>
      <c r="O147" s="78">
        <f>L147/'סכום נכסי הקרן'!$C$42</f>
        <v>3.4920840092582777E-7</v>
      </c>
    </row>
    <row r="148" spans="2:15">
      <c r="B148" s="76" t="s">
        <v>1237</v>
      </c>
      <c r="C148" s="70" t="s">
        <v>1238</v>
      </c>
      <c r="D148" s="83" t="s">
        <v>1182</v>
      </c>
      <c r="E148" s="83" t="s">
        <v>1183</v>
      </c>
      <c r="F148" s="70" t="s">
        <v>1239</v>
      </c>
      <c r="G148" s="83" t="s">
        <v>1226</v>
      </c>
      <c r="H148" s="83" t="s">
        <v>159</v>
      </c>
      <c r="I148" s="77">
        <v>1020.1516339999999</v>
      </c>
      <c r="J148" s="79">
        <v>670</v>
      </c>
      <c r="K148" s="70"/>
      <c r="L148" s="77">
        <v>23.690165269000001</v>
      </c>
      <c r="M148" s="78">
        <v>2.8924416168761016E-5</v>
      </c>
      <c r="N148" s="78">
        <f t="shared" si="3"/>
        <v>6.8477349956134017E-4</v>
      </c>
      <c r="O148" s="78">
        <f>L148/'סכום נכסי הקרן'!$C$42</f>
        <v>6.5294310901421309E-6</v>
      </c>
    </row>
    <row r="149" spans="2:15">
      <c r="B149" s="76" t="s">
        <v>1240</v>
      </c>
      <c r="C149" s="70" t="s">
        <v>1241</v>
      </c>
      <c r="D149" s="83" t="s">
        <v>1182</v>
      </c>
      <c r="E149" s="83" t="s">
        <v>1183</v>
      </c>
      <c r="F149" s="70" t="s">
        <v>1242</v>
      </c>
      <c r="G149" s="83" t="s">
        <v>1226</v>
      </c>
      <c r="H149" s="83" t="s">
        <v>159</v>
      </c>
      <c r="I149" s="77">
        <v>1419.2316060000001</v>
      </c>
      <c r="J149" s="79">
        <v>895.31</v>
      </c>
      <c r="K149" s="70"/>
      <c r="L149" s="77">
        <v>44.040806953999997</v>
      </c>
      <c r="M149" s="78">
        <v>6.1771661906222678E-5</v>
      </c>
      <c r="N149" s="78">
        <f t="shared" si="3"/>
        <v>1.2730167628192744E-3</v>
      </c>
      <c r="O149" s="78">
        <f>L149/'סכום נכסי הקרן'!$C$42</f>
        <v>1.2138430057163285E-5</v>
      </c>
    </row>
    <row r="150" spans="2:15">
      <c r="B150" s="76" t="s">
        <v>1243</v>
      </c>
      <c r="C150" s="70" t="s">
        <v>1244</v>
      </c>
      <c r="D150" s="83" t="s">
        <v>1182</v>
      </c>
      <c r="E150" s="83" t="s">
        <v>1183</v>
      </c>
      <c r="F150" s="70" t="s">
        <v>1245</v>
      </c>
      <c r="G150" s="83" t="s">
        <v>1246</v>
      </c>
      <c r="H150" s="83" t="s">
        <v>159</v>
      </c>
      <c r="I150" s="77">
        <v>1209.486821</v>
      </c>
      <c r="J150" s="79">
        <v>13878</v>
      </c>
      <c r="K150" s="70"/>
      <c r="L150" s="77">
        <v>581.77704579199997</v>
      </c>
      <c r="M150" s="78">
        <v>2.4369800489250986E-5</v>
      </c>
      <c r="N150" s="78">
        <f t="shared" si="3"/>
        <v>1.6816493219351119E-2</v>
      </c>
      <c r="O150" s="78">
        <f>L150/'סכום נכסי הקרן'!$C$42</f>
        <v>1.6034810594150298E-4</v>
      </c>
    </row>
    <row r="151" spans="2:15">
      <c r="B151" s="76" t="s">
        <v>1247</v>
      </c>
      <c r="C151" s="70" t="s">
        <v>1248</v>
      </c>
      <c r="D151" s="83" t="s">
        <v>1182</v>
      </c>
      <c r="E151" s="83" t="s">
        <v>1183</v>
      </c>
      <c r="F151" s="70" t="s">
        <v>906</v>
      </c>
      <c r="G151" s="83" t="s">
        <v>907</v>
      </c>
      <c r="H151" s="83" t="s">
        <v>159</v>
      </c>
      <c r="I151" s="77">
        <v>25050.439966000002</v>
      </c>
      <c r="J151" s="79">
        <v>1233</v>
      </c>
      <c r="K151" s="70"/>
      <c r="L151" s="77">
        <v>1070.5500912689999</v>
      </c>
      <c r="M151" s="78">
        <v>2.2870509434370918E-5</v>
      </c>
      <c r="N151" s="78">
        <f t="shared" si="3"/>
        <v>3.0944669407320258E-2</v>
      </c>
      <c r="O151" s="78">
        <f>L151/'סכום נכסי הקרן'!$C$42</f>
        <v>2.9506265448613165E-4</v>
      </c>
    </row>
    <row r="152" spans="2:15">
      <c r="B152" s="76" t="s">
        <v>1249</v>
      </c>
      <c r="C152" s="70" t="s">
        <v>1250</v>
      </c>
      <c r="D152" s="83" t="s">
        <v>1182</v>
      </c>
      <c r="E152" s="83" t="s">
        <v>1183</v>
      </c>
      <c r="F152" s="70" t="s">
        <v>902</v>
      </c>
      <c r="G152" s="83" t="s">
        <v>903</v>
      </c>
      <c r="H152" s="83" t="s">
        <v>159</v>
      </c>
      <c r="I152" s="77">
        <v>1693.5870199999999</v>
      </c>
      <c r="J152" s="79">
        <v>1909</v>
      </c>
      <c r="K152" s="70"/>
      <c r="L152" s="77">
        <v>112.05777716600001</v>
      </c>
      <c r="M152" s="78">
        <v>1.585088860466804E-5</v>
      </c>
      <c r="N152" s="78">
        <f t="shared" si="3"/>
        <v>3.239073909013119E-3</v>
      </c>
      <c r="O152" s="78">
        <f>L152/'סכום נכסי הקרן'!$C$42</f>
        <v>3.088511733927572E-5</v>
      </c>
    </row>
    <row r="153" spans="2:15">
      <c r="B153" s="76" t="s">
        <v>1251</v>
      </c>
      <c r="C153" s="70" t="s">
        <v>1252</v>
      </c>
      <c r="D153" s="83" t="s">
        <v>1186</v>
      </c>
      <c r="E153" s="83" t="s">
        <v>1183</v>
      </c>
      <c r="F153" s="70" t="s">
        <v>1253</v>
      </c>
      <c r="G153" s="83" t="s">
        <v>1198</v>
      </c>
      <c r="H153" s="83" t="s">
        <v>159</v>
      </c>
      <c r="I153" s="77">
        <v>1189.9107939999999</v>
      </c>
      <c r="J153" s="79">
        <v>955</v>
      </c>
      <c r="K153" s="70"/>
      <c r="L153" s="77">
        <v>39.386404249000002</v>
      </c>
      <c r="M153" s="78">
        <v>3.3417868924842969E-5</v>
      </c>
      <c r="N153" s="78">
        <f t="shared" si="3"/>
        <v>1.1384794308724486E-3</v>
      </c>
      <c r="O153" s="78">
        <f>L153/'סכום נכסי הקרן'!$C$42</f>
        <v>1.0855593851379758E-5</v>
      </c>
    </row>
    <row r="154" spans="2:15">
      <c r="B154" s="76" t="s">
        <v>1254</v>
      </c>
      <c r="C154" s="70" t="s">
        <v>1255</v>
      </c>
      <c r="D154" s="83" t="s">
        <v>1182</v>
      </c>
      <c r="E154" s="83" t="s">
        <v>1183</v>
      </c>
      <c r="F154" s="70" t="s">
        <v>1256</v>
      </c>
      <c r="G154" s="83" t="s">
        <v>1226</v>
      </c>
      <c r="H154" s="83" t="s">
        <v>159</v>
      </c>
      <c r="I154" s="77">
        <v>845.94790799999998</v>
      </c>
      <c r="J154" s="79">
        <v>2612</v>
      </c>
      <c r="K154" s="70"/>
      <c r="L154" s="77">
        <v>76.585288349999999</v>
      </c>
      <c r="M154" s="78">
        <v>3.8565892676911754E-5</v>
      </c>
      <c r="N154" s="78">
        <f t="shared" si="3"/>
        <v>2.213727735659548E-3</v>
      </c>
      <c r="O154" s="78">
        <f>L154/'סכום נכסי הקרן'!$C$42</f>
        <v>2.110826822531062E-5</v>
      </c>
    </row>
    <row r="155" spans="2:15">
      <c r="B155" s="76" t="s">
        <v>1257</v>
      </c>
      <c r="C155" s="70" t="s">
        <v>1258</v>
      </c>
      <c r="D155" s="83" t="s">
        <v>1182</v>
      </c>
      <c r="E155" s="83" t="s">
        <v>1183</v>
      </c>
      <c r="F155" s="70" t="s">
        <v>1259</v>
      </c>
      <c r="G155" s="83" t="s">
        <v>1198</v>
      </c>
      <c r="H155" s="83" t="s">
        <v>159</v>
      </c>
      <c r="I155" s="77">
        <v>1518.1876500000001</v>
      </c>
      <c r="J155" s="79">
        <v>4518</v>
      </c>
      <c r="K155" s="70"/>
      <c r="L155" s="77">
        <v>237.73889468200002</v>
      </c>
      <c r="M155" s="78">
        <v>2.3528432719634331E-5</v>
      </c>
      <c r="N155" s="78">
        <f t="shared" si="3"/>
        <v>6.8719358030932794E-3</v>
      </c>
      <c r="O155" s="78">
        <f>L155/'סכום נכסי הקרן'!$C$42</f>
        <v>6.5525069692272414E-5</v>
      </c>
    </row>
    <row r="156" spans="2:15">
      <c r="B156" s="76" t="s">
        <v>1260</v>
      </c>
      <c r="C156" s="70" t="s">
        <v>1261</v>
      </c>
      <c r="D156" s="83" t="s">
        <v>1182</v>
      </c>
      <c r="E156" s="83" t="s">
        <v>1183</v>
      </c>
      <c r="F156" s="70" t="s">
        <v>1262</v>
      </c>
      <c r="G156" s="83" t="s">
        <v>1198</v>
      </c>
      <c r="H156" s="83" t="s">
        <v>159</v>
      </c>
      <c r="I156" s="77">
        <v>234.96617900000001</v>
      </c>
      <c r="J156" s="79">
        <v>25622</v>
      </c>
      <c r="K156" s="70"/>
      <c r="L156" s="77">
        <v>208.66371693600004</v>
      </c>
      <c r="M156" s="78">
        <v>4.5111601142681986E-6</v>
      </c>
      <c r="N156" s="78">
        <f t="shared" si="3"/>
        <v>6.0315064101607732E-3</v>
      </c>
      <c r="O156" s="78">
        <f>L156/'סכום נכסי הקרן'!$C$42</f>
        <v>5.7511433342737804E-5</v>
      </c>
    </row>
    <row r="157" spans="2:15">
      <c r="B157" s="73"/>
      <c r="C157" s="70"/>
      <c r="D157" s="70"/>
      <c r="E157" s="70"/>
      <c r="F157" s="70"/>
      <c r="G157" s="70"/>
      <c r="H157" s="70"/>
      <c r="I157" s="77"/>
      <c r="J157" s="79"/>
      <c r="K157" s="70"/>
      <c r="L157" s="70"/>
      <c r="M157" s="70"/>
      <c r="N157" s="78"/>
      <c r="O157" s="70"/>
    </row>
    <row r="158" spans="2:15">
      <c r="B158" s="89" t="s">
        <v>61</v>
      </c>
      <c r="C158" s="72"/>
      <c r="D158" s="72"/>
      <c r="E158" s="72"/>
      <c r="F158" s="72"/>
      <c r="G158" s="72"/>
      <c r="H158" s="72"/>
      <c r="I158" s="80"/>
      <c r="J158" s="82"/>
      <c r="K158" s="80">
        <v>3.1258427630000001</v>
      </c>
      <c r="L158" s="80">
        <f>SUM(L159:L246)</f>
        <v>8999.0044883990013</v>
      </c>
      <c r="M158" s="72"/>
      <c r="N158" s="81">
        <f t="shared" ref="N158:N226" si="4">L158/$L$11</f>
        <v>0.26011974699699136</v>
      </c>
      <c r="O158" s="81">
        <f>L158/'סכום נכסי הקרן'!$C$42</f>
        <v>2.4802857649866153E-3</v>
      </c>
    </row>
    <row r="159" spans="2:15">
      <c r="B159" s="76" t="s">
        <v>1263</v>
      </c>
      <c r="C159" s="70" t="s">
        <v>1264</v>
      </c>
      <c r="D159" s="83" t="s">
        <v>135</v>
      </c>
      <c r="E159" s="83" t="s">
        <v>1183</v>
      </c>
      <c r="F159" s="70"/>
      <c r="G159" s="83" t="s">
        <v>1192</v>
      </c>
      <c r="H159" s="83" t="s">
        <v>1265</v>
      </c>
      <c r="I159" s="77">
        <v>1106.493788</v>
      </c>
      <c r="J159" s="79">
        <v>2133</v>
      </c>
      <c r="K159" s="70"/>
      <c r="L159" s="77">
        <v>85.977949905999992</v>
      </c>
      <c r="M159" s="78">
        <v>5.1034046258378944E-7</v>
      </c>
      <c r="N159" s="78">
        <f t="shared" si="4"/>
        <v>2.4852262942750857E-3</v>
      </c>
      <c r="O159" s="78">
        <f>L159/'סכום נכסי הקרן'!$C$42</f>
        <v>2.3697052882848718E-5</v>
      </c>
    </row>
    <row r="160" spans="2:15">
      <c r="B160" s="76" t="s">
        <v>1266</v>
      </c>
      <c r="C160" s="70" t="s">
        <v>1267</v>
      </c>
      <c r="D160" s="83" t="s">
        <v>26</v>
      </c>
      <c r="E160" s="83" t="s">
        <v>1183</v>
      </c>
      <c r="F160" s="70"/>
      <c r="G160" s="83" t="s">
        <v>1268</v>
      </c>
      <c r="H160" s="83" t="s">
        <v>161</v>
      </c>
      <c r="I160" s="77">
        <v>75.392328000000006</v>
      </c>
      <c r="J160" s="79">
        <v>23350</v>
      </c>
      <c r="K160" s="70"/>
      <c r="L160" s="77">
        <v>68.353232824999992</v>
      </c>
      <c r="M160" s="78">
        <v>3.7617883817028633E-7</v>
      </c>
      <c r="N160" s="78">
        <f t="shared" si="4"/>
        <v>1.975776948637644E-3</v>
      </c>
      <c r="O160" s="78">
        <f>L160/'סכום נכסי הקרן'!$C$42</f>
        <v>1.8839367241700883E-5</v>
      </c>
    </row>
    <row r="161" spans="2:15">
      <c r="B161" s="76" t="s">
        <v>1269</v>
      </c>
      <c r="C161" s="70" t="s">
        <v>1270</v>
      </c>
      <c r="D161" s="83" t="s">
        <v>26</v>
      </c>
      <c r="E161" s="83" t="s">
        <v>1183</v>
      </c>
      <c r="F161" s="70"/>
      <c r="G161" s="83" t="s">
        <v>1192</v>
      </c>
      <c r="H161" s="83" t="s">
        <v>161</v>
      </c>
      <c r="I161" s="77">
        <v>201.85010700000004</v>
      </c>
      <c r="J161" s="79">
        <v>6352</v>
      </c>
      <c r="K161" s="70"/>
      <c r="L161" s="77">
        <v>49.783393246000003</v>
      </c>
      <c r="M161" s="78">
        <v>2.5744060999411243E-7</v>
      </c>
      <c r="N161" s="78">
        <f t="shared" si="4"/>
        <v>1.4390084672693724E-3</v>
      </c>
      <c r="O161" s="78">
        <f>L161/'סכום נכסי הקרן'!$C$42</f>
        <v>1.3721189022626239E-5</v>
      </c>
    </row>
    <row r="162" spans="2:15">
      <c r="B162" s="76" t="s">
        <v>1271</v>
      </c>
      <c r="C162" s="70" t="s">
        <v>1272</v>
      </c>
      <c r="D162" s="83" t="s">
        <v>1186</v>
      </c>
      <c r="E162" s="83" t="s">
        <v>1183</v>
      </c>
      <c r="F162" s="70"/>
      <c r="G162" s="83" t="s">
        <v>1209</v>
      </c>
      <c r="H162" s="83" t="s">
        <v>159</v>
      </c>
      <c r="I162" s="77">
        <v>127.71032</v>
      </c>
      <c r="J162" s="79">
        <v>21570</v>
      </c>
      <c r="K162" s="70"/>
      <c r="L162" s="77">
        <v>95.478304117000008</v>
      </c>
      <c r="M162" s="78">
        <v>4.7604735348764565E-8</v>
      </c>
      <c r="N162" s="78">
        <f t="shared" si="4"/>
        <v>2.7598377512348966E-3</v>
      </c>
      <c r="O162" s="78">
        <f>L162/'סכום נכסי הקרן'!$C$42</f>
        <v>2.6315519552384311E-5</v>
      </c>
    </row>
    <row r="163" spans="2:15">
      <c r="B163" s="76" t="s">
        <v>1273</v>
      </c>
      <c r="C163" s="70" t="s">
        <v>1274</v>
      </c>
      <c r="D163" s="83" t="s">
        <v>1182</v>
      </c>
      <c r="E163" s="83" t="s">
        <v>1183</v>
      </c>
      <c r="F163" s="70"/>
      <c r="G163" s="83" t="s">
        <v>1275</v>
      </c>
      <c r="H163" s="83" t="s">
        <v>159</v>
      </c>
      <c r="I163" s="77">
        <v>95.509793999999999</v>
      </c>
      <c r="J163" s="79">
        <v>141361</v>
      </c>
      <c r="K163" s="70"/>
      <c r="L163" s="77">
        <v>467.95713748999998</v>
      </c>
      <c r="M163" s="78">
        <v>2.8411811869028329E-7</v>
      </c>
      <c r="N163" s="78">
        <f t="shared" si="4"/>
        <v>1.3526484220144108E-2</v>
      </c>
      <c r="O163" s="78">
        <f>L163/'סכום נכסי הקרן'!$C$42</f>
        <v>1.2897731390584338E-4</v>
      </c>
    </row>
    <row r="164" spans="2:15">
      <c r="B164" s="76" t="s">
        <v>1276</v>
      </c>
      <c r="C164" s="70" t="s">
        <v>1277</v>
      </c>
      <c r="D164" s="83" t="s">
        <v>1182</v>
      </c>
      <c r="E164" s="83" t="s">
        <v>1183</v>
      </c>
      <c r="F164" s="70"/>
      <c r="G164" s="83" t="s">
        <v>1209</v>
      </c>
      <c r="H164" s="83" t="s">
        <v>159</v>
      </c>
      <c r="I164" s="77">
        <v>49.299728999999999</v>
      </c>
      <c r="J164" s="79">
        <v>275882</v>
      </c>
      <c r="K164" s="70"/>
      <c r="L164" s="77">
        <v>471.40746237800005</v>
      </c>
      <c r="M164" s="78">
        <v>9.8841415459193516E-8</v>
      </c>
      <c r="N164" s="78">
        <f t="shared" si="4"/>
        <v>1.3626217211507875E-2</v>
      </c>
      <c r="O164" s="78">
        <f>L164/'סכום נכסי הקרן'!$C$42</f>
        <v>1.2992828483994145E-4</v>
      </c>
    </row>
    <row r="165" spans="2:15">
      <c r="B165" s="76" t="s">
        <v>1278</v>
      </c>
      <c r="C165" s="70" t="s">
        <v>1279</v>
      </c>
      <c r="D165" s="83" t="s">
        <v>1186</v>
      </c>
      <c r="E165" s="83" t="s">
        <v>1183</v>
      </c>
      <c r="F165" s="70"/>
      <c r="G165" s="83" t="s">
        <v>1280</v>
      </c>
      <c r="H165" s="83" t="s">
        <v>159</v>
      </c>
      <c r="I165" s="77">
        <v>113.516858</v>
      </c>
      <c r="J165" s="79">
        <v>9520</v>
      </c>
      <c r="K165" s="70"/>
      <c r="L165" s="77">
        <v>37.456385555000004</v>
      </c>
      <c r="M165" s="78">
        <v>1.410197232337042E-7</v>
      </c>
      <c r="N165" s="78">
        <f t="shared" si="4"/>
        <v>1.0826914851024539E-3</v>
      </c>
      <c r="O165" s="78">
        <f>L165/'סכום נכסי הקרן'!$C$42</f>
        <v>1.0323646356625492E-5</v>
      </c>
    </row>
    <row r="166" spans="2:15">
      <c r="B166" s="76" t="s">
        <v>1281</v>
      </c>
      <c r="C166" s="70" t="s">
        <v>1282</v>
      </c>
      <c r="D166" s="83" t="s">
        <v>1186</v>
      </c>
      <c r="E166" s="83" t="s">
        <v>1183</v>
      </c>
      <c r="F166" s="70"/>
      <c r="G166" s="83" t="s">
        <v>1283</v>
      </c>
      <c r="H166" s="83" t="s">
        <v>159</v>
      </c>
      <c r="I166" s="77">
        <v>93.469352000000001</v>
      </c>
      <c r="J166" s="79">
        <v>25854</v>
      </c>
      <c r="K166" s="77">
        <v>0.35636125199999991</v>
      </c>
      <c r="L166" s="77">
        <v>84.114214015999991</v>
      </c>
      <c r="M166" s="78">
        <v>2.1084591650086958E-7</v>
      </c>
      <c r="N166" s="78">
        <f t="shared" si="4"/>
        <v>2.4313542788981647E-3</v>
      </c>
      <c r="O166" s="78">
        <f>L166/'סכום נכסי הקרן'!$C$42</f>
        <v>2.3183374108310839E-5</v>
      </c>
    </row>
    <row r="167" spans="2:15">
      <c r="B167" s="76" t="s">
        <v>1284</v>
      </c>
      <c r="C167" s="70" t="s">
        <v>1285</v>
      </c>
      <c r="D167" s="83" t="s">
        <v>1182</v>
      </c>
      <c r="E167" s="83" t="s">
        <v>1183</v>
      </c>
      <c r="F167" s="70"/>
      <c r="G167" s="83" t="s">
        <v>1215</v>
      </c>
      <c r="H167" s="83" t="s">
        <v>159</v>
      </c>
      <c r="I167" s="77">
        <v>276.55276700000002</v>
      </c>
      <c r="J167" s="79">
        <v>36480</v>
      </c>
      <c r="K167" s="70"/>
      <c r="L167" s="77">
        <v>349.67243337299999</v>
      </c>
      <c r="M167" s="78">
        <v>6.3805120508682414E-8</v>
      </c>
      <c r="N167" s="78">
        <f t="shared" si="4"/>
        <v>1.0107418550358901E-2</v>
      </c>
      <c r="O167" s="78">
        <f>L167/'סכום נכסי הקרן'!$C$42</f>
        <v>9.6375944697142871E-5</v>
      </c>
    </row>
    <row r="168" spans="2:15">
      <c r="B168" s="76" t="s">
        <v>1286</v>
      </c>
      <c r="C168" s="70" t="s">
        <v>1287</v>
      </c>
      <c r="D168" s="83" t="s">
        <v>26</v>
      </c>
      <c r="E168" s="83" t="s">
        <v>1183</v>
      </c>
      <c r="F168" s="70"/>
      <c r="G168" s="83" t="s">
        <v>1283</v>
      </c>
      <c r="H168" s="83" t="s">
        <v>161</v>
      </c>
      <c r="I168" s="77">
        <v>8731.0112399999998</v>
      </c>
      <c r="J168" s="79">
        <v>508.4</v>
      </c>
      <c r="K168" s="70"/>
      <c r="L168" s="77">
        <v>172.35151693700001</v>
      </c>
      <c r="M168" s="78">
        <v>5.6827803691520131E-6</v>
      </c>
      <c r="N168" s="78">
        <f t="shared" si="4"/>
        <v>4.9818880563950148E-3</v>
      </c>
      <c r="O168" s="78">
        <f>L168/'סכום נכסי הקרן'!$C$42</f>
        <v>4.7503144884945284E-5</v>
      </c>
    </row>
    <row r="169" spans="2:15">
      <c r="B169" s="76" t="s">
        <v>1288</v>
      </c>
      <c r="C169" s="70" t="s">
        <v>1289</v>
      </c>
      <c r="D169" s="83" t="s">
        <v>26</v>
      </c>
      <c r="E169" s="83" t="s">
        <v>1183</v>
      </c>
      <c r="F169" s="70"/>
      <c r="G169" s="83" t="s">
        <v>1246</v>
      </c>
      <c r="H169" s="83" t="s">
        <v>161</v>
      </c>
      <c r="I169" s="77">
        <v>163.998875</v>
      </c>
      <c r="J169" s="79">
        <v>32690</v>
      </c>
      <c r="K169" s="70"/>
      <c r="L169" s="77">
        <v>208.161692458</v>
      </c>
      <c r="M169" s="78">
        <v>3.8528165447392217E-7</v>
      </c>
      <c r="N169" s="78">
        <f t="shared" si="4"/>
        <v>6.0169951961290425E-3</v>
      </c>
      <c r="O169" s="78">
        <f>L169/'סכום נכסי הקרן'!$C$42</f>
        <v>5.737306646359428E-5</v>
      </c>
    </row>
    <row r="170" spans="2:15">
      <c r="B170" s="76" t="s">
        <v>1290</v>
      </c>
      <c r="C170" s="70" t="s">
        <v>1291</v>
      </c>
      <c r="D170" s="83" t="s">
        <v>1186</v>
      </c>
      <c r="E170" s="83" t="s">
        <v>1183</v>
      </c>
      <c r="F170" s="70"/>
      <c r="G170" s="83" t="s">
        <v>1292</v>
      </c>
      <c r="H170" s="83" t="s">
        <v>159</v>
      </c>
      <c r="I170" s="77">
        <v>171.34620000000004</v>
      </c>
      <c r="J170" s="79">
        <v>6451</v>
      </c>
      <c r="K170" s="70"/>
      <c r="L170" s="77">
        <v>38.311581293000003</v>
      </c>
      <c r="M170" s="78">
        <v>1.9623765084063962E-6</v>
      </c>
      <c r="N170" s="78">
        <f t="shared" si="4"/>
        <v>1.107411252637656E-3</v>
      </c>
      <c r="O170" s="78">
        <f>L170/'סכום נכסי הקרן'!$C$42</f>
        <v>1.0559353519342553E-5</v>
      </c>
    </row>
    <row r="171" spans="2:15">
      <c r="B171" s="76" t="s">
        <v>1293</v>
      </c>
      <c r="C171" s="70" t="s">
        <v>1294</v>
      </c>
      <c r="D171" s="83" t="s">
        <v>1186</v>
      </c>
      <c r="E171" s="83" t="s">
        <v>1183</v>
      </c>
      <c r="F171" s="70"/>
      <c r="G171" s="83" t="s">
        <v>1295</v>
      </c>
      <c r="H171" s="83" t="s">
        <v>159</v>
      </c>
      <c r="I171" s="77">
        <v>1722.886041</v>
      </c>
      <c r="J171" s="79">
        <v>2375</v>
      </c>
      <c r="K171" s="70"/>
      <c r="L171" s="77">
        <v>141.82367167999999</v>
      </c>
      <c r="M171" s="78">
        <v>1.9858959228654429E-7</v>
      </c>
      <c r="N171" s="78">
        <f t="shared" si="4"/>
        <v>4.0994687404750044E-3</v>
      </c>
      <c r="O171" s="78">
        <f>L171/'סכום נכסי הקרן'!$C$42</f>
        <v>3.9089127520662125E-5</v>
      </c>
    </row>
    <row r="172" spans="2:15">
      <c r="B172" s="76" t="s">
        <v>1296</v>
      </c>
      <c r="C172" s="70" t="s">
        <v>1297</v>
      </c>
      <c r="D172" s="83" t="s">
        <v>26</v>
      </c>
      <c r="E172" s="83" t="s">
        <v>1183</v>
      </c>
      <c r="F172" s="70"/>
      <c r="G172" s="83" t="s">
        <v>1292</v>
      </c>
      <c r="H172" s="83" t="s">
        <v>161</v>
      </c>
      <c r="I172" s="77">
        <v>184.19716500000001</v>
      </c>
      <c r="J172" s="79">
        <v>5698</v>
      </c>
      <c r="K172" s="70"/>
      <c r="L172" s="77">
        <v>40.752138864000003</v>
      </c>
      <c r="M172" s="78">
        <v>3.0597779886602284E-7</v>
      </c>
      <c r="N172" s="78">
        <f t="shared" si="4"/>
        <v>1.1779565244750584E-3</v>
      </c>
      <c r="O172" s="78">
        <f>L172/'סכום נכסי הקרן'!$C$42</f>
        <v>1.1232014613109663E-5</v>
      </c>
    </row>
    <row r="173" spans="2:15">
      <c r="B173" s="76" t="s">
        <v>1298</v>
      </c>
      <c r="C173" s="70" t="s">
        <v>1299</v>
      </c>
      <c r="D173" s="83" t="s">
        <v>1186</v>
      </c>
      <c r="E173" s="83" t="s">
        <v>1183</v>
      </c>
      <c r="F173" s="70"/>
      <c r="G173" s="83" t="s">
        <v>1280</v>
      </c>
      <c r="H173" s="83" t="s">
        <v>159</v>
      </c>
      <c r="I173" s="77">
        <v>70.176550000000006</v>
      </c>
      <c r="J173" s="79">
        <v>54409</v>
      </c>
      <c r="K173" s="70"/>
      <c r="L173" s="77">
        <v>132.34005598800002</v>
      </c>
      <c r="M173" s="78">
        <v>4.6037047580210761E-7</v>
      </c>
      <c r="N173" s="78">
        <f t="shared" si="4"/>
        <v>3.8253411169584381E-3</v>
      </c>
      <c r="O173" s="78">
        <f>L173/'סכום נכסי הקרן'!$C$42</f>
        <v>3.6475274284807586E-5</v>
      </c>
    </row>
    <row r="174" spans="2:15">
      <c r="B174" s="76" t="s">
        <v>1300</v>
      </c>
      <c r="C174" s="70" t="s">
        <v>1301</v>
      </c>
      <c r="D174" s="83" t="s">
        <v>1182</v>
      </c>
      <c r="E174" s="83" t="s">
        <v>1183</v>
      </c>
      <c r="F174" s="70"/>
      <c r="G174" s="83" t="s">
        <v>1209</v>
      </c>
      <c r="H174" s="83" t="s">
        <v>159</v>
      </c>
      <c r="I174" s="77">
        <v>7.2822139999999997</v>
      </c>
      <c r="J174" s="79">
        <v>159234</v>
      </c>
      <c r="K174" s="70"/>
      <c r="L174" s="77">
        <v>40.190903620999997</v>
      </c>
      <c r="M174" s="78">
        <v>1.7791477937053489E-7</v>
      </c>
      <c r="N174" s="78">
        <f t="shared" si="4"/>
        <v>1.1617338001055845E-3</v>
      </c>
      <c r="O174" s="78">
        <f>L174/'סכום נכסי הקרן'!$C$42</f>
        <v>1.1077328193537784E-5</v>
      </c>
    </row>
    <row r="175" spans="2:15">
      <c r="B175" s="76" t="s">
        <v>1302</v>
      </c>
      <c r="C175" s="70" t="s">
        <v>1303</v>
      </c>
      <c r="D175" s="83" t="s">
        <v>1186</v>
      </c>
      <c r="E175" s="83" t="s">
        <v>1183</v>
      </c>
      <c r="F175" s="70"/>
      <c r="G175" s="83" t="s">
        <v>1192</v>
      </c>
      <c r="H175" s="83" t="s">
        <v>159</v>
      </c>
      <c r="I175" s="77">
        <v>158.51237</v>
      </c>
      <c r="J175" s="79">
        <v>12650</v>
      </c>
      <c r="K175" s="70"/>
      <c r="L175" s="77">
        <v>69.499589947999993</v>
      </c>
      <c r="M175" s="78">
        <v>2.9286928332778131E-7</v>
      </c>
      <c r="N175" s="78">
        <f t="shared" si="4"/>
        <v>2.0089128499684379E-3</v>
      </c>
      <c r="O175" s="78">
        <f>L175/'סכום נכסי הקרן'!$C$42</f>
        <v>1.9155323663039856E-5</v>
      </c>
    </row>
    <row r="176" spans="2:15">
      <c r="B176" s="76" t="s">
        <v>1304</v>
      </c>
      <c r="C176" s="70" t="s">
        <v>1305</v>
      </c>
      <c r="D176" s="83" t="s">
        <v>1306</v>
      </c>
      <c r="E176" s="83" t="s">
        <v>1183</v>
      </c>
      <c r="F176" s="70"/>
      <c r="G176" s="83" t="s">
        <v>1307</v>
      </c>
      <c r="H176" s="83" t="s">
        <v>161</v>
      </c>
      <c r="I176" s="77">
        <v>396.66645299999999</v>
      </c>
      <c r="J176" s="79">
        <v>5424</v>
      </c>
      <c r="K176" s="70"/>
      <c r="L176" s="77">
        <v>83.539173564999999</v>
      </c>
      <c r="M176" s="78">
        <v>1.0294293881852085E-6</v>
      </c>
      <c r="N176" s="78">
        <f t="shared" si="4"/>
        <v>2.4147325095880169E-3</v>
      </c>
      <c r="O176" s="78">
        <f>L176/'סכום נכסי הקרן'!$C$42</f>
        <v>2.3024882727764757E-5</v>
      </c>
    </row>
    <row r="177" spans="2:15">
      <c r="B177" s="76" t="s">
        <v>1308</v>
      </c>
      <c r="C177" s="70" t="s">
        <v>1309</v>
      </c>
      <c r="D177" s="83" t="s">
        <v>1186</v>
      </c>
      <c r="E177" s="83" t="s">
        <v>1183</v>
      </c>
      <c r="F177" s="70"/>
      <c r="G177" s="83" t="s">
        <v>1310</v>
      </c>
      <c r="H177" s="83" t="s">
        <v>159</v>
      </c>
      <c r="I177" s="77">
        <v>197.04812999999999</v>
      </c>
      <c r="J177" s="79">
        <v>6355</v>
      </c>
      <c r="K177" s="70"/>
      <c r="L177" s="77">
        <v>43.402668421000001</v>
      </c>
      <c r="M177" s="78">
        <v>3.4024886989940475E-7</v>
      </c>
      <c r="N177" s="78">
        <f t="shared" si="4"/>
        <v>1.2545711187519802E-3</v>
      </c>
      <c r="O177" s="78">
        <f>L177/'סכום נכסי הקרן'!$C$42</f>
        <v>1.1962547722452845E-5</v>
      </c>
    </row>
    <row r="178" spans="2:15">
      <c r="B178" s="76" t="s">
        <v>1311</v>
      </c>
      <c r="C178" s="70" t="s">
        <v>1312</v>
      </c>
      <c r="D178" s="83" t="s">
        <v>1182</v>
      </c>
      <c r="E178" s="83" t="s">
        <v>1183</v>
      </c>
      <c r="F178" s="70"/>
      <c r="G178" s="83" t="s">
        <v>1215</v>
      </c>
      <c r="H178" s="83" t="s">
        <v>159</v>
      </c>
      <c r="I178" s="77">
        <v>481.482822</v>
      </c>
      <c r="J178" s="79">
        <v>4664</v>
      </c>
      <c r="K178" s="70"/>
      <c r="L178" s="77">
        <v>77.833739663000003</v>
      </c>
      <c r="M178" s="78">
        <v>1.1403340717118169E-7</v>
      </c>
      <c r="N178" s="78">
        <f t="shared" si="4"/>
        <v>2.2498147095125188E-3</v>
      </c>
      <c r="O178" s="78">
        <f>L178/'סכום נכסי הקרן'!$C$42</f>
        <v>2.1452363622074183E-5</v>
      </c>
    </row>
    <row r="179" spans="2:15">
      <c r="B179" s="76" t="s">
        <v>1313</v>
      </c>
      <c r="C179" s="70" t="s">
        <v>1314</v>
      </c>
      <c r="D179" s="83" t="s">
        <v>1186</v>
      </c>
      <c r="E179" s="83" t="s">
        <v>1183</v>
      </c>
      <c r="F179" s="70"/>
      <c r="G179" s="83" t="s">
        <v>1295</v>
      </c>
      <c r="H179" s="83" t="s">
        <v>159</v>
      </c>
      <c r="I179" s="77">
        <v>741.07231499999989</v>
      </c>
      <c r="J179" s="79">
        <v>5110</v>
      </c>
      <c r="K179" s="70"/>
      <c r="L179" s="77">
        <v>131.25324449799999</v>
      </c>
      <c r="M179" s="78">
        <v>3.559767100586031E-7</v>
      </c>
      <c r="N179" s="78">
        <f t="shared" si="4"/>
        <v>3.7939264054559965E-3</v>
      </c>
      <c r="O179" s="78">
        <f>L179/'סכום נכסי הקרן'!$C$42</f>
        <v>3.6175729699476399E-5</v>
      </c>
    </row>
    <row r="180" spans="2:15">
      <c r="B180" s="76" t="s">
        <v>1315</v>
      </c>
      <c r="C180" s="70" t="s">
        <v>1316</v>
      </c>
      <c r="D180" s="83" t="s">
        <v>26</v>
      </c>
      <c r="E180" s="83" t="s">
        <v>1183</v>
      </c>
      <c r="F180" s="70"/>
      <c r="G180" s="83" t="s">
        <v>1192</v>
      </c>
      <c r="H180" s="83" t="s">
        <v>161</v>
      </c>
      <c r="I180" s="77">
        <v>514.03859999999997</v>
      </c>
      <c r="J180" s="79">
        <v>3205</v>
      </c>
      <c r="K180" s="70"/>
      <c r="L180" s="77">
        <v>63.968885887999996</v>
      </c>
      <c r="M180" s="78">
        <v>9.4373777654161074E-7</v>
      </c>
      <c r="N180" s="78">
        <f t="shared" si="4"/>
        <v>1.8490456843661702E-3</v>
      </c>
      <c r="O180" s="78">
        <f>L180/'סכום נכסי הקרן'!$C$42</f>
        <v>1.7630963210941429E-5</v>
      </c>
    </row>
    <row r="181" spans="2:15">
      <c r="B181" s="76" t="s">
        <v>1317</v>
      </c>
      <c r="C181" s="70" t="s">
        <v>1318</v>
      </c>
      <c r="D181" s="83" t="s">
        <v>1186</v>
      </c>
      <c r="E181" s="83" t="s">
        <v>1183</v>
      </c>
      <c r="F181" s="70"/>
      <c r="G181" s="83" t="s">
        <v>1283</v>
      </c>
      <c r="H181" s="83" t="s">
        <v>159</v>
      </c>
      <c r="I181" s="77">
        <v>102.80772</v>
      </c>
      <c r="J181" s="79">
        <v>16735</v>
      </c>
      <c r="K181" s="70"/>
      <c r="L181" s="77">
        <v>59.632086151000003</v>
      </c>
      <c r="M181" s="78">
        <v>2.466884620832433E-7</v>
      </c>
      <c r="N181" s="78">
        <f t="shared" si="4"/>
        <v>1.7236887905209318E-3</v>
      </c>
      <c r="O181" s="78">
        <f>L181/'סכום נכסי הקרן'!$C$42</f>
        <v>1.6435664034555259E-5</v>
      </c>
    </row>
    <row r="182" spans="2:15">
      <c r="B182" s="76" t="s">
        <v>1319</v>
      </c>
      <c r="C182" s="70" t="s">
        <v>1320</v>
      </c>
      <c r="D182" s="83" t="s">
        <v>26</v>
      </c>
      <c r="E182" s="83" t="s">
        <v>1183</v>
      </c>
      <c r="F182" s="70"/>
      <c r="G182" s="83" t="s">
        <v>1321</v>
      </c>
      <c r="H182" s="83" t="s">
        <v>161</v>
      </c>
      <c r="I182" s="77">
        <v>550.22863099999995</v>
      </c>
      <c r="J182" s="79">
        <v>3270</v>
      </c>
      <c r="K182" s="70"/>
      <c r="L182" s="77">
        <v>69.861186707999991</v>
      </c>
      <c r="M182" s="78">
        <v>4.4498635126344664E-7</v>
      </c>
      <c r="N182" s="78">
        <f t="shared" si="4"/>
        <v>2.0193649458471971E-3</v>
      </c>
      <c r="O182" s="78">
        <f>L182/'סכום נכסי הקרן'!$C$42</f>
        <v>1.9254986164336467E-5</v>
      </c>
    </row>
    <row r="183" spans="2:15">
      <c r="B183" s="76" t="s">
        <v>1322</v>
      </c>
      <c r="C183" s="70" t="s">
        <v>1323</v>
      </c>
      <c r="D183" s="83" t="s">
        <v>1186</v>
      </c>
      <c r="E183" s="83" t="s">
        <v>1183</v>
      </c>
      <c r="F183" s="70"/>
      <c r="G183" s="83" t="s">
        <v>1209</v>
      </c>
      <c r="H183" s="83" t="s">
        <v>159</v>
      </c>
      <c r="I183" s="77">
        <v>38.552894999999999</v>
      </c>
      <c r="J183" s="79">
        <v>19051</v>
      </c>
      <c r="K183" s="70"/>
      <c r="L183" s="77">
        <v>25.456771884000002</v>
      </c>
      <c r="M183" s="78">
        <v>1.5315674173476923E-7</v>
      </c>
      <c r="N183" s="78">
        <f t="shared" si="4"/>
        <v>7.3583795522745414E-4</v>
      </c>
      <c r="O183" s="78">
        <f>L183/'סכום נכסי הקרן'!$C$42</f>
        <v>7.0163393081749495E-6</v>
      </c>
    </row>
    <row r="184" spans="2:15">
      <c r="B184" s="76" t="s">
        <v>1324</v>
      </c>
      <c r="C184" s="70" t="s">
        <v>1325</v>
      </c>
      <c r="D184" s="83" t="s">
        <v>26</v>
      </c>
      <c r="E184" s="83" t="s">
        <v>1183</v>
      </c>
      <c r="F184" s="70"/>
      <c r="G184" s="83" t="s">
        <v>1192</v>
      </c>
      <c r="H184" s="83" t="s">
        <v>161</v>
      </c>
      <c r="I184" s="77">
        <v>261.28582</v>
      </c>
      <c r="J184" s="79">
        <v>8140</v>
      </c>
      <c r="K184" s="70"/>
      <c r="L184" s="77">
        <v>82.581975485000001</v>
      </c>
      <c r="M184" s="78">
        <v>2.623301984930325E-6</v>
      </c>
      <c r="N184" s="78">
        <f t="shared" si="4"/>
        <v>2.3870643244330273E-3</v>
      </c>
      <c r="O184" s="78">
        <f>L184/'סכום נכסי הקרן'!$C$42</f>
        <v>2.2761061904566245E-5</v>
      </c>
    </row>
    <row r="185" spans="2:15">
      <c r="B185" s="76" t="s">
        <v>1204</v>
      </c>
      <c r="C185" s="70" t="s">
        <v>1205</v>
      </c>
      <c r="D185" s="83" t="s">
        <v>119</v>
      </c>
      <c r="E185" s="83" t="s">
        <v>1183</v>
      </c>
      <c r="F185" s="70"/>
      <c r="G185" s="83" t="s">
        <v>142</v>
      </c>
      <c r="H185" s="83" t="s">
        <v>162</v>
      </c>
      <c r="I185" s="77">
        <v>4375.007756</v>
      </c>
      <c r="J185" s="79">
        <v>615</v>
      </c>
      <c r="K185" s="70"/>
      <c r="L185" s="77">
        <v>114.462081036</v>
      </c>
      <c r="M185" s="78">
        <v>2.4705078947523264E-5</v>
      </c>
      <c r="N185" s="78">
        <f>L185/$L$11</f>
        <v>3.3085712534332182E-3</v>
      </c>
      <c r="O185" s="78">
        <f>L185/'סכום נכסי הקרן'!$C$42</f>
        <v>3.1547786267950089E-5</v>
      </c>
    </row>
    <row r="186" spans="2:15">
      <c r="B186" s="76" t="s">
        <v>1326</v>
      </c>
      <c r="C186" s="70" t="s">
        <v>1327</v>
      </c>
      <c r="D186" s="83" t="s">
        <v>1182</v>
      </c>
      <c r="E186" s="83" t="s">
        <v>1183</v>
      </c>
      <c r="F186" s="70"/>
      <c r="G186" s="83" t="s">
        <v>1283</v>
      </c>
      <c r="H186" s="83" t="s">
        <v>159</v>
      </c>
      <c r="I186" s="77">
        <v>49.005012999999998</v>
      </c>
      <c r="J186" s="79">
        <v>70230</v>
      </c>
      <c r="K186" s="70"/>
      <c r="L186" s="77">
        <v>119.28662119000001</v>
      </c>
      <c r="M186" s="78">
        <v>5.5363787607372167E-7</v>
      </c>
      <c r="N186" s="78">
        <f t="shared" si="4"/>
        <v>3.448026474936122E-3</v>
      </c>
      <c r="O186" s="78">
        <f>L186/'סכום נכסי הקרן'!$C$42</f>
        <v>3.2877515382098073E-5</v>
      </c>
    </row>
    <row r="187" spans="2:15">
      <c r="B187" s="76" t="s">
        <v>1328</v>
      </c>
      <c r="C187" s="70" t="s">
        <v>1329</v>
      </c>
      <c r="D187" s="83" t="s">
        <v>26</v>
      </c>
      <c r="E187" s="83" t="s">
        <v>1183</v>
      </c>
      <c r="F187" s="70"/>
      <c r="G187" s="83" t="s">
        <v>1215</v>
      </c>
      <c r="H187" s="83" t="s">
        <v>166</v>
      </c>
      <c r="I187" s="77">
        <v>2799.8834379999998</v>
      </c>
      <c r="J187" s="79">
        <v>8616</v>
      </c>
      <c r="K187" s="70"/>
      <c r="L187" s="77">
        <v>89.161548912000001</v>
      </c>
      <c r="M187" s="78">
        <v>9.1130299089151965E-7</v>
      </c>
      <c r="N187" s="78">
        <f t="shared" si="4"/>
        <v>2.5772494696216651E-3</v>
      </c>
      <c r="O187" s="78">
        <f>L187/'סכום נכסי הקרן'!$C$42</f>
        <v>2.4574509417756187E-5</v>
      </c>
    </row>
    <row r="188" spans="2:15">
      <c r="B188" s="76" t="s">
        <v>1330</v>
      </c>
      <c r="C188" s="70" t="s">
        <v>1331</v>
      </c>
      <c r="D188" s="83" t="s">
        <v>1186</v>
      </c>
      <c r="E188" s="83" t="s">
        <v>1183</v>
      </c>
      <c r="F188" s="70"/>
      <c r="G188" s="83" t="s">
        <v>1332</v>
      </c>
      <c r="H188" s="83" t="s">
        <v>159</v>
      </c>
      <c r="I188" s="77">
        <v>98.524064999999993</v>
      </c>
      <c r="J188" s="79">
        <v>18868</v>
      </c>
      <c r="K188" s="70"/>
      <c r="L188" s="77">
        <v>64.431278344999996</v>
      </c>
      <c r="M188" s="78">
        <v>4.3834607406834487E-7</v>
      </c>
      <c r="N188" s="78">
        <f t="shared" si="4"/>
        <v>1.8624113193187043E-3</v>
      </c>
      <c r="O188" s="78">
        <f>L188/'סכום נכסי הקרן'!$C$42</f>
        <v>1.7758406799886489E-5</v>
      </c>
    </row>
    <row r="189" spans="2:15">
      <c r="B189" s="76" t="s">
        <v>1333</v>
      </c>
      <c r="C189" s="70" t="s">
        <v>1334</v>
      </c>
      <c r="D189" s="83" t="s">
        <v>1182</v>
      </c>
      <c r="E189" s="83" t="s">
        <v>1183</v>
      </c>
      <c r="F189" s="70"/>
      <c r="G189" s="83" t="s">
        <v>1275</v>
      </c>
      <c r="H189" s="83" t="s">
        <v>159</v>
      </c>
      <c r="I189" s="77">
        <v>482.42522600000007</v>
      </c>
      <c r="J189" s="79">
        <v>22707</v>
      </c>
      <c r="K189" s="70"/>
      <c r="L189" s="77">
        <v>379.68053024800008</v>
      </c>
      <c r="M189" s="78">
        <v>2.0044241443680638E-7</v>
      </c>
      <c r="N189" s="78">
        <f t="shared" si="4"/>
        <v>1.0974814335864828E-2</v>
      </c>
      <c r="O189" s="78">
        <f>L189/'סכום נכסי הקרן'!$C$42</f>
        <v>1.0464671015896159E-4</v>
      </c>
    </row>
    <row r="190" spans="2:15">
      <c r="B190" s="76" t="s">
        <v>1335</v>
      </c>
      <c r="C190" s="70" t="s">
        <v>1336</v>
      </c>
      <c r="D190" s="83" t="s">
        <v>1186</v>
      </c>
      <c r="E190" s="83" t="s">
        <v>1183</v>
      </c>
      <c r="F190" s="70"/>
      <c r="G190" s="83" t="s">
        <v>1321</v>
      </c>
      <c r="H190" s="83" t="s">
        <v>159</v>
      </c>
      <c r="I190" s="77">
        <v>85.673100000000019</v>
      </c>
      <c r="J190" s="79">
        <v>14022</v>
      </c>
      <c r="K190" s="77">
        <v>0.193012927</v>
      </c>
      <c r="L190" s="77">
        <v>41.830355423</v>
      </c>
      <c r="M190" s="78">
        <v>3.2793558841632558E-7</v>
      </c>
      <c r="N190" s="78">
        <f t="shared" si="4"/>
        <v>1.2091227961328408E-3</v>
      </c>
      <c r="O190" s="78">
        <f>L190/'סכום נכסי הקרן'!$C$42</f>
        <v>1.1529190282519328E-5</v>
      </c>
    </row>
    <row r="191" spans="2:15">
      <c r="B191" s="76" t="s">
        <v>1337</v>
      </c>
      <c r="C191" s="70" t="s">
        <v>1338</v>
      </c>
      <c r="D191" s="83" t="s">
        <v>26</v>
      </c>
      <c r="E191" s="83" t="s">
        <v>1183</v>
      </c>
      <c r="F191" s="70"/>
      <c r="G191" s="83" t="s">
        <v>1292</v>
      </c>
      <c r="H191" s="83" t="s">
        <v>161</v>
      </c>
      <c r="I191" s="77">
        <v>64.254824999999997</v>
      </c>
      <c r="J191" s="79">
        <v>15185</v>
      </c>
      <c r="K191" s="70"/>
      <c r="L191" s="77">
        <v>37.884849150000001</v>
      </c>
      <c r="M191" s="78">
        <v>3.4779734155556522E-7</v>
      </c>
      <c r="N191" s="78">
        <f t="shared" si="4"/>
        <v>1.0950763930189348E-3</v>
      </c>
      <c r="O191" s="78">
        <f>L191/'סכום נכסי הקרן'!$C$42</f>
        <v>1.044173854747432E-5</v>
      </c>
    </row>
    <row r="192" spans="2:15">
      <c r="B192" s="76" t="s">
        <v>1339</v>
      </c>
      <c r="C192" s="70" t="s">
        <v>1340</v>
      </c>
      <c r="D192" s="83" t="s">
        <v>1306</v>
      </c>
      <c r="E192" s="83" t="s">
        <v>1183</v>
      </c>
      <c r="F192" s="70"/>
      <c r="G192" s="83" t="s">
        <v>1192</v>
      </c>
      <c r="H192" s="83" t="s">
        <v>161</v>
      </c>
      <c r="I192" s="77">
        <v>925.26948000000004</v>
      </c>
      <c r="J192" s="79">
        <v>2370</v>
      </c>
      <c r="K192" s="70"/>
      <c r="L192" s="77">
        <v>85.145481185999984</v>
      </c>
      <c r="M192" s="78">
        <v>1.2480865189541025E-6</v>
      </c>
      <c r="N192" s="78">
        <f t="shared" si="4"/>
        <v>2.4611634600906528E-3</v>
      </c>
      <c r="O192" s="78">
        <f>L192/'סכום נכסי הקרן'!$C$42</f>
        <v>2.3467609690696249E-5</v>
      </c>
    </row>
    <row r="193" spans="2:15">
      <c r="B193" s="76" t="s">
        <v>1341</v>
      </c>
      <c r="C193" s="70" t="s">
        <v>1342</v>
      </c>
      <c r="D193" s="83" t="s">
        <v>1186</v>
      </c>
      <c r="E193" s="83" t="s">
        <v>1183</v>
      </c>
      <c r="F193" s="70"/>
      <c r="G193" s="83" t="s">
        <v>1292</v>
      </c>
      <c r="H193" s="83" t="s">
        <v>159</v>
      </c>
      <c r="I193" s="77">
        <v>428.36550000000005</v>
      </c>
      <c r="J193" s="79">
        <v>2530</v>
      </c>
      <c r="K193" s="70"/>
      <c r="L193" s="77">
        <v>37.563285021999995</v>
      </c>
      <c r="M193" s="78">
        <v>2.9933096321820894E-7</v>
      </c>
      <c r="N193" s="78">
        <f t="shared" si="4"/>
        <v>1.0857814560371274E-3</v>
      </c>
      <c r="O193" s="78">
        <f>L193/'סכום נכסי הקרן'!$C$42</f>
        <v>1.0353109751896218E-5</v>
      </c>
    </row>
    <row r="194" spans="2:15">
      <c r="B194" s="76" t="s">
        <v>1343</v>
      </c>
      <c r="C194" s="70" t="s">
        <v>1344</v>
      </c>
      <c r="D194" s="83" t="s">
        <v>1186</v>
      </c>
      <c r="E194" s="83" t="s">
        <v>1183</v>
      </c>
      <c r="F194" s="70"/>
      <c r="G194" s="83" t="s">
        <v>1280</v>
      </c>
      <c r="H194" s="83" t="s">
        <v>159</v>
      </c>
      <c r="I194" s="77">
        <v>77.448481999999998</v>
      </c>
      <c r="J194" s="79">
        <v>19762</v>
      </c>
      <c r="K194" s="70"/>
      <c r="L194" s="77">
        <v>53.048409274000001</v>
      </c>
      <c r="M194" s="78">
        <v>2.2521518569600282E-7</v>
      </c>
      <c r="N194" s="78">
        <f t="shared" si="4"/>
        <v>1.5333850335039311E-3</v>
      </c>
      <c r="O194" s="78">
        <f>L194/'סכום נכסי הקרן'!$C$42</f>
        <v>1.4621085537528664E-5</v>
      </c>
    </row>
    <row r="195" spans="2:15">
      <c r="B195" s="76" t="s">
        <v>1345</v>
      </c>
      <c r="C195" s="70" t="s">
        <v>1346</v>
      </c>
      <c r="D195" s="83" t="s">
        <v>1186</v>
      </c>
      <c r="E195" s="83" t="s">
        <v>1183</v>
      </c>
      <c r="F195" s="70"/>
      <c r="G195" s="83" t="s">
        <v>1209</v>
      </c>
      <c r="H195" s="83" t="s">
        <v>159</v>
      </c>
      <c r="I195" s="77">
        <v>98.524064999999993</v>
      </c>
      <c r="J195" s="79">
        <v>25051</v>
      </c>
      <c r="K195" s="70"/>
      <c r="L195" s="77">
        <v>85.545259370999986</v>
      </c>
      <c r="M195" s="78">
        <v>9.1605737270866848E-8</v>
      </c>
      <c r="N195" s="78">
        <f t="shared" si="4"/>
        <v>2.4727192050034569E-3</v>
      </c>
      <c r="O195" s="78">
        <f>L195/'סכום נכסי הקרן'!$C$42</f>
        <v>2.3577795672121856E-5</v>
      </c>
    </row>
    <row r="196" spans="2:15">
      <c r="B196" s="76" t="s">
        <v>1347</v>
      </c>
      <c r="C196" s="70" t="s">
        <v>1348</v>
      </c>
      <c r="D196" s="83" t="s">
        <v>1306</v>
      </c>
      <c r="E196" s="83" t="s">
        <v>1183</v>
      </c>
      <c r="F196" s="70"/>
      <c r="G196" s="83" t="s">
        <v>1209</v>
      </c>
      <c r="H196" s="83" t="s">
        <v>161</v>
      </c>
      <c r="I196" s="77">
        <v>599.71169999999995</v>
      </c>
      <c r="J196" s="79">
        <v>2357</v>
      </c>
      <c r="K196" s="70"/>
      <c r="L196" s="77">
        <v>54.884173077</v>
      </c>
      <c r="M196" s="78">
        <v>1.9242177182438076E-7</v>
      </c>
      <c r="N196" s="78">
        <f t="shared" si="4"/>
        <v>1.5864485047576886E-3</v>
      </c>
      <c r="O196" s="78">
        <f>L196/'סכום נכסי הקרן'!$C$42</f>
        <v>1.5127054707154964E-5</v>
      </c>
    </row>
    <row r="197" spans="2:15">
      <c r="B197" s="76" t="s">
        <v>1349</v>
      </c>
      <c r="C197" s="70" t="s">
        <v>1350</v>
      </c>
      <c r="D197" s="83" t="s">
        <v>26</v>
      </c>
      <c r="E197" s="83" t="s">
        <v>1183</v>
      </c>
      <c r="F197" s="70"/>
      <c r="G197" s="83" t="s">
        <v>1246</v>
      </c>
      <c r="H197" s="83" t="s">
        <v>161</v>
      </c>
      <c r="I197" s="77">
        <v>514.03859999999997</v>
      </c>
      <c r="J197" s="79">
        <v>2097</v>
      </c>
      <c r="K197" s="70"/>
      <c r="L197" s="77">
        <v>41.854213324999996</v>
      </c>
      <c r="M197" s="78">
        <v>3.9362147179948739E-7</v>
      </c>
      <c r="N197" s="78">
        <f t="shared" si="4"/>
        <v>1.2098124181282646E-3</v>
      </c>
      <c r="O197" s="78">
        <f>L197/'סכום נכסי הקרן'!$C$42</f>
        <v>1.1535765944837234E-5</v>
      </c>
    </row>
    <row r="198" spans="2:15">
      <c r="B198" s="76" t="s">
        <v>1351</v>
      </c>
      <c r="C198" s="70" t="s">
        <v>1352</v>
      </c>
      <c r="D198" s="83" t="s">
        <v>1182</v>
      </c>
      <c r="E198" s="83" t="s">
        <v>1183</v>
      </c>
      <c r="F198" s="70"/>
      <c r="G198" s="83" t="s">
        <v>1246</v>
      </c>
      <c r="H198" s="83" t="s">
        <v>159</v>
      </c>
      <c r="I198" s="77">
        <v>188.48081999999999</v>
      </c>
      <c r="J198" s="79">
        <v>5983</v>
      </c>
      <c r="K198" s="70"/>
      <c r="L198" s="77">
        <v>39.085414658000005</v>
      </c>
      <c r="M198" s="78">
        <v>4.4516017949929142E-8</v>
      </c>
      <c r="N198" s="78">
        <f t="shared" si="4"/>
        <v>1.1297792089356134E-3</v>
      </c>
      <c r="O198" s="78">
        <f>L198/'סכום נכסי הקרן'!$C$42</f>
        <v>1.0772635764301479E-5</v>
      </c>
    </row>
    <row r="199" spans="2:15">
      <c r="B199" s="76" t="s">
        <v>1210</v>
      </c>
      <c r="C199" s="70" t="s">
        <v>1211</v>
      </c>
      <c r="D199" s="83" t="s">
        <v>1186</v>
      </c>
      <c r="E199" s="83" t="s">
        <v>1183</v>
      </c>
      <c r="F199" s="70"/>
      <c r="G199" s="83" t="s">
        <v>672</v>
      </c>
      <c r="H199" s="83" t="s">
        <v>159</v>
      </c>
      <c r="I199" s="77">
        <v>381.55206600000002</v>
      </c>
      <c r="J199" s="79">
        <v>12246</v>
      </c>
      <c r="K199" s="77">
        <v>0.99184459600000008</v>
      </c>
      <c r="L199" s="77">
        <v>162.94023016</v>
      </c>
      <c r="M199" s="78">
        <v>3.5708748799170555E-6</v>
      </c>
      <c r="N199" s="78">
        <f>L199/$L$11</f>
        <v>4.709851128476457E-3</v>
      </c>
      <c r="O199" s="78">
        <f>L199/'סכום נכסי הקרן'!$C$42</f>
        <v>4.4909226785083029E-5</v>
      </c>
    </row>
    <row r="200" spans="2:15">
      <c r="B200" s="76" t="s">
        <v>1353</v>
      </c>
      <c r="C200" s="70" t="s">
        <v>1354</v>
      </c>
      <c r="D200" s="83" t="s">
        <v>1186</v>
      </c>
      <c r="E200" s="83" t="s">
        <v>1183</v>
      </c>
      <c r="F200" s="70"/>
      <c r="G200" s="83" t="s">
        <v>153</v>
      </c>
      <c r="H200" s="83" t="s">
        <v>159</v>
      </c>
      <c r="I200" s="77">
        <v>128.89517900000001</v>
      </c>
      <c r="J200" s="79">
        <v>9160</v>
      </c>
      <c r="K200" s="70"/>
      <c r="L200" s="77">
        <v>40.922363226000002</v>
      </c>
      <c r="M200" s="78">
        <v>2.3554466568751347E-7</v>
      </c>
      <c r="N200" s="78">
        <f t="shared" si="4"/>
        <v>1.1828769262854193E-3</v>
      </c>
      <c r="O200" s="78">
        <f>L200/'סכום נכסי הקרן'!$C$42</f>
        <v>1.1278931476243447E-5</v>
      </c>
    </row>
    <row r="201" spans="2:15">
      <c r="B201" s="76" t="s">
        <v>1355</v>
      </c>
      <c r="C201" s="70" t="s">
        <v>1356</v>
      </c>
      <c r="D201" s="83" t="s">
        <v>1186</v>
      </c>
      <c r="E201" s="83" t="s">
        <v>1183</v>
      </c>
      <c r="F201" s="70"/>
      <c r="G201" s="83" t="s">
        <v>1295</v>
      </c>
      <c r="H201" s="83" t="s">
        <v>159</v>
      </c>
      <c r="I201" s="77">
        <v>481.05445700000001</v>
      </c>
      <c r="J201" s="79">
        <v>9406</v>
      </c>
      <c r="K201" s="70"/>
      <c r="L201" s="77">
        <v>156.82950622999999</v>
      </c>
      <c r="M201" s="78">
        <v>1.5787687733858782E-7</v>
      </c>
      <c r="N201" s="78">
        <f t="shared" si="4"/>
        <v>4.5332182615088739E-3</v>
      </c>
      <c r="O201" s="78">
        <f>L201/'סכום נכסי הקרן'!$C$42</f>
        <v>4.3225002535958497E-5</v>
      </c>
    </row>
    <row r="202" spans="2:15">
      <c r="B202" s="76" t="s">
        <v>1357</v>
      </c>
      <c r="C202" s="70" t="s">
        <v>1358</v>
      </c>
      <c r="D202" s="83" t="s">
        <v>1186</v>
      </c>
      <c r="E202" s="83" t="s">
        <v>1183</v>
      </c>
      <c r="F202" s="70"/>
      <c r="G202" s="83" t="s">
        <v>1192</v>
      </c>
      <c r="H202" s="83" t="s">
        <v>159</v>
      </c>
      <c r="I202" s="77">
        <v>59.971170000000001</v>
      </c>
      <c r="J202" s="79">
        <v>16967</v>
      </c>
      <c r="K202" s="70"/>
      <c r="L202" s="77">
        <v>35.267618963000004</v>
      </c>
      <c r="M202" s="78">
        <v>2.7781106936691719E-7</v>
      </c>
      <c r="N202" s="78">
        <f t="shared" si="4"/>
        <v>1.0194243300654196E-3</v>
      </c>
      <c r="O202" s="78">
        <f>L202/'סכום נכסי הקרן'!$C$42</f>
        <v>9.7203833370310109E-6</v>
      </c>
    </row>
    <row r="203" spans="2:15">
      <c r="B203" s="76" t="s">
        <v>1359</v>
      </c>
      <c r="C203" s="70" t="s">
        <v>1360</v>
      </c>
      <c r="D203" s="83" t="s">
        <v>26</v>
      </c>
      <c r="E203" s="83" t="s">
        <v>1183</v>
      </c>
      <c r="F203" s="70"/>
      <c r="G203" s="83" t="s">
        <v>1283</v>
      </c>
      <c r="H203" s="83" t="s">
        <v>161</v>
      </c>
      <c r="I203" s="77">
        <v>128.50964999999999</v>
      </c>
      <c r="J203" s="79">
        <v>11358</v>
      </c>
      <c r="K203" s="70"/>
      <c r="L203" s="77">
        <v>56.673838215000004</v>
      </c>
      <c r="M203" s="78">
        <v>1.8003634808014969E-6</v>
      </c>
      <c r="N203" s="78">
        <f t="shared" si="4"/>
        <v>1.6381794760563504E-3</v>
      </c>
      <c r="O203" s="78">
        <f>L203/'סכום נכסי הקרן'!$C$42</f>
        <v>1.5620318264429167E-5</v>
      </c>
    </row>
    <row r="204" spans="2:15">
      <c r="B204" s="76" t="s">
        <v>1361</v>
      </c>
      <c r="C204" s="70" t="s">
        <v>1362</v>
      </c>
      <c r="D204" s="83" t="s">
        <v>1186</v>
      </c>
      <c r="E204" s="83" t="s">
        <v>1183</v>
      </c>
      <c r="F204" s="70"/>
      <c r="G204" s="83" t="s">
        <v>1268</v>
      </c>
      <c r="H204" s="83" t="s">
        <v>159</v>
      </c>
      <c r="I204" s="77">
        <v>902.91822499999989</v>
      </c>
      <c r="J204" s="79">
        <v>1340</v>
      </c>
      <c r="K204" s="70"/>
      <c r="L204" s="77">
        <v>41.935495198999995</v>
      </c>
      <c r="M204" s="78">
        <v>1.4629596432362424E-5</v>
      </c>
      <c r="N204" s="78">
        <f t="shared" si="4"/>
        <v>1.2121619025104069E-3</v>
      </c>
      <c r="O204" s="78">
        <f>L204/'סכום נכסי הקרן'!$C$42</f>
        <v>1.1558168675638571E-5</v>
      </c>
    </row>
    <row r="205" spans="2:15">
      <c r="B205" s="76" t="s">
        <v>1221</v>
      </c>
      <c r="C205" s="70" t="s">
        <v>1222</v>
      </c>
      <c r="D205" s="83" t="s">
        <v>1182</v>
      </c>
      <c r="E205" s="83" t="s">
        <v>1183</v>
      </c>
      <c r="F205" s="70"/>
      <c r="G205" s="83" t="s">
        <v>188</v>
      </c>
      <c r="H205" s="83" t="s">
        <v>159</v>
      </c>
      <c r="I205" s="77">
        <v>383.84366999999997</v>
      </c>
      <c r="J205" s="79">
        <v>4143</v>
      </c>
      <c r="K205" s="70"/>
      <c r="L205" s="77">
        <v>55.118561498000012</v>
      </c>
      <c r="M205" s="78">
        <v>5.7983906870373169E-6</v>
      </c>
      <c r="N205" s="78">
        <f>L205/$L$11</f>
        <v>1.5932235938076102E-3</v>
      </c>
      <c r="O205" s="78">
        <f>L205/'סכום נכסי הקרן'!$C$42</f>
        <v>1.5191656326682263E-5</v>
      </c>
    </row>
    <row r="206" spans="2:15">
      <c r="B206" s="76" t="s">
        <v>1363</v>
      </c>
      <c r="C206" s="70" t="s">
        <v>1364</v>
      </c>
      <c r="D206" s="83" t="s">
        <v>1186</v>
      </c>
      <c r="E206" s="83" t="s">
        <v>1183</v>
      </c>
      <c r="F206" s="70"/>
      <c r="G206" s="83" t="s">
        <v>1192</v>
      </c>
      <c r="H206" s="83" t="s">
        <v>159</v>
      </c>
      <c r="I206" s="77">
        <v>79.958703999999997</v>
      </c>
      <c r="J206" s="79">
        <v>36492</v>
      </c>
      <c r="K206" s="70"/>
      <c r="L206" s="77">
        <v>101.13278618700002</v>
      </c>
      <c r="M206" s="78">
        <v>2.8512352049927633E-7</v>
      </c>
      <c r="N206" s="78">
        <f t="shared" si="4"/>
        <v>2.9232827686636077E-3</v>
      </c>
      <c r="O206" s="78">
        <f>L206/'סכום נכסי הקרן'!$C$42</f>
        <v>2.7873995426540497E-5</v>
      </c>
    </row>
    <row r="207" spans="2:15">
      <c r="B207" s="76" t="s">
        <v>1365</v>
      </c>
      <c r="C207" s="70" t="s">
        <v>1366</v>
      </c>
      <c r="D207" s="83" t="s">
        <v>26</v>
      </c>
      <c r="E207" s="83" t="s">
        <v>1183</v>
      </c>
      <c r="F207" s="70"/>
      <c r="G207" s="83" t="s">
        <v>1332</v>
      </c>
      <c r="H207" s="83" t="s">
        <v>161</v>
      </c>
      <c r="I207" s="77">
        <v>43.264915999999999</v>
      </c>
      <c r="J207" s="79">
        <v>28570</v>
      </c>
      <c r="K207" s="70"/>
      <c r="L207" s="77">
        <v>47.994461272000002</v>
      </c>
      <c r="M207" s="78">
        <v>7.7356831117614116E-8</v>
      </c>
      <c r="N207" s="78">
        <f t="shared" si="4"/>
        <v>1.3872986883630952E-3</v>
      </c>
      <c r="O207" s="78">
        <f>L207/'סכום נכסי הקרן'!$C$42</f>
        <v>1.3228127538396332E-5</v>
      </c>
    </row>
    <row r="208" spans="2:15">
      <c r="B208" s="76" t="s">
        <v>1367</v>
      </c>
      <c r="C208" s="70" t="s">
        <v>1368</v>
      </c>
      <c r="D208" s="83" t="s">
        <v>1186</v>
      </c>
      <c r="E208" s="83" t="s">
        <v>1183</v>
      </c>
      <c r="F208" s="70"/>
      <c r="G208" s="83" t="s">
        <v>1369</v>
      </c>
      <c r="H208" s="83" t="s">
        <v>159</v>
      </c>
      <c r="I208" s="77">
        <v>81.389444999999995</v>
      </c>
      <c r="J208" s="79">
        <v>20657</v>
      </c>
      <c r="K208" s="70"/>
      <c r="L208" s="77">
        <v>58.272532787999999</v>
      </c>
      <c r="M208" s="78">
        <v>1.3096973167322849E-6</v>
      </c>
      <c r="N208" s="78">
        <f t="shared" si="4"/>
        <v>1.6843903684267581E-3</v>
      </c>
      <c r="O208" s="78">
        <f>L208/'סכום נכסי הקרן'!$C$42</f>
        <v>1.6060946935865544E-5</v>
      </c>
    </row>
    <row r="209" spans="2:15">
      <c r="B209" s="76" t="s">
        <v>1370</v>
      </c>
      <c r="C209" s="70" t="s">
        <v>1371</v>
      </c>
      <c r="D209" s="83" t="s">
        <v>1186</v>
      </c>
      <c r="E209" s="83" t="s">
        <v>1183</v>
      </c>
      <c r="F209" s="70"/>
      <c r="G209" s="83" t="s">
        <v>1198</v>
      </c>
      <c r="H209" s="83" t="s">
        <v>159</v>
      </c>
      <c r="I209" s="77">
        <v>86.366195000000005</v>
      </c>
      <c r="J209" s="79">
        <v>29570</v>
      </c>
      <c r="K209" s="70"/>
      <c r="L209" s="77">
        <v>88.516385446999976</v>
      </c>
      <c r="M209" s="78">
        <v>8.6971452034255366E-8</v>
      </c>
      <c r="N209" s="78">
        <f t="shared" si="4"/>
        <v>2.5586007671453133E-3</v>
      </c>
      <c r="O209" s="78">
        <f>L209/'סכום נכסי הקרן'!$C$42</f>
        <v>2.4396690886785138E-5</v>
      </c>
    </row>
    <row r="210" spans="2:15">
      <c r="B210" s="76" t="s">
        <v>1372</v>
      </c>
      <c r="C210" s="70" t="s">
        <v>1373</v>
      </c>
      <c r="D210" s="83" t="s">
        <v>1186</v>
      </c>
      <c r="E210" s="83" t="s">
        <v>1183</v>
      </c>
      <c r="F210" s="70"/>
      <c r="G210" s="83" t="s">
        <v>1374</v>
      </c>
      <c r="H210" s="83" t="s">
        <v>159</v>
      </c>
      <c r="I210" s="77">
        <v>203.09579400000001</v>
      </c>
      <c r="J210" s="79">
        <v>18447</v>
      </c>
      <c r="K210" s="70"/>
      <c r="L210" s="77">
        <v>129.85397123500002</v>
      </c>
      <c r="M210" s="78">
        <v>2.7314115451735965E-7</v>
      </c>
      <c r="N210" s="78">
        <f t="shared" si="4"/>
        <v>3.7534798641057367E-3</v>
      </c>
      <c r="O210" s="78">
        <f>L210/'סכום נכסי הקרן'!$C$42</f>
        <v>3.5790065089572127E-5</v>
      </c>
    </row>
    <row r="211" spans="2:15">
      <c r="B211" s="76" t="s">
        <v>1375</v>
      </c>
      <c r="C211" s="70" t="s">
        <v>1376</v>
      </c>
      <c r="D211" s="83" t="s">
        <v>1182</v>
      </c>
      <c r="E211" s="83" t="s">
        <v>1183</v>
      </c>
      <c r="F211" s="70"/>
      <c r="G211" s="83" t="s">
        <v>1198</v>
      </c>
      <c r="H211" s="83" t="s">
        <v>159</v>
      </c>
      <c r="I211" s="77">
        <v>391.91759299999995</v>
      </c>
      <c r="J211" s="79">
        <v>20351</v>
      </c>
      <c r="K211" s="70"/>
      <c r="L211" s="77">
        <v>276.44521170199999</v>
      </c>
      <c r="M211" s="78">
        <v>5.1680712214359712E-8</v>
      </c>
      <c r="N211" s="78">
        <f t="shared" si="4"/>
        <v>7.990757046421602E-3</v>
      </c>
      <c r="O211" s="78">
        <f>L211/'סכום נכסי הקרן'!$C$42</f>
        <v>7.6193219401890435E-5</v>
      </c>
    </row>
    <row r="212" spans="2:15">
      <c r="B212" s="76" t="s">
        <v>1377</v>
      </c>
      <c r="C212" s="70" t="s">
        <v>1378</v>
      </c>
      <c r="D212" s="83" t="s">
        <v>1186</v>
      </c>
      <c r="E212" s="83" t="s">
        <v>1183</v>
      </c>
      <c r="F212" s="70"/>
      <c r="G212" s="83" t="s">
        <v>1280</v>
      </c>
      <c r="H212" s="83" t="s">
        <v>159</v>
      </c>
      <c r="I212" s="77">
        <v>32.265346000000001</v>
      </c>
      <c r="J212" s="79">
        <v>27473</v>
      </c>
      <c r="K212" s="70"/>
      <c r="L212" s="77">
        <v>30.723520172000001</v>
      </c>
      <c r="M212" s="78">
        <v>1.7208184533333334E-7</v>
      </c>
      <c r="N212" s="78">
        <f t="shared" si="4"/>
        <v>8.8807537592632175E-4</v>
      </c>
      <c r="O212" s="78">
        <f>L212/'סכום נכסי הקרן'!$C$42</f>
        <v>8.4679488526900282E-6</v>
      </c>
    </row>
    <row r="213" spans="2:15">
      <c r="B213" s="76" t="s">
        <v>1379</v>
      </c>
      <c r="C213" s="70" t="s">
        <v>1380</v>
      </c>
      <c r="D213" s="83" t="s">
        <v>1186</v>
      </c>
      <c r="E213" s="83" t="s">
        <v>1183</v>
      </c>
      <c r="F213" s="70"/>
      <c r="G213" s="83" t="s">
        <v>1280</v>
      </c>
      <c r="H213" s="83" t="s">
        <v>159</v>
      </c>
      <c r="I213" s="77">
        <v>255.30583799999999</v>
      </c>
      <c r="J213" s="79">
        <v>4830</v>
      </c>
      <c r="K213" s="70"/>
      <c r="L213" s="77">
        <v>42.740188667000005</v>
      </c>
      <c r="M213" s="78">
        <v>1.6203141829692588E-7</v>
      </c>
      <c r="N213" s="78">
        <f t="shared" si="4"/>
        <v>1.2354218821643934E-3</v>
      </c>
      <c r="O213" s="78">
        <f>L213/'סכום נכסי הקרן'!$C$42</f>
        <v>1.1779956514107937E-5</v>
      </c>
    </row>
    <row r="214" spans="2:15">
      <c r="B214" s="76" t="s">
        <v>1381</v>
      </c>
      <c r="C214" s="70" t="s">
        <v>1382</v>
      </c>
      <c r="D214" s="83" t="s">
        <v>1182</v>
      </c>
      <c r="E214" s="83" t="s">
        <v>1183</v>
      </c>
      <c r="F214" s="70"/>
      <c r="G214" s="83" t="s">
        <v>1280</v>
      </c>
      <c r="H214" s="83" t="s">
        <v>159</v>
      </c>
      <c r="I214" s="77">
        <v>100.580219</v>
      </c>
      <c r="J214" s="79">
        <v>11947</v>
      </c>
      <c r="K214" s="70"/>
      <c r="L214" s="77">
        <v>41.648561003000005</v>
      </c>
      <c r="M214" s="78">
        <v>6.130292195736915E-7</v>
      </c>
      <c r="N214" s="78">
        <f t="shared" si="4"/>
        <v>1.2038679572674057E-3</v>
      </c>
      <c r="O214" s="78">
        <f>L214/'סכום נכסי הקרן'!$C$42</f>
        <v>1.147908450552352E-5</v>
      </c>
    </row>
    <row r="215" spans="2:15">
      <c r="B215" s="76" t="s">
        <v>1383</v>
      </c>
      <c r="C215" s="70" t="s">
        <v>1384</v>
      </c>
      <c r="D215" s="83" t="s">
        <v>135</v>
      </c>
      <c r="E215" s="83" t="s">
        <v>1183</v>
      </c>
      <c r="F215" s="70"/>
      <c r="G215" s="83" t="s">
        <v>1385</v>
      </c>
      <c r="H215" s="83" t="s">
        <v>1265</v>
      </c>
      <c r="I215" s="77">
        <v>325.55777999999998</v>
      </c>
      <c r="J215" s="79">
        <v>10474</v>
      </c>
      <c r="K215" s="70"/>
      <c r="L215" s="77">
        <v>124.218962506</v>
      </c>
      <c r="M215" s="78">
        <v>1.0939441532258064E-7</v>
      </c>
      <c r="N215" s="78">
        <f t="shared" si="4"/>
        <v>3.5905977312206024E-3</v>
      </c>
      <c r="O215" s="78">
        <f>L215/'סכום נכסי הקרן'!$C$42</f>
        <v>3.4236956414703513E-5</v>
      </c>
    </row>
    <row r="216" spans="2:15">
      <c r="B216" s="76" t="s">
        <v>1386</v>
      </c>
      <c r="C216" s="70" t="s">
        <v>1387</v>
      </c>
      <c r="D216" s="83" t="s">
        <v>1182</v>
      </c>
      <c r="E216" s="83" t="s">
        <v>1183</v>
      </c>
      <c r="F216" s="70"/>
      <c r="G216" s="83" t="s">
        <v>1275</v>
      </c>
      <c r="H216" s="83" t="s">
        <v>159</v>
      </c>
      <c r="I216" s="77">
        <v>96.132929000000004</v>
      </c>
      <c r="J216" s="79">
        <v>45504</v>
      </c>
      <c r="K216" s="70"/>
      <c r="L216" s="77">
        <v>151.61784053700001</v>
      </c>
      <c r="M216" s="78">
        <v>2.1858128018311611E-7</v>
      </c>
      <c r="N216" s="78">
        <f t="shared" si="4"/>
        <v>4.3825730247781126E-3</v>
      </c>
      <c r="O216" s="78">
        <f>L216/'סכום נכסי הקרן'!$C$42</f>
        <v>4.1788574734763267E-5</v>
      </c>
    </row>
    <row r="217" spans="2:15">
      <c r="B217" s="76" t="s">
        <v>1388</v>
      </c>
      <c r="C217" s="70" t="s">
        <v>1389</v>
      </c>
      <c r="D217" s="83" t="s">
        <v>1186</v>
      </c>
      <c r="E217" s="83" t="s">
        <v>1183</v>
      </c>
      <c r="F217" s="70"/>
      <c r="G217" s="83" t="s">
        <v>1268</v>
      </c>
      <c r="H217" s="83" t="s">
        <v>159</v>
      </c>
      <c r="I217" s="77">
        <v>406.09049399999998</v>
      </c>
      <c r="J217" s="79">
        <v>9805</v>
      </c>
      <c r="K217" s="77">
        <v>0.279363941</v>
      </c>
      <c r="L217" s="77">
        <v>138.28568533999999</v>
      </c>
      <c r="M217" s="78">
        <v>3.274877168223665E-7</v>
      </c>
      <c r="N217" s="78">
        <f t="shared" si="4"/>
        <v>3.9972018605300046E-3</v>
      </c>
      <c r="O217" s="78">
        <f>L217/'סכום נכסי הקרן'!$C$42</f>
        <v>3.8113995530547931E-5</v>
      </c>
    </row>
    <row r="218" spans="2:15">
      <c r="B218" s="76" t="s">
        <v>1390</v>
      </c>
      <c r="C218" s="70" t="s">
        <v>1391</v>
      </c>
      <c r="D218" s="83" t="s">
        <v>26</v>
      </c>
      <c r="E218" s="83" t="s">
        <v>1183</v>
      </c>
      <c r="F218" s="70"/>
      <c r="G218" s="83" t="s">
        <v>1215</v>
      </c>
      <c r="H218" s="83" t="s">
        <v>161</v>
      </c>
      <c r="I218" s="77">
        <v>2879.4728909999999</v>
      </c>
      <c r="J218" s="79">
        <v>388.85</v>
      </c>
      <c r="K218" s="70"/>
      <c r="L218" s="77">
        <v>43.475052826000002</v>
      </c>
      <c r="M218" s="78">
        <v>5.0929092132786965E-7</v>
      </c>
      <c r="N218" s="78">
        <f t="shared" si="4"/>
        <v>1.2566634183101592E-3</v>
      </c>
      <c r="O218" s="78">
        <f>L218/'סכום נכסי הקרן'!$C$42</f>
        <v>1.1982498152476519E-5</v>
      </c>
    </row>
    <row r="219" spans="2:15">
      <c r="B219" s="76" t="s">
        <v>1392</v>
      </c>
      <c r="C219" s="70" t="s">
        <v>1393</v>
      </c>
      <c r="D219" s="83" t="s">
        <v>1186</v>
      </c>
      <c r="E219" s="83" t="s">
        <v>1183</v>
      </c>
      <c r="F219" s="70"/>
      <c r="G219" s="83" t="s">
        <v>1369</v>
      </c>
      <c r="H219" s="83" t="s">
        <v>159</v>
      </c>
      <c r="I219" s="77">
        <v>356.34442199999995</v>
      </c>
      <c r="J219" s="79">
        <v>3210</v>
      </c>
      <c r="K219" s="77">
        <v>0.55579039499999994</v>
      </c>
      <c r="L219" s="77">
        <v>40.202171905</v>
      </c>
      <c r="M219" s="78">
        <v>6.2532957235681261E-7</v>
      </c>
      <c r="N219" s="78">
        <f t="shared" si="4"/>
        <v>1.1620595142650728E-3</v>
      </c>
      <c r="O219" s="78">
        <f>L219/'סכום נכסי הקרן'!$C$42</f>
        <v>1.1080433933115652E-5</v>
      </c>
    </row>
    <row r="220" spans="2:15">
      <c r="B220" s="76" t="s">
        <v>1394</v>
      </c>
      <c r="C220" s="70" t="s">
        <v>1395</v>
      </c>
      <c r="D220" s="83" t="s">
        <v>1182</v>
      </c>
      <c r="E220" s="83" t="s">
        <v>1183</v>
      </c>
      <c r="F220" s="70"/>
      <c r="G220" s="83" t="s">
        <v>1246</v>
      </c>
      <c r="H220" s="83" t="s">
        <v>159</v>
      </c>
      <c r="I220" s="77">
        <v>109.74724099999999</v>
      </c>
      <c r="J220" s="79">
        <v>37991</v>
      </c>
      <c r="K220" s="70"/>
      <c r="L220" s="77">
        <v>144.51166175699998</v>
      </c>
      <c r="M220" s="78">
        <v>1.7845079837398373E-7</v>
      </c>
      <c r="N220" s="78">
        <f t="shared" si="4"/>
        <v>4.1771661457447795E-3</v>
      </c>
      <c r="O220" s="78">
        <f>L220/'סכום נכסי הקרן'!$C$42</f>
        <v>3.9829985415888538E-5</v>
      </c>
    </row>
    <row r="221" spans="2:15">
      <c r="B221" s="76" t="s">
        <v>1231</v>
      </c>
      <c r="C221" s="70" t="s">
        <v>1232</v>
      </c>
      <c r="D221" s="83" t="s">
        <v>1186</v>
      </c>
      <c r="E221" s="83" t="s">
        <v>1183</v>
      </c>
      <c r="F221" s="70"/>
      <c r="G221" s="83" t="s">
        <v>186</v>
      </c>
      <c r="H221" s="83" t="s">
        <v>159</v>
      </c>
      <c r="I221" s="77">
        <v>1125.5866149999999</v>
      </c>
      <c r="J221" s="79">
        <v>6349</v>
      </c>
      <c r="K221" s="70"/>
      <c r="L221" s="77">
        <v>247.69247092699996</v>
      </c>
      <c r="M221" s="78">
        <v>2.2054879584529407E-5</v>
      </c>
      <c r="N221" s="78">
        <f>L221/$L$11</f>
        <v>7.1596478203394534E-3</v>
      </c>
      <c r="O221" s="78">
        <f>L221/'סכום נכסי הקרן'!$C$42</f>
        <v>6.8268452418996056E-5</v>
      </c>
    </row>
    <row r="222" spans="2:15">
      <c r="B222" s="76" t="s">
        <v>1396</v>
      </c>
      <c r="C222" s="70" t="s">
        <v>1397</v>
      </c>
      <c r="D222" s="83" t="s">
        <v>1186</v>
      </c>
      <c r="E222" s="83" t="s">
        <v>1183</v>
      </c>
      <c r="F222" s="70"/>
      <c r="G222" s="83" t="s">
        <v>1198</v>
      </c>
      <c r="H222" s="83" t="s">
        <v>159</v>
      </c>
      <c r="I222" s="77">
        <v>165.45380900000001</v>
      </c>
      <c r="J222" s="79">
        <v>22967</v>
      </c>
      <c r="K222" s="70"/>
      <c r="L222" s="77">
        <v>131.70722454399998</v>
      </c>
      <c r="M222" s="78">
        <v>1.7151535369684256E-6</v>
      </c>
      <c r="N222" s="78">
        <f t="shared" si="4"/>
        <v>3.8070488763759119E-3</v>
      </c>
      <c r="O222" s="78">
        <f>L222/'סכום נכסי הקרן'!$C$42</f>
        <v>3.6300854678259706E-5</v>
      </c>
    </row>
    <row r="223" spans="2:15">
      <c r="B223" s="76" t="s">
        <v>1398</v>
      </c>
      <c r="C223" s="70" t="s">
        <v>1399</v>
      </c>
      <c r="D223" s="83" t="s">
        <v>1182</v>
      </c>
      <c r="E223" s="83" t="s">
        <v>1183</v>
      </c>
      <c r="F223" s="70"/>
      <c r="G223" s="83" t="s">
        <v>1198</v>
      </c>
      <c r="H223" s="83" t="s">
        <v>159</v>
      </c>
      <c r="I223" s="77">
        <v>220.254403</v>
      </c>
      <c r="J223" s="79">
        <v>17423</v>
      </c>
      <c r="K223" s="70"/>
      <c r="L223" s="77">
        <v>133.00748854699998</v>
      </c>
      <c r="M223" s="78">
        <v>1.875845185501062E-7</v>
      </c>
      <c r="N223" s="78">
        <f t="shared" si="4"/>
        <v>3.8446335163131043E-3</v>
      </c>
      <c r="O223" s="78">
        <f>L223/'סכום נכסי הקרן'!$C$42</f>
        <v>3.6659230574340534E-5</v>
      </c>
    </row>
    <row r="224" spans="2:15">
      <c r="B224" s="76" t="s">
        <v>1235</v>
      </c>
      <c r="C224" s="70" t="s">
        <v>1236</v>
      </c>
      <c r="D224" s="83" t="s">
        <v>1182</v>
      </c>
      <c r="E224" s="83" t="s">
        <v>1183</v>
      </c>
      <c r="F224" s="70"/>
      <c r="G224" s="83" t="s">
        <v>907</v>
      </c>
      <c r="H224" s="83" t="s">
        <v>159</v>
      </c>
      <c r="I224" s="77">
        <v>1232.962012</v>
      </c>
      <c r="J224" s="79">
        <v>5527</v>
      </c>
      <c r="K224" s="70"/>
      <c r="L224" s="77">
        <v>236.193378921</v>
      </c>
      <c r="M224" s="78">
        <v>9.0450560078614149E-6</v>
      </c>
      <c r="N224" s="78">
        <f>L224/$L$11</f>
        <v>6.8272620650982104E-3</v>
      </c>
      <c r="O224" s="78">
        <f>L224/'סכום נכסי הקרן'!$C$42</f>
        <v>6.5099098047685227E-5</v>
      </c>
    </row>
    <row r="225" spans="2:15">
      <c r="B225" s="76" t="s">
        <v>1400</v>
      </c>
      <c r="C225" s="70" t="s">
        <v>1401</v>
      </c>
      <c r="D225" s="83" t="s">
        <v>1186</v>
      </c>
      <c r="E225" s="83" t="s">
        <v>1183</v>
      </c>
      <c r="F225" s="70"/>
      <c r="G225" s="83" t="s">
        <v>1283</v>
      </c>
      <c r="H225" s="83" t="s">
        <v>159</v>
      </c>
      <c r="I225" s="77">
        <v>435.46951300000001</v>
      </c>
      <c r="J225" s="79">
        <v>9333</v>
      </c>
      <c r="K225" s="70"/>
      <c r="L225" s="77">
        <v>140.866453347</v>
      </c>
      <c r="M225" s="78">
        <v>5.8960212000834031E-7</v>
      </c>
      <c r="N225" s="78">
        <f t="shared" si="4"/>
        <v>4.0717999698991229E-3</v>
      </c>
      <c r="O225" s="78">
        <f>L225/'סכום נכסי הקרן'!$C$42</f>
        <v>3.8825301115376437E-5</v>
      </c>
    </row>
    <row r="226" spans="2:15">
      <c r="B226" s="76" t="s">
        <v>1402</v>
      </c>
      <c r="C226" s="70" t="s">
        <v>1403</v>
      </c>
      <c r="D226" s="83" t="s">
        <v>119</v>
      </c>
      <c r="E226" s="83" t="s">
        <v>1183</v>
      </c>
      <c r="F226" s="70"/>
      <c r="G226" s="83" t="s">
        <v>1332</v>
      </c>
      <c r="H226" s="83" t="s">
        <v>162</v>
      </c>
      <c r="I226" s="77">
        <v>132.793305</v>
      </c>
      <c r="J226" s="79">
        <v>7432</v>
      </c>
      <c r="K226" s="70"/>
      <c r="L226" s="77">
        <v>41.984557030999994</v>
      </c>
      <c r="M226" s="78">
        <v>1.8676883934198724E-7</v>
      </c>
      <c r="N226" s="78">
        <f t="shared" si="4"/>
        <v>1.2135800539674376E-3</v>
      </c>
      <c r="O226" s="78">
        <f>L226/'סכום נכסי הקרן'!$C$42</f>
        <v>1.1571690989542364E-5</v>
      </c>
    </row>
    <row r="227" spans="2:15">
      <c r="B227" s="76" t="s">
        <v>1404</v>
      </c>
      <c r="C227" s="70" t="s">
        <v>1405</v>
      </c>
      <c r="D227" s="83" t="s">
        <v>1182</v>
      </c>
      <c r="E227" s="83" t="s">
        <v>1183</v>
      </c>
      <c r="F227" s="70"/>
      <c r="G227" s="83" t="s">
        <v>1209</v>
      </c>
      <c r="H227" s="83" t="s">
        <v>159</v>
      </c>
      <c r="I227" s="77">
        <v>68.538480000000007</v>
      </c>
      <c r="J227" s="79">
        <v>8524</v>
      </c>
      <c r="K227" s="70"/>
      <c r="L227" s="77">
        <v>20.249134642000001</v>
      </c>
      <c r="M227" s="78">
        <v>1.9256622211681327E-7</v>
      </c>
      <c r="N227" s="78">
        <f t="shared" ref="N227:N246" si="5">L227/$L$11</f>
        <v>5.8530916244960477E-4</v>
      </c>
      <c r="O227" s="78">
        <f>L227/'סכום נכסי הקרן'!$C$42</f>
        <v>5.5810218197574381E-6</v>
      </c>
    </row>
    <row r="228" spans="2:15">
      <c r="B228" s="76" t="s">
        <v>1406</v>
      </c>
      <c r="C228" s="70" t="s">
        <v>1407</v>
      </c>
      <c r="D228" s="83" t="s">
        <v>1186</v>
      </c>
      <c r="E228" s="83" t="s">
        <v>1183</v>
      </c>
      <c r="F228" s="70"/>
      <c r="G228" s="83" t="s">
        <v>1280</v>
      </c>
      <c r="H228" s="83" t="s">
        <v>159</v>
      </c>
      <c r="I228" s="77">
        <v>27.403397999999996</v>
      </c>
      <c r="J228" s="79">
        <v>32948</v>
      </c>
      <c r="K228" s="70"/>
      <c r="L228" s="77">
        <v>31.294068602999999</v>
      </c>
      <c r="M228" s="78">
        <v>1.1375424657534245E-7</v>
      </c>
      <c r="N228" s="78">
        <f t="shared" si="5"/>
        <v>9.0456730164016857E-4</v>
      </c>
      <c r="O228" s="78">
        <f>L228/'סכום נכסי הקרן'!$C$42</f>
        <v>8.6252021525932604E-6</v>
      </c>
    </row>
    <row r="229" spans="2:15">
      <c r="B229" s="76" t="s">
        <v>1408</v>
      </c>
      <c r="C229" s="70" t="s">
        <v>1409</v>
      </c>
      <c r="D229" s="83" t="s">
        <v>26</v>
      </c>
      <c r="E229" s="83" t="s">
        <v>1183</v>
      </c>
      <c r="F229" s="70"/>
      <c r="G229" s="83" t="s">
        <v>1215</v>
      </c>
      <c r="H229" s="83" t="s">
        <v>159</v>
      </c>
      <c r="I229" s="77">
        <v>39.954507</v>
      </c>
      <c r="J229" s="79">
        <v>110300</v>
      </c>
      <c r="K229" s="70"/>
      <c r="L229" s="77">
        <v>152.746000033</v>
      </c>
      <c r="M229" s="78">
        <v>1.6731977532414476E-7</v>
      </c>
      <c r="N229" s="78">
        <f t="shared" si="5"/>
        <v>4.4151829165778199E-3</v>
      </c>
      <c r="O229" s="78">
        <f>L229/'סכום נכסי הקרן'!$C$42</f>
        <v>4.2099515566293079E-5</v>
      </c>
    </row>
    <row r="230" spans="2:15">
      <c r="B230" s="76" t="s">
        <v>1410</v>
      </c>
      <c r="C230" s="70" t="s">
        <v>1411</v>
      </c>
      <c r="D230" s="83" t="s">
        <v>26</v>
      </c>
      <c r="E230" s="83" t="s">
        <v>1183</v>
      </c>
      <c r="F230" s="70"/>
      <c r="G230" s="83" t="s">
        <v>1198</v>
      </c>
      <c r="H230" s="83" t="s">
        <v>161</v>
      </c>
      <c r="I230" s="77">
        <v>85.673100000000019</v>
      </c>
      <c r="J230" s="79">
        <v>12468</v>
      </c>
      <c r="K230" s="70"/>
      <c r="L230" s="77">
        <v>41.474990600999995</v>
      </c>
      <c r="M230" s="78">
        <v>6.9737732901843211E-8</v>
      </c>
      <c r="N230" s="78">
        <f t="shared" si="5"/>
        <v>1.198850836861186E-3</v>
      </c>
      <c r="O230" s="78">
        <f>L230/'סכום נכסי הקרן'!$C$42</f>
        <v>1.1431245414226409E-5</v>
      </c>
    </row>
    <row r="231" spans="2:15">
      <c r="B231" s="76" t="s">
        <v>1412</v>
      </c>
      <c r="C231" s="70" t="s">
        <v>1413</v>
      </c>
      <c r="D231" s="83" t="s">
        <v>119</v>
      </c>
      <c r="E231" s="83" t="s">
        <v>1183</v>
      </c>
      <c r="F231" s="70"/>
      <c r="G231" s="83" t="s">
        <v>1283</v>
      </c>
      <c r="H231" s="83" t="s">
        <v>162</v>
      </c>
      <c r="I231" s="77">
        <v>4098.365503</v>
      </c>
      <c r="J231" s="79">
        <v>895</v>
      </c>
      <c r="K231" s="70"/>
      <c r="L231" s="77">
        <v>156.04196734500002</v>
      </c>
      <c r="M231" s="78">
        <v>3.4412787498781681E-6</v>
      </c>
      <c r="N231" s="78">
        <f t="shared" si="5"/>
        <v>4.5104541417909016E-3</v>
      </c>
      <c r="O231" s="78">
        <f>L231/'סכום נכסי הקרן'!$C$42</f>
        <v>4.3007942805812015E-5</v>
      </c>
    </row>
    <row r="232" spans="2:15">
      <c r="B232" s="76" t="s">
        <v>1414</v>
      </c>
      <c r="C232" s="70" t="s">
        <v>1415</v>
      </c>
      <c r="D232" s="83" t="s">
        <v>26</v>
      </c>
      <c r="E232" s="83" t="s">
        <v>1183</v>
      </c>
      <c r="F232" s="70"/>
      <c r="G232" s="83" t="s">
        <v>1192</v>
      </c>
      <c r="H232" s="83" t="s">
        <v>161</v>
      </c>
      <c r="I232" s="77">
        <v>172.33144100000001</v>
      </c>
      <c r="J232" s="79">
        <v>10488</v>
      </c>
      <c r="K232" s="70"/>
      <c r="L232" s="77">
        <v>70.178198938999998</v>
      </c>
      <c r="M232" s="78">
        <v>2.0274287176470588E-7</v>
      </c>
      <c r="N232" s="78">
        <f t="shared" si="5"/>
        <v>2.0285283084645819E-3</v>
      </c>
      <c r="O232" s="78">
        <f>L232/'סכום נכסי הקרן'!$C$42</f>
        <v>1.9342360376105068E-5</v>
      </c>
    </row>
    <row r="233" spans="2:15">
      <c r="B233" s="76" t="s">
        <v>1416</v>
      </c>
      <c r="C233" s="70" t="s">
        <v>1417</v>
      </c>
      <c r="D233" s="83" t="s">
        <v>1182</v>
      </c>
      <c r="E233" s="83" t="s">
        <v>1183</v>
      </c>
      <c r="F233" s="70"/>
      <c r="G233" s="83" t="s">
        <v>1374</v>
      </c>
      <c r="H233" s="83" t="s">
        <v>159</v>
      </c>
      <c r="I233" s="77">
        <v>184.19716500000001</v>
      </c>
      <c r="J233" s="79">
        <v>7359</v>
      </c>
      <c r="K233" s="70"/>
      <c r="L233" s="77">
        <v>46.981870444999998</v>
      </c>
      <c r="M233" s="78">
        <v>1.5766255670632545E-7</v>
      </c>
      <c r="N233" s="78">
        <f t="shared" si="5"/>
        <v>1.3580293541750447E-3</v>
      </c>
      <c r="O233" s="78">
        <f>L233/'סכום נכסי הקרן'!$C$42</f>
        <v>1.2949039488467938E-5</v>
      </c>
    </row>
    <row r="234" spans="2:15">
      <c r="B234" s="76" t="s">
        <v>1418</v>
      </c>
      <c r="C234" s="70" t="s">
        <v>1419</v>
      </c>
      <c r="D234" s="83" t="s">
        <v>26</v>
      </c>
      <c r="E234" s="83" t="s">
        <v>1183</v>
      </c>
      <c r="F234" s="70"/>
      <c r="G234" s="83" t="s">
        <v>1246</v>
      </c>
      <c r="H234" s="83" t="s">
        <v>161</v>
      </c>
      <c r="I234" s="77">
        <v>445.50011999999992</v>
      </c>
      <c r="J234" s="79">
        <v>2422</v>
      </c>
      <c r="K234" s="70"/>
      <c r="L234" s="77">
        <v>41.895462113000001</v>
      </c>
      <c r="M234" s="78">
        <v>4.7010911109232143E-7</v>
      </c>
      <c r="N234" s="78">
        <f t="shared" si="5"/>
        <v>1.2110047304904072E-3</v>
      </c>
      <c r="O234" s="78">
        <f>L234/'סכום נכסי הקרן'!$C$42</f>
        <v>1.1547134844789585E-5</v>
      </c>
    </row>
    <row r="235" spans="2:15">
      <c r="B235" s="76" t="s">
        <v>1420</v>
      </c>
      <c r="C235" s="70" t="s">
        <v>1421</v>
      </c>
      <c r="D235" s="83" t="s">
        <v>1186</v>
      </c>
      <c r="E235" s="83" t="s">
        <v>1183</v>
      </c>
      <c r="F235" s="70"/>
      <c r="G235" s="83" t="s">
        <v>1209</v>
      </c>
      <c r="H235" s="83" t="s">
        <v>159</v>
      </c>
      <c r="I235" s="77">
        <v>94.240409999999997</v>
      </c>
      <c r="J235" s="79">
        <v>11993</v>
      </c>
      <c r="K235" s="70"/>
      <c r="L235" s="77">
        <v>39.173606719000006</v>
      </c>
      <c r="M235" s="78">
        <v>1.8847498481447014E-7</v>
      </c>
      <c r="N235" s="78">
        <f t="shared" si="5"/>
        <v>1.1323284349776758E-3</v>
      </c>
      <c r="O235" s="78">
        <f>L235/'סכום נכסי הקרן'!$C$42</f>
        <v>1.0796943065599653E-5</v>
      </c>
    </row>
    <row r="236" spans="2:15">
      <c r="B236" s="76" t="s">
        <v>1422</v>
      </c>
      <c r="C236" s="70" t="s">
        <v>1423</v>
      </c>
      <c r="D236" s="83" t="s">
        <v>1424</v>
      </c>
      <c r="E236" s="83" t="s">
        <v>1183</v>
      </c>
      <c r="F236" s="70"/>
      <c r="G236" s="83" t="s">
        <v>1275</v>
      </c>
      <c r="H236" s="83" t="s">
        <v>164</v>
      </c>
      <c r="I236" s="77">
        <v>194.477937</v>
      </c>
      <c r="J236" s="79">
        <v>49860</v>
      </c>
      <c r="K236" s="70"/>
      <c r="L236" s="77">
        <v>43.362538301000001</v>
      </c>
      <c r="M236" s="78">
        <v>2.0356406242811925E-8</v>
      </c>
      <c r="N236" s="78">
        <f t="shared" si="5"/>
        <v>1.2534111419262306E-3</v>
      </c>
      <c r="O236" s="78">
        <f>L236/'סכום נכסי הקרן'!$C$42</f>
        <v>1.1951487147306838E-5</v>
      </c>
    </row>
    <row r="237" spans="2:15">
      <c r="B237" s="76" t="s">
        <v>1425</v>
      </c>
      <c r="C237" s="70" t="s">
        <v>1426</v>
      </c>
      <c r="D237" s="83" t="s">
        <v>1186</v>
      </c>
      <c r="E237" s="83" t="s">
        <v>1183</v>
      </c>
      <c r="F237" s="70"/>
      <c r="G237" s="83" t="s">
        <v>1209</v>
      </c>
      <c r="H237" s="83" t="s">
        <v>159</v>
      </c>
      <c r="I237" s="77">
        <v>111.37502999999998</v>
      </c>
      <c r="J237" s="79">
        <v>5056</v>
      </c>
      <c r="K237" s="70"/>
      <c r="L237" s="77">
        <v>19.517467177</v>
      </c>
      <c r="M237" s="78">
        <v>9.2977009542850464E-8</v>
      </c>
      <c r="N237" s="78">
        <f t="shared" si="5"/>
        <v>5.6416002799511238E-4</v>
      </c>
      <c r="O237" s="78">
        <f>L237/'סכום נכסי הקרן'!$C$42</f>
        <v>5.3793612471371213E-6</v>
      </c>
    </row>
    <row r="238" spans="2:15">
      <c r="B238" s="76" t="s">
        <v>1427</v>
      </c>
      <c r="C238" s="70" t="s">
        <v>1428</v>
      </c>
      <c r="D238" s="83" t="s">
        <v>1186</v>
      </c>
      <c r="E238" s="83" t="s">
        <v>1183</v>
      </c>
      <c r="F238" s="70"/>
      <c r="G238" s="83" t="s">
        <v>1321</v>
      </c>
      <c r="H238" s="83" t="s">
        <v>159</v>
      </c>
      <c r="I238" s="77">
        <v>379.91393499999998</v>
      </c>
      <c r="J238" s="79">
        <v>11118</v>
      </c>
      <c r="K238" s="70"/>
      <c r="L238" s="77">
        <v>146.39978927600001</v>
      </c>
      <c r="M238" s="78">
        <v>5.3956090490994891E-7</v>
      </c>
      <c r="N238" s="78">
        <f t="shared" si="5"/>
        <v>4.2317432107049635E-3</v>
      </c>
      <c r="O238" s="78">
        <f>L238/'סכום נכסי הקרן'!$C$42</f>
        <v>4.0350386957402656E-5</v>
      </c>
    </row>
    <row r="239" spans="2:15">
      <c r="B239" s="76" t="s">
        <v>1429</v>
      </c>
      <c r="C239" s="70" t="s">
        <v>1430</v>
      </c>
      <c r="D239" s="83" t="s">
        <v>1182</v>
      </c>
      <c r="E239" s="83" t="s">
        <v>1183</v>
      </c>
      <c r="F239" s="70"/>
      <c r="G239" s="83" t="s">
        <v>1198</v>
      </c>
      <c r="H239" s="83" t="s">
        <v>159</v>
      </c>
      <c r="I239" s="77">
        <v>336.86578800000001</v>
      </c>
      <c r="J239" s="79">
        <v>8848</v>
      </c>
      <c r="K239" s="70"/>
      <c r="L239" s="77">
        <v>103.30719714</v>
      </c>
      <c r="M239" s="78">
        <v>1.0705016742389022E-5</v>
      </c>
      <c r="N239" s="78">
        <f t="shared" si="5"/>
        <v>2.9861349683364706E-3</v>
      </c>
      <c r="O239" s="78">
        <f>L239/'סכום נכסי הקרן'!$C$42</f>
        <v>2.8473301776582815E-5</v>
      </c>
    </row>
    <row r="240" spans="2:15">
      <c r="B240" s="76" t="s">
        <v>1431</v>
      </c>
      <c r="C240" s="70" t="s">
        <v>1432</v>
      </c>
      <c r="D240" s="83" t="s">
        <v>26</v>
      </c>
      <c r="E240" s="83" t="s">
        <v>1183</v>
      </c>
      <c r="F240" s="70"/>
      <c r="G240" s="83" t="s">
        <v>1192</v>
      </c>
      <c r="H240" s="83" t="s">
        <v>161</v>
      </c>
      <c r="I240" s="77">
        <v>358.77495399999998</v>
      </c>
      <c r="J240" s="79">
        <v>8200</v>
      </c>
      <c r="K240" s="77">
        <v>1.7413142479999997</v>
      </c>
      <c r="L240" s="77">
        <v>115.97152844599999</v>
      </c>
      <c r="M240" s="78">
        <v>5.918301376965182E-7</v>
      </c>
      <c r="N240" s="78">
        <f t="shared" si="5"/>
        <v>3.352202421625281E-3</v>
      </c>
      <c r="O240" s="78">
        <f>L240/'סכום נכסי הקרן'!$C$42</f>
        <v>3.1963816833202645E-5</v>
      </c>
    </row>
    <row r="241" spans="2:15">
      <c r="B241" s="76" t="s">
        <v>1433</v>
      </c>
      <c r="C241" s="70" t="s">
        <v>1434</v>
      </c>
      <c r="D241" s="83" t="s">
        <v>1186</v>
      </c>
      <c r="E241" s="83" t="s">
        <v>1183</v>
      </c>
      <c r="F241" s="70"/>
      <c r="G241" s="83" t="s">
        <v>1198</v>
      </c>
      <c r="H241" s="83" t="s">
        <v>159</v>
      </c>
      <c r="I241" s="77">
        <v>158.22279499999999</v>
      </c>
      <c r="J241" s="79">
        <v>19317</v>
      </c>
      <c r="K241" s="70"/>
      <c r="L241" s="77">
        <v>105.934467767</v>
      </c>
      <c r="M241" s="78">
        <v>9.3783195197914363E-8</v>
      </c>
      <c r="N241" s="78">
        <f t="shared" si="5"/>
        <v>3.0620772541380694E-3</v>
      </c>
      <c r="O241" s="78">
        <f>L241/'סכום נכסי הקרן'!$C$42</f>
        <v>2.9197424310949378E-5</v>
      </c>
    </row>
    <row r="242" spans="2:15">
      <c r="B242" s="76" t="s">
        <v>1435</v>
      </c>
      <c r="C242" s="70" t="s">
        <v>1436</v>
      </c>
      <c r="D242" s="83" t="s">
        <v>26</v>
      </c>
      <c r="E242" s="83" t="s">
        <v>1183</v>
      </c>
      <c r="F242" s="70"/>
      <c r="G242" s="83" t="s">
        <v>1292</v>
      </c>
      <c r="H242" s="83" t="s">
        <v>161</v>
      </c>
      <c r="I242" s="77">
        <v>201.33178499999997</v>
      </c>
      <c r="J242" s="79">
        <v>13554</v>
      </c>
      <c r="K242" s="70"/>
      <c r="L242" s="77">
        <v>105.95582716699998</v>
      </c>
      <c r="M242" s="78">
        <v>9.7636502760632711E-7</v>
      </c>
      <c r="N242" s="78">
        <f t="shared" si="5"/>
        <v>3.0626946559552553E-3</v>
      </c>
      <c r="O242" s="78">
        <f>L242/'סכום נכסי הקרן'!$C$42</f>
        <v>2.9203311341657819E-5</v>
      </c>
    </row>
    <row r="243" spans="2:15">
      <c r="B243" s="76" t="s">
        <v>1437</v>
      </c>
      <c r="C243" s="70" t="s">
        <v>1438</v>
      </c>
      <c r="D243" s="83" t="s">
        <v>26</v>
      </c>
      <c r="E243" s="83" t="s">
        <v>1183</v>
      </c>
      <c r="F243" s="70"/>
      <c r="G243" s="83" t="s">
        <v>1192</v>
      </c>
      <c r="H243" s="83" t="s">
        <v>166</v>
      </c>
      <c r="I243" s="77">
        <v>1662.0581400000001</v>
      </c>
      <c r="J243" s="79">
        <v>14590</v>
      </c>
      <c r="K243" s="70"/>
      <c r="L243" s="77">
        <v>89.625886859000005</v>
      </c>
      <c r="M243" s="78">
        <v>1.0052290397116605E-6</v>
      </c>
      <c r="N243" s="78">
        <f t="shared" si="5"/>
        <v>2.5906713397241248E-3</v>
      </c>
      <c r="O243" s="78">
        <f>L243/'סכום נכסי הקרן'!$C$42</f>
        <v>2.4702489218363233E-5</v>
      </c>
    </row>
    <row r="244" spans="2:15">
      <c r="B244" s="76" t="s">
        <v>1439</v>
      </c>
      <c r="C244" s="70" t="s">
        <v>1440</v>
      </c>
      <c r="D244" s="83" t="s">
        <v>26</v>
      </c>
      <c r="E244" s="83" t="s">
        <v>1183</v>
      </c>
      <c r="F244" s="70"/>
      <c r="G244" s="83" t="s">
        <v>1283</v>
      </c>
      <c r="H244" s="83" t="s">
        <v>161</v>
      </c>
      <c r="I244" s="77">
        <v>171.34620000000004</v>
      </c>
      <c r="J244" s="79">
        <v>5516</v>
      </c>
      <c r="K244" s="70"/>
      <c r="L244" s="77">
        <v>36.698114879000002</v>
      </c>
      <c r="M244" s="78">
        <v>3.1597738950273211E-7</v>
      </c>
      <c r="N244" s="78">
        <f t="shared" si="5"/>
        <v>1.0607733744213634E-3</v>
      </c>
      <c r="O244" s="78">
        <f>L244/'סכום נכסי הקרן'!$C$42</f>
        <v>1.0114653465676932E-5</v>
      </c>
    </row>
    <row r="245" spans="2:15">
      <c r="B245" s="76" t="s">
        <v>1441</v>
      </c>
      <c r="C245" s="70" t="s">
        <v>1442</v>
      </c>
      <c r="D245" s="83" t="s">
        <v>1186</v>
      </c>
      <c r="E245" s="83" t="s">
        <v>1183</v>
      </c>
      <c r="F245" s="70"/>
      <c r="G245" s="83" t="s">
        <v>1369</v>
      </c>
      <c r="H245" s="83" t="s">
        <v>159</v>
      </c>
      <c r="I245" s="77">
        <v>141.360615</v>
      </c>
      <c r="J245" s="79">
        <v>11585</v>
      </c>
      <c r="K245" s="70"/>
      <c r="L245" s="77">
        <v>56.761390040999999</v>
      </c>
      <c r="M245" s="78">
        <v>1.067401658914371E-6</v>
      </c>
      <c r="N245" s="78">
        <f t="shared" si="5"/>
        <v>1.640710195855146E-3</v>
      </c>
      <c r="O245" s="78">
        <f>L245/'סכום נכסי הקרן'!$C$42</f>
        <v>1.5644449105569019E-5</v>
      </c>
    </row>
    <row r="246" spans="2:15">
      <c r="B246" s="76" t="s">
        <v>1443</v>
      </c>
      <c r="C246" s="70" t="s">
        <v>1444</v>
      </c>
      <c r="D246" s="83" t="s">
        <v>1186</v>
      </c>
      <c r="E246" s="83" t="s">
        <v>1183</v>
      </c>
      <c r="F246" s="70"/>
      <c r="G246" s="83" t="s">
        <v>1445</v>
      </c>
      <c r="H246" s="83" t="s">
        <v>159</v>
      </c>
      <c r="I246" s="77">
        <v>480.85826500000002</v>
      </c>
      <c r="J246" s="79">
        <v>11978</v>
      </c>
      <c r="K246" s="70"/>
      <c r="L246" s="77">
        <v>199.631905579</v>
      </c>
      <c r="M246" s="78">
        <v>1.6979737608328272E-7</v>
      </c>
      <c r="N246" s="78">
        <f t="shared" si="5"/>
        <v>5.7704383677860804E-3</v>
      </c>
      <c r="O246" s="78">
        <f>L246/'סכום נכסי הקרן'!$C$42</f>
        <v>5.5022105421000423E-5</v>
      </c>
    </row>
    <row r="247" spans="2:15">
      <c r="E247" s="1"/>
      <c r="F247" s="1"/>
      <c r="G247" s="1"/>
    </row>
    <row r="248" spans="2:15">
      <c r="E248" s="1"/>
      <c r="F248" s="1"/>
      <c r="G248" s="1"/>
    </row>
    <row r="249" spans="2:15">
      <c r="E249" s="1"/>
      <c r="F249" s="1"/>
      <c r="G249" s="1"/>
    </row>
    <row r="250" spans="2:15">
      <c r="B250" s="85" t="s">
        <v>251</v>
      </c>
      <c r="E250" s="1"/>
      <c r="F250" s="1"/>
      <c r="G250" s="1"/>
    </row>
    <row r="251" spans="2:15">
      <c r="B251" s="85" t="s">
        <v>108</v>
      </c>
      <c r="E251" s="1"/>
      <c r="F251" s="1"/>
      <c r="G251" s="1"/>
    </row>
    <row r="252" spans="2:15">
      <c r="B252" s="85" t="s">
        <v>234</v>
      </c>
      <c r="E252" s="1"/>
      <c r="F252" s="1"/>
      <c r="G252" s="1"/>
    </row>
    <row r="253" spans="2:15">
      <c r="B253" s="85" t="s">
        <v>242</v>
      </c>
      <c r="E253" s="1"/>
      <c r="F253" s="1"/>
      <c r="G253" s="1"/>
    </row>
    <row r="254" spans="2:15">
      <c r="B254" s="85" t="s">
        <v>248</v>
      </c>
      <c r="E254" s="1"/>
      <c r="F254" s="1"/>
      <c r="G254" s="1"/>
    </row>
    <row r="255" spans="2:15">
      <c r="E255" s="1"/>
      <c r="F255" s="1"/>
      <c r="G255" s="1"/>
    </row>
    <row r="256" spans="2:15">
      <c r="E256" s="1"/>
      <c r="F256" s="1"/>
      <c r="G256" s="1"/>
    </row>
    <row r="257" spans="2:7">
      <c r="E257" s="1"/>
      <c r="F257" s="1"/>
      <c r="G257" s="1"/>
    </row>
    <row r="258" spans="2:7">
      <c r="E258" s="1"/>
      <c r="F258" s="1"/>
      <c r="G258" s="1"/>
    </row>
    <row r="259" spans="2:7">
      <c r="E259" s="1"/>
      <c r="F259" s="1"/>
      <c r="G259" s="1"/>
    </row>
    <row r="260" spans="2:7">
      <c r="E260" s="1"/>
      <c r="F260" s="1"/>
      <c r="G260" s="1"/>
    </row>
    <row r="261" spans="2:7">
      <c r="E261" s="1"/>
      <c r="F261" s="1"/>
      <c r="G261" s="1"/>
    </row>
    <row r="262" spans="2:7">
      <c r="E262" s="1"/>
      <c r="F262" s="1"/>
      <c r="G262" s="1"/>
    </row>
    <row r="263" spans="2:7">
      <c r="E263" s="1"/>
      <c r="F263" s="1"/>
      <c r="G263" s="1"/>
    </row>
    <row r="264" spans="2:7">
      <c r="E264" s="1"/>
      <c r="F264" s="1"/>
      <c r="G264" s="1"/>
    </row>
    <row r="265" spans="2:7">
      <c r="E265" s="1"/>
      <c r="F265" s="1"/>
      <c r="G265" s="1"/>
    </row>
    <row r="266" spans="2:7">
      <c r="E266" s="1"/>
      <c r="F266" s="1"/>
      <c r="G266" s="1"/>
    </row>
    <row r="267" spans="2:7">
      <c r="E267" s="1"/>
      <c r="F267" s="1"/>
      <c r="G267" s="1"/>
    </row>
    <row r="268" spans="2:7">
      <c r="E268" s="1"/>
      <c r="F268" s="1"/>
      <c r="G268" s="1"/>
    </row>
    <row r="269" spans="2:7">
      <c r="E269" s="1"/>
      <c r="F269" s="1"/>
      <c r="G269" s="1"/>
    </row>
    <row r="270" spans="2:7">
      <c r="E270" s="1"/>
      <c r="F270" s="1"/>
      <c r="G270" s="1"/>
    </row>
    <row r="271" spans="2:7">
      <c r="E271" s="1"/>
      <c r="F271" s="1"/>
      <c r="G271" s="1"/>
    </row>
    <row r="272" spans="2:7">
      <c r="B272" s="42"/>
      <c r="E272" s="1"/>
      <c r="F272" s="1"/>
      <c r="G272" s="1"/>
    </row>
    <row r="273" spans="2:7">
      <c r="B273" s="42"/>
      <c r="E273" s="1"/>
      <c r="F273" s="1"/>
      <c r="G273" s="1"/>
    </row>
    <row r="274" spans="2:7">
      <c r="B274" s="3"/>
      <c r="E274" s="1"/>
      <c r="F274" s="1"/>
      <c r="G274" s="1"/>
    </row>
    <row r="275" spans="2:7"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B293" s="42"/>
      <c r="E293" s="1"/>
      <c r="F293" s="1"/>
      <c r="G293" s="1"/>
    </row>
    <row r="294" spans="2:7">
      <c r="B294" s="42"/>
      <c r="E294" s="1"/>
      <c r="F294" s="1"/>
      <c r="G294" s="1"/>
    </row>
    <row r="295" spans="2:7">
      <c r="B295" s="3"/>
      <c r="E295" s="1"/>
      <c r="F295" s="1"/>
      <c r="G295" s="1"/>
    </row>
    <row r="296" spans="2:7"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B360" s="42"/>
      <c r="E360" s="1"/>
      <c r="F360" s="1"/>
      <c r="G360" s="1"/>
    </row>
    <row r="361" spans="2:7">
      <c r="B361" s="42"/>
      <c r="E361" s="1"/>
      <c r="F361" s="1"/>
      <c r="G361" s="1"/>
    </row>
    <row r="362" spans="2:7">
      <c r="B362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52 B254"/>
    <dataValidation type="list" allowBlank="1" showInputMessage="1" showErrorMessage="1" sqref="E12:E35 E37:E139 E140 E141:E143 E144:E146 E147 E148:E356">
      <formula1>$BF$6:$BF$23</formula1>
    </dataValidation>
    <dataValidation type="list" allowBlank="1" showInputMessage="1" showErrorMessage="1" sqref="H12:H35 H37:H139 H140 H141:H143 H144:H146 H147 H148:H356">
      <formula1>$BJ$6:$BJ$19</formula1>
    </dataValidation>
    <dataValidation type="list" allowBlank="1" showInputMessage="1" showErrorMessage="1" sqref="G12:G35 G37:G139 G140 G141:G143 G144:G146 G147 G148:G362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workbookViewId="0">
      <selection activeCell="C21" sqref="C21"/>
    </sheetView>
  </sheetViews>
  <sheetFormatPr defaultColWidth="9.140625" defaultRowHeight="18"/>
  <cols>
    <col min="1" max="1" width="6.28515625" style="1" customWidth="1"/>
    <col min="2" max="2" width="52" style="2" bestFit="1" customWidth="1"/>
    <col min="3" max="3" width="30" style="2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1.85546875" style="1" bestFit="1" customWidth="1"/>
    <col min="10" max="10" width="8.2851562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47" t="s">
        <v>175</v>
      </c>
      <c r="C1" s="68" t="s" vm="1">
        <v>259</v>
      </c>
    </row>
    <row r="2" spans="2:63">
      <c r="B2" s="47" t="s">
        <v>174</v>
      </c>
      <c r="C2" s="68" t="s">
        <v>260</v>
      </c>
    </row>
    <row r="3" spans="2:63">
      <c r="B3" s="47" t="s">
        <v>176</v>
      </c>
      <c r="C3" s="68" t="s">
        <v>261</v>
      </c>
    </row>
    <row r="4" spans="2:63">
      <c r="B4" s="47" t="s">
        <v>177</v>
      </c>
      <c r="C4" s="68">
        <v>2207</v>
      </c>
    </row>
    <row r="6" spans="2:63" ht="26.25" customHeight="1">
      <c r="B6" s="126" t="s">
        <v>205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8"/>
      <c r="BK6" s="3"/>
    </row>
    <row r="7" spans="2:63" ht="26.25" customHeight="1">
      <c r="B7" s="126" t="s">
        <v>257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8"/>
      <c r="BH7" s="3"/>
      <c r="BK7" s="3"/>
    </row>
    <row r="8" spans="2:63" s="3" customFormat="1" ht="74.25" customHeight="1">
      <c r="B8" s="22" t="s">
        <v>111</v>
      </c>
      <c r="C8" s="30" t="s">
        <v>43</v>
      </c>
      <c r="D8" s="30" t="s">
        <v>115</v>
      </c>
      <c r="E8" s="30" t="s">
        <v>113</v>
      </c>
      <c r="F8" s="30" t="s">
        <v>63</v>
      </c>
      <c r="G8" s="30" t="s">
        <v>99</v>
      </c>
      <c r="H8" s="30" t="s">
        <v>236</v>
      </c>
      <c r="I8" s="30" t="s">
        <v>235</v>
      </c>
      <c r="J8" s="30" t="s">
        <v>250</v>
      </c>
      <c r="K8" s="30" t="s">
        <v>60</v>
      </c>
      <c r="L8" s="30" t="s">
        <v>57</v>
      </c>
      <c r="M8" s="30" t="s">
        <v>178</v>
      </c>
      <c r="N8" s="14" t="s">
        <v>180</v>
      </c>
      <c r="O8" s="1"/>
      <c r="BH8" s="1"/>
      <c r="BI8" s="1"/>
      <c r="BK8" s="4"/>
    </row>
    <row r="9" spans="2:63" s="3" customFormat="1" ht="26.25" customHeight="1">
      <c r="B9" s="15"/>
      <c r="C9" s="16"/>
      <c r="D9" s="16"/>
      <c r="E9" s="16"/>
      <c r="F9" s="16"/>
      <c r="G9" s="16"/>
      <c r="H9" s="32" t="s">
        <v>243</v>
      </c>
      <c r="I9" s="32"/>
      <c r="J9" s="16" t="s">
        <v>239</v>
      </c>
      <c r="K9" s="16" t="s">
        <v>239</v>
      </c>
      <c r="L9" s="16" t="s">
        <v>19</v>
      </c>
      <c r="M9" s="16" t="s">
        <v>19</v>
      </c>
      <c r="N9" s="17" t="s">
        <v>19</v>
      </c>
      <c r="BH9" s="1"/>
      <c r="BK9" s="4"/>
    </row>
    <row r="10" spans="2:63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20" t="s">
        <v>11</v>
      </c>
      <c r="O10" s="5"/>
      <c r="BH10" s="1"/>
      <c r="BI10" s="3"/>
      <c r="BK10" s="1"/>
    </row>
    <row r="11" spans="2:63" s="4" customFormat="1" ht="18" customHeight="1">
      <c r="B11" s="87" t="s">
        <v>253</v>
      </c>
      <c r="C11" s="88"/>
      <c r="D11" s="88"/>
      <c r="E11" s="88"/>
      <c r="F11" s="88"/>
      <c r="G11" s="88"/>
      <c r="H11" s="90"/>
      <c r="I11" s="92"/>
      <c r="J11" s="88"/>
      <c r="K11" s="90">
        <v>20952.147041095002</v>
      </c>
      <c r="L11" s="88"/>
      <c r="M11" s="93">
        <f>K11/$K$11</f>
        <v>1</v>
      </c>
      <c r="N11" s="93">
        <f>K11/'סכום נכסי הקרן'!$C$42</f>
        <v>5.7747845463270563E-3</v>
      </c>
      <c r="O11" s="5"/>
      <c r="BH11" s="1"/>
      <c r="BI11" s="3"/>
      <c r="BK11" s="1"/>
    </row>
    <row r="12" spans="2:63" ht="20.25">
      <c r="B12" s="71" t="s">
        <v>229</v>
      </c>
      <c r="C12" s="72"/>
      <c r="D12" s="72"/>
      <c r="E12" s="72"/>
      <c r="F12" s="72"/>
      <c r="G12" s="72"/>
      <c r="H12" s="80"/>
      <c r="I12" s="82"/>
      <c r="J12" s="72"/>
      <c r="K12" s="80">
        <v>4870.2005660880004</v>
      </c>
      <c r="L12" s="72"/>
      <c r="M12" s="81">
        <f t="shared" ref="M12:M23" si="0">K12/$K$11</f>
        <v>0.2324439856467079</v>
      </c>
      <c r="N12" s="81">
        <f>K12/'סכום נכסי הקרן'!$C$42</f>
        <v>1.3423139361992769E-3</v>
      </c>
      <c r="BI12" s="4"/>
    </row>
    <row r="13" spans="2:63">
      <c r="B13" s="89" t="s">
        <v>254</v>
      </c>
      <c r="C13" s="72"/>
      <c r="D13" s="72"/>
      <c r="E13" s="72"/>
      <c r="F13" s="72"/>
      <c r="G13" s="72"/>
      <c r="H13" s="80"/>
      <c r="I13" s="82"/>
      <c r="J13" s="72"/>
      <c r="K13" s="80">
        <v>1759.590175674</v>
      </c>
      <c r="L13" s="72"/>
      <c r="M13" s="81">
        <f t="shared" si="0"/>
        <v>8.3981377766335116E-2</v>
      </c>
      <c r="N13" s="81">
        <f>K13/'סכום נכסי הקרן'!$C$42</f>
        <v>4.8497436250428667E-4</v>
      </c>
    </row>
    <row r="14" spans="2:63">
      <c r="B14" s="76" t="s">
        <v>1446</v>
      </c>
      <c r="C14" s="70" t="s">
        <v>1447</v>
      </c>
      <c r="D14" s="83" t="s">
        <v>116</v>
      </c>
      <c r="E14" s="70" t="s">
        <v>1448</v>
      </c>
      <c r="F14" s="83" t="s">
        <v>1449</v>
      </c>
      <c r="G14" s="83" t="s">
        <v>160</v>
      </c>
      <c r="H14" s="77">
        <v>14265.234899999999</v>
      </c>
      <c r="I14" s="79">
        <v>1308</v>
      </c>
      <c r="J14" s="70"/>
      <c r="K14" s="77">
        <v>186.58927249199999</v>
      </c>
      <c r="L14" s="78">
        <v>1.9845019557351642E-4</v>
      </c>
      <c r="M14" s="78">
        <f t="shared" si="0"/>
        <v>8.9054965167067891E-3</v>
      </c>
      <c r="N14" s="78">
        <f>K14/'סכום נכסי הקרן'!$C$42</f>
        <v>5.1427323662047793E-5</v>
      </c>
    </row>
    <row r="15" spans="2:63">
      <c r="B15" s="76" t="s">
        <v>1450</v>
      </c>
      <c r="C15" s="70" t="s">
        <v>1451</v>
      </c>
      <c r="D15" s="83" t="s">
        <v>116</v>
      </c>
      <c r="E15" s="70" t="s">
        <v>1448</v>
      </c>
      <c r="F15" s="83" t="s">
        <v>1449</v>
      </c>
      <c r="G15" s="83" t="s">
        <v>160</v>
      </c>
      <c r="H15" s="77">
        <v>8719.4936379999999</v>
      </c>
      <c r="I15" s="79">
        <v>1735</v>
      </c>
      <c r="J15" s="70"/>
      <c r="K15" s="77">
        <v>151.28321462399998</v>
      </c>
      <c r="L15" s="78">
        <v>2.1189065870254973E-4</v>
      </c>
      <c r="M15" s="78">
        <f t="shared" si="0"/>
        <v>7.2204158517634003E-3</v>
      </c>
      <c r="N15" s="78">
        <f>K15/'סכום נכסי הקרן'!$C$42</f>
        <v>4.1696345878818196E-5</v>
      </c>
    </row>
    <row r="16" spans="2:63" ht="20.25">
      <c r="B16" s="76" t="s">
        <v>1452</v>
      </c>
      <c r="C16" s="70" t="s">
        <v>1453</v>
      </c>
      <c r="D16" s="83" t="s">
        <v>116</v>
      </c>
      <c r="E16" s="70" t="s">
        <v>1454</v>
      </c>
      <c r="F16" s="83" t="s">
        <v>1449</v>
      </c>
      <c r="G16" s="83" t="s">
        <v>160</v>
      </c>
      <c r="H16" s="77">
        <v>9.1664159999999999</v>
      </c>
      <c r="I16" s="79">
        <v>1105</v>
      </c>
      <c r="J16" s="70"/>
      <c r="K16" s="77">
        <v>0.10128889699999999</v>
      </c>
      <c r="L16" s="78">
        <v>1.8330888925773867E-5</v>
      </c>
      <c r="M16" s="78">
        <f t="shared" si="0"/>
        <v>4.8342967812002535E-6</v>
      </c>
      <c r="N16" s="78">
        <f>K16/'סכום נכסי הקרן'!$C$42</f>
        <v>2.7917022344433856E-8</v>
      </c>
      <c r="BH16" s="4"/>
    </row>
    <row r="17" spans="2:14">
      <c r="B17" s="76" t="s">
        <v>1455</v>
      </c>
      <c r="C17" s="70" t="s">
        <v>1456</v>
      </c>
      <c r="D17" s="83" t="s">
        <v>116</v>
      </c>
      <c r="E17" s="70" t="s">
        <v>1454</v>
      </c>
      <c r="F17" s="83" t="s">
        <v>1449</v>
      </c>
      <c r="G17" s="83" t="s">
        <v>160</v>
      </c>
      <c r="H17" s="77">
        <v>23683.727340000001</v>
      </c>
      <c r="I17" s="79">
        <v>1306</v>
      </c>
      <c r="J17" s="70"/>
      <c r="K17" s="77">
        <v>309.30947906</v>
      </c>
      <c r="L17" s="78">
        <v>2.2002388834400466E-4</v>
      </c>
      <c r="M17" s="78">
        <f t="shared" si="0"/>
        <v>1.4762662673821845E-2</v>
      </c>
      <c r="N17" s="78">
        <f>K17/'סכום נכסי הקרן'!$C$42</f>
        <v>8.5251196271425654E-5</v>
      </c>
    </row>
    <row r="18" spans="2:14">
      <c r="B18" s="76" t="s">
        <v>1457</v>
      </c>
      <c r="C18" s="70" t="s">
        <v>1458</v>
      </c>
      <c r="D18" s="83" t="s">
        <v>116</v>
      </c>
      <c r="E18" s="70" t="s">
        <v>1454</v>
      </c>
      <c r="F18" s="83" t="s">
        <v>1449</v>
      </c>
      <c r="G18" s="83" t="s">
        <v>160</v>
      </c>
      <c r="H18" s="77">
        <v>5270.6891999999989</v>
      </c>
      <c r="I18" s="79">
        <v>1714</v>
      </c>
      <c r="J18" s="70"/>
      <c r="K18" s="77">
        <v>90.339612888000019</v>
      </c>
      <c r="L18" s="78">
        <v>7.4794160250949679E-5</v>
      </c>
      <c r="M18" s="78">
        <f t="shared" si="0"/>
        <v>4.3117114781034242E-3</v>
      </c>
      <c r="N18" s="78">
        <f>K18/'סכום נכסי הקרן'!$C$42</f>
        <v>2.4899204811972646E-5</v>
      </c>
    </row>
    <row r="19" spans="2:14">
      <c r="B19" s="76" t="s">
        <v>1459</v>
      </c>
      <c r="C19" s="70" t="s">
        <v>1460</v>
      </c>
      <c r="D19" s="83" t="s">
        <v>116</v>
      </c>
      <c r="E19" s="70" t="s">
        <v>1461</v>
      </c>
      <c r="F19" s="83" t="s">
        <v>1449</v>
      </c>
      <c r="G19" s="83" t="s">
        <v>160</v>
      </c>
      <c r="H19" s="77">
        <v>303.06462900000002</v>
      </c>
      <c r="I19" s="79">
        <v>16820</v>
      </c>
      <c r="J19" s="70"/>
      <c r="K19" s="77">
        <v>50.975470598000001</v>
      </c>
      <c r="L19" s="78">
        <v>3.3187190702209469E-5</v>
      </c>
      <c r="M19" s="78">
        <f t="shared" si="0"/>
        <v>2.4329473489288723E-3</v>
      </c>
      <c r="N19" s="78">
        <f>K19/'סכום נכסי הקרן'!$C$42</f>
        <v>1.4049746752621833E-5</v>
      </c>
    </row>
    <row r="20" spans="2:14">
      <c r="B20" s="76" t="s">
        <v>1462</v>
      </c>
      <c r="C20" s="70" t="s">
        <v>1463</v>
      </c>
      <c r="D20" s="83" t="s">
        <v>116</v>
      </c>
      <c r="E20" s="70" t="s">
        <v>1461</v>
      </c>
      <c r="F20" s="83" t="s">
        <v>1449</v>
      </c>
      <c r="G20" s="83" t="s">
        <v>160</v>
      </c>
      <c r="H20" s="77">
        <v>3678.0244200000002</v>
      </c>
      <c r="I20" s="79">
        <v>13170</v>
      </c>
      <c r="J20" s="70"/>
      <c r="K20" s="77">
        <v>484.39581611400001</v>
      </c>
      <c r="L20" s="78">
        <v>2.6794318039595591E-4</v>
      </c>
      <c r="M20" s="78">
        <f t="shared" si="0"/>
        <v>2.3119149324597545E-2</v>
      </c>
      <c r="N20" s="78">
        <f>K20/'סכום נכסי הקרן'!$C$42</f>
        <v>1.3350810624391352E-4</v>
      </c>
    </row>
    <row r="21" spans="2:14">
      <c r="B21" s="76" t="s">
        <v>1464</v>
      </c>
      <c r="C21" s="70" t="s">
        <v>1465</v>
      </c>
      <c r="D21" s="83" t="s">
        <v>116</v>
      </c>
      <c r="E21" s="70" t="s">
        <v>1466</v>
      </c>
      <c r="F21" s="83" t="s">
        <v>1449</v>
      </c>
      <c r="G21" s="83" t="s">
        <v>160</v>
      </c>
      <c r="H21" s="77">
        <v>17874.511200000001</v>
      </c>
      <c r="I21" s="79">
        <v>1311</v>
      </c>
      <c r="J21" s="70"/>
      <c r="K21" s="77">
        <v>234.334841832</v>
      </c>
      <c r="L21" s="78">
        <v>9.2822430176578332E-5</v>
      </c>
      <c r="M21" s="78">
        <f t="shared" si="0"/>
        <v>1.1184287766422298E-2</v>
      </c>
      <c r="N21" s="78">
        <f>K21/'סכום נכסי הקרן'!$C$42</f>
        <v>6.4586852155210241E-5</v>
      </c>
    </row>
    <row r="22" spans="2:14">
      <c r="B22" s="76" t="s">
        <v>1467</v>
      </c>
      <c r="C22" s="70" t="s">
        <v>1468</v>
      </c>
      <c r="D22" s="83" t="s">
        <v>116</v>
      </c>
      <c r="E22" s="70" t="s">
        <v>1466</v>
      </c>
      <c r="F22" s="83" t="s">
        <v>1449</v>
      </c>
      <c r="G22" s="83" t="s">
        <v>160</v>
      </c>
      <c r="H22" s="77">
        <v>2.7039999999999998E-3</v>
      </c>
      <c r="I22" s="79">
        <v>1327</v>
      </c>
      <c r="J22" s="70"/>
      <c r="K22" s="77">
        <v>3.5887000000000004E-5</v>
      </c>
      <c r="L22" s="78">
        <v>2.9093938366170066E-11</v>
      </c>
      <c r="M22" s="78">
        <f t="shared" si="0"/>
        <v>1.7128077580599336E-9</v>
      </c>
      <c r="N22" s="78">
        <f>K22/'סכום נכסי הקרן'!$C$42</f>
        <v>9.8910957720735975E-12</v>
      </c>
    </row>
    <row r="23" spans="2:14">
      <c r="B23" s="76" t="s">
        <v>1469</v>
      </c>
      <c r="C23" s="70" t="s">
        <v>1470</v>
      </c>
      <c r="D23" s="83" t="s">
        <v>116</v>
      </c>
      <c r="E23" s="70" t="s">
        <v>1466</v>
      </c>
      <c r="F23" s="83" t="s">
        <v>1449</v>
      </c>
      <c r="G23" s="83" t="s">
        <v>160</v>
      </c>
      <c r="H23" s="77">
        <v>14769.387779999999</v>
      </c>
      <c r="I23" s="79">
        <v>1708</v>
      </c>
      <c r="J23" s="70"/>
      <c r="K23" s="77">
        <v>252.26114328200001</v>
      </c>
      <c r="L23" s="78">
        <v>1.562781490093184E-4</v>
      </c>
      <c r="M23" s="78">
        <f t="shared" si="0"/>
        <v>1.2039870796401985E-2</v>
      </c>
      <c r="N23" s="78">
        <f>K23/'סכום נכסי הקרן'!$C$42</f>
        <v>6.9527659814836625E-5</v>
      </c>
    </row>
    <row r="24" spans="2:14">
      <c r="B24" s="73"/>
      <c r="C24" s="70"/>
      <c r="D24" s="70"/>
      <c r="E24" s="70"/>
      <c r="F24" s="70"/>
      <c r="G24" s="70"/>
      <c r="H24" s="77"/>
      <c r="I24" s="79"/>
      <c r="J24" s="70"/>
      <c r="K24" s="70"/>
      <c r="L24" s="70"/>
      <c r="M24" s="78"/>
      <c r="N24" s="70"/>
    </row>
    <row r="25" spans="2:14">
      <c r="B25" s="89" t="s">
        <v>255</v>
      </c>
      <c r="C25" s="72"/>
      <c r="D25" s="72"/>
      <c r="E25" s="72"/>
      <c r="F25" s="72"/>
      <c r="G25" s="72"/>
      <c r="H25" s="80"/>
      <c r="I25" s="82"/>
      <c r="J25" s="72"/>
      <c r="K25" s="80">
        <v>3110.6103904140009</v>
      </c>
      <c r="L25" s="72"/>
      <c r="M25" s="81">
        <f t="shared" ref="M25:M39" si="1">K25/$K$11</f>
        <v>0.14846260788037283</v>
      </c>
      <c r="N25" s="81">
        <f>K25/'סכום נכסי הקרן'!$C$42</f>
        <v>8.5733957369499042E-4</v>
      </c>
    </row>
    <row r="26" spans="2:14">
      <c r="B26" s="76" t="s">
        <v>1471</v>
      </c>
      <c r="C26" s="70" t="s">
        <v>1472</v>
      </c>
      <c r="D26" s="83" t="s">
        <v>116</v>
      </c>
      <c r="E26" s="70" t="s">
        <v>1448</v>
      </c>
      <c r="F26" s="83" t="s">
        <v>1473</v>
      </c>
      <c r="G26" s="83" t="s">
        <v>160</v>
      </c>
      <c r="H26" s="77">
        <v>27487.486118999997</v>
      </c>
      <c r="I26" s="79">
        <v>315.60000000000002</v>
      </c>
      <c r="J26" s="70"/>
      <c r="K26" s="77">
        <v>86.750506210999987</v>
      </c>
      <c r="L26" s="78">
        <v>1.0325196474267136E-3</v>
      </c>
      <c r="M26" s="78">
        <f t="shared" si="1"/>
        <v>4.1404112924966485E-3</v>
      </c>
      <c r="N26" s="78">
        <f>K26/'סכום נכסי הקרן'!$C$42</f>
        <v>2.390998314734768E-5</v>
      </c>
    </row>
    <row r="27" spans="2:14">
      <c r="B27" s="76" t="s">
        <v>1474</v>
      </c>
      <c r="C27" s="70" t="s">
        <v>1475</v>
      </c>
      <c r="D27" s="83" t="s">
        <v>116</v>
      </c>
      <c r="E27" s="70" t="s">
        <v>1448</v>
      </c>
      <c r="F27" s="83" t="s">
        <v>1473</v>
      </c>
      <c r="G27" s="83" t="s">
        <v>160</v>
      </c>
      <c r="H27" s="77">
        <v>204483.79670000001</v>
      </c>
      <c r="I27" s="79">
        <v>325.79000000000002</v>
      </c>
      <c r="J27" s="70"/>
      <c r="K27" s="77">
        <v>666.18776127199999</v>
      </c>
      <c r="L27" s="78">
        <v>8.7857515002945352E-4</v>
      </c>
      <c r="M27" s="78">
        <f t="shared" si="1"/>
        <v>3.1795679935109109E-2</v>
      </c>
      <c r="N27" s="78">
        <f>K27/'סכום נכסי הקרן'!$C$42</f>
        <v>1.8361320112922932E-4</v>
      </c>
    </row>
    <row r="28" spans="2:14">
      <c r="B28" s="76" t="s">
        <v>1476</v>
      </c>
      <c r="C28" s="70" t="s">
        <v>1477</v>
      </c>
      <c r="D28" s="83" t="s">
        <v>116</v>
      </c>
      <c r="E28" s="70" t="s">
        <v>1454</v>
      </c>
      <c r="F28" s="83" t="s">
        <v>1473</v>
      </c>
      <c r="G28" s="83" t="s">
        <v>160</v>
      </c>
      <c r="H28" s="77">
        <v>133202.84887399999</v>
      </c>
      <c r="I28" s="79">
        <v>326.35000000000002</v>
      </c>
      <c r="J28" s="70"/>
      <c r="K28" s="77">
        <v>434.70749734200001</v>
      </c>
      <c r="L28" s="78">
        <v>3.483100046862644E-4</v>
      </c>
      <c r="M28" s="78">
        <f t="shared" si="1"/>
        <v>2.0747634907743628E-2</v>
      </c>
      <c r="N28" s="78">
        <f>K28/'סכום נכסי הקרן'!$C$42</f>
        <v>1.1981312143807368E-4</v>
      </c>
    </row>
    <row r="29" spans="2:14">
      <c r="B29" s="76" t="s">
        <v>1478</v>
      </c>
      <c r="C29" s="70" t="s">
        <v>1479</v>
      </c>
      <c r="D29" s="83" t="s">
        <v>116</v>
      </c>
      <c r="E29" s="70" t="s">
        <v>1454</v>
      </c>
      <c r="F29" s="83" t="s">
        <v>1473</v>
      </c>
      <c r="G29" s="83" t="s">
        <v>160</v>
      </c>
      <c r="H29" s="77">
        <v>1.6440000000000003E-3</v>
      </c>
      <c r="I29" s="79">
        <v>332.53</v>
      </c>
      <c r="J29" s="70"/>
      <c r="K29" s="77">
        <v>5.4639999999999997E-6</v>
      </c>
      <c r="L29" s="78">
        <v>6.8691341161876029E-12</v>
      </c>
      <c r="M29" s="78">
        <f t="shared" si="1"/>
        <v>2.607847295689101E-10</v>
      </c>
      <c r="N29" s="78">
        <f>K29/'סכום נכסי הקרן'!$C$42</f>
        <v>1.5059756262326224E-12</v>
      </c>
    </row>
    <row r="30" spans="2:14">
      <c r="B30" s="76" t="s">
        <v>1480</v>
      </c>
      <c r="C30" s="70" t="s">
        <v>1481</v>
      </c>
      <c r="D30" s="83" t="s">
        <v>116</v>
      </c>
      <c r="E30" s="70" t="s">
        <v>1454</v>
      </c>
      <c r="F30" s="83" t="s">
        <v>1473</v>
      </c>
      <c r="G30" s="83" t="s">
        <v>160</v>
      </c>
      <c r="H30" s="77">
        <v>7.1079999999999997E-3</v>
      </c>
      <c r="I30" s="79">
        <v>316.7</v>
      </c>
      <c r="J30" s="70"/>
      <c r="K30" s="77">
        <v>2.2568000000000001E-5</v>
      </c>
      <c r="L30" s="78">
        <v>1.6703787238306549E-10</v>
      </c>
      <c r="M30" s="78">
        <f t="shared" si="1"/>
        <v>1.0771211158329361E-9</v>
      </c>
      <c r="N30" s="78">
        <f>K30/'סכום נכסי הקרן'!$C$42</f>
        <v>6.2201423742345949E-12</v>
      </c>
    </row>
    <row r="31" spans="2:14">
      <c r="B31" s="76" t="s">
        <v>1482</v>
      </c>
      <c r="C31" s="70" t="s">
        <v>1483</v>
      </c>
      <c r="D31" s="83" t="s">
        <v>116</v>
      </c>
      <c r="E31" s="70" t="s">
        <v>1454</v>
      </c>
      <c r="F31" s="83" t="s">
        <v>1473</v>
      </c>
      <c r="G31" s="83" t="s">
        <v>160</v>
      </c>
      <c r="H31" s="77">
        <v>65882.537138</v>
      </c>
      <c r="I31" s="79">
        <v>355.27</v>
      </c>
      <c r="J31" s="70"/>
      <c r="K31" s="77">
        <v>234.06088966499999</v>
      </c>
      <c r="L31" s="78">
        <v>2.9919138484972612E-4</v>
      </c>
      <c r="M31" s="78">
        <f t="shared" si="1"/>
        <v>1.117121263066353E-2</v>
      </c>
      <c r="N31" s="78">
        <f>K31/'סכום נכסי הקרן'!$C$42</f>
        <v>6.4511346063289373E-5</v>
      </c>
    </row>
    <row r="32" spans="2:14">
      <c r="B32" s="76" t="s">
        <v>1484</v>
      </c>
      <c r="C32" s="70" t="s">
        <v>1485</v>
      </c>
      <c r="D32" s="83" t="s">
        <v>116</v>
      </c>
      <c r="E32" s="70" t="s">
        <v>1461</v>
      </c>
      <c r="F32" s="83" t="s">
        <v>1473</v>
      </c>
      <c r="G32" s="83" t="s">
        <v>160</v>
      </c>
      <c r="H32" s="77">
        <v>138.36454800000001</v>
      </c>
      <c r="I32" s="79">
        <v>3321.67</v>
      </c>
      <c r="J32" s="70"/>
      <c r="K32" s="77">
        <v>4.5960136800000004</v>
      </c>
      <c r="L32" s="78">
        <v>6.0508731561153993E-6</v>
      </c>
      <c r="M32" s="78">
        <f t="shared" si="1"/>
        <v>2.1935764726094644E-4</v>
      </c>
      <c r="N32" s="78">
        <f>K32/'סכום נכסי הקרן'!$C$42</f>
        <v>1.2667431515211752E-6</v>
      </c>
    </row>
    <row r="33" spans="2:14">
      <c r="B33" s="76" t="s">
        <v>1486</v>
      </c>
      <c r="C33" s="70" t="s">
        <v>1487</v>
      </c>
      <c r="D33" s="83" t="s">
        <v>116</v>
      </c>
      <c r="E33" s="70" t="s">
        <v>1461</v>
      </c>
      <c r="F33" s="83" t="s">
        <v>1473</v>
      </c>
      <c r="G33" s="83" t="s">
        <v>160</v>
      </c>
      <c r="H33" s="77">
        <v>613.05809999999997</v>
      </c>
      <c r="I33" s="79">
        <v>3144.84</v>
      </c>
      <c r="J33" s="70"/>
      <c r="K33" s="77">
        <v>19.279696351999998</v>
      </c>
      <c r="L33" s="78">
        <v>1.1438116326372975E-4</v>
      </c>
      <c r="M33" s="78">
        <f t="shared" si="1"/>
        <v>9.2017759870553111E-4</v>
      </c>
      <c r="N33" s="78">
        <f>K33/'סכום נכסי הקרן'!$C$42</f>
        <v>5.3138273768810405E-6</v>
      </c>
    </row>
    <row r="34" spans="2:14">
      <c r="B34" s="76" t="s">
        <v>1488</v>
      </c>
      <c r="C34" s="70" t="s">
        <v>1489</v>
      </c>
      <c r="D34" s="83" t="s">
        <v>116</v>
      </c>
      <c r="E34" s="70" t="s">
        <v>1461</v>
      </c>
      <c r="F34" s="83" t="s">
        <v>1473</v>
      </c>
      <c r="G34" s="83" t="s">
        <v>160</v>
      </c>
      <c r="H34" s="77">
        <v>12420.828094999999</v>
      </c>
      <c r="I34" s="79">
        <v>3245.67</v>
      </c>
      <c r="J34" s="70"/>
      <c r="K34" s="77">
        <v>403.1390912249999</v>
      </c>
      <c r="L34" s="78">
        <v>3.386017035000958E-4</v>
      </c>
      <c r="M34" s="78">
        <f t="shared" si="1"/>
        <v>1.9240944158815478E-2</v>
      </c>
      <c r="N34" s="78">
        <f>K34/'סכום נכסי הקרן'!$C$42</f>
        <v>1.1111230698506947E-4</v>
      </c>
    </row>
    <row r="35" spans="2:14">
      <c r="B35" s="76" t="s">
        <v>1490</v>
      </c>
      <c r="C35" s="70" t="s">
        <v>1491</v>
      </c>
      <c r="D35" s="83" t="s">
        <v>116</v>
      </c>
      <c r="E35" s="70" t="s">
        <v>1461</v>
      </c>
      <c r="F35" s="83" t="s">
        <v>1473</v>
      </c>
      <c r="G35" s="83" t="s">
        <v>160</v>
      </c>
      <c r="H35" s="77">
        <v>7594.2216740000003</v>
      </c>
      <c r="I35" s="79">
        <v>3563.87</v>
      </c>
      <c r="J35" s="70"/>
      <c r="K35" s="77">
        <v>270.64818796600002</v>
      </c>
      <c r="L35" s="78">
        <v>5.1201157123161489E-4</v>
      </c>
      <c r="M35" s="78">
        <f t="shared" si="1"/>
        <v>1.2917444089866191E-2</v>
      </c>
      <c r="N35" s="78">
        <f>K35/'סכום נכסי הקרן'!$C$42</f>
        <v>7.4595456508203038E-5</v>
      </c>
    </row>
    <row r="36" spans="2:14">
      <c r="B36" s="76" t="s">
        <v>1492</v>
      </c>
      <c r="C36" s="70" t="s">
        <v>1493</v>
      </c>
      <c r="D36" s="83" t="s">
        <v>116</v>
      </c>
      <c r="E36" s="70" t="s">
        <v>1466</v>
      </c>
      <c r="F36" s="83" t="s">
        <v>1473</v>
      </c>
      <c r="G36" s="83" t="s">
        <v>160</v>
      </c>
      <c r="H36" s="77">
        <v>1.6440000000000003E-3</v>
      </c>
      <c r="I36" s="79">
        <v>332.26</v>
      </c>
      <c r="J36" s="70"/>
      <c r="K36" s="77">
        <v>5.5089999999999993E-6</v>
      </c>
      <c r="L36" s="78">
        <v>5.2600171074697527E-12</v>
      </c>
      <c r="M36" s="78">
        <f t="shared" si="1"/>
        <v>2.6293248081902004E-10</v>
      </c>
      <c r="N36" s="78">
        <f>K36/'סכום נכסי הקרן'!$C$42</f>
        <v>1.5183784269611121E-12</v>
      </c>
    </row>
    <row r="37" spans="2:14">
      <c r="B37" s="76" t="s">
        <v>1494</v>
      </c>
      <c r="C37" s="70" t="s">
        <v>1495</v>
      </c>
      <c r="D37" s="83" t="s">
        <v>116</v>
      </c>
      <c r="E37" s="70" t="s">
        <v>1466</v>
      </c>
      <c r="F37" s="83" t="s">
        <v>1473</v>
      </c>
      <c r="G37" s="83" t="s">
        <v>160</v>
      </c>
      <c r="H37" s="77">
        <v>4.398E-3</v>
      </c>
      <c r="I37" s="79">
        <v>316.33</v>
      </c>
      <c r="J37" s="70"/>
      <c r="K37" s="77">
        <v>1.3860000000000001E-5</v>
      </c>
      <c r="L37" s="78">
        <v>8.7924633195543426E-11</v>
      </c>
      <c r="M37" s="78">
        <f t="shared" si="1"/>
        <v>6.6150738503387517E-10</v>
      </c>
      <c r="N37" s="78">
        <f>K37/'סכום נכסי הקרן'!$C$42</f>
        <v>3.8200626243748446E-12</v>
      </c>
    </row>
    <row r="38" spans="2:14">
      <c r="B38" s="76" t="s">
        <v>1496</v>
      </c>
      <c r="C38" s="70" t="s">
        <v>1497</v>
      </c>
      <c r="D38" s="83" t="s">
        <v>116</v>
      </c>
      <c r="E38" s="70" t="s">
        <v>1466</v>
      </c>
      <c r="F38" s="83" t="s">
        <v>1473</v>
      </c>
      <c r="G38" s="83" t="s">
        <v>160</v>
      </c>
      <c r="H38" s="77">
        <v>168609.28243799999</v>
      </c>
      <c r="I38" s="79">
        <v>326</v>
      </c>
      <c r="J38" s="70"/>
      <c r="K38" s="77">
        <v>549.66626074800001</v>
      </c>
      <c r="L38" s="78">
        <v>4.2645213669250087E-4</v>
      </c>
      <c r="M38" s="78">
        <f t="shared" si="1"/>
        <v>2.6234364414773281E-2</v>
      </c>
      <c r="N38" s="78">
        <f>K38/'סכום נכסי הקרן'!$C$42</f>
        <v>1.514978022051452E-4</v>
      </c>
    </row>
    <row r="39" spans="2:14">
      <c r="B39" s="76" t="s">
        <v>1498</v>
      </c>
      <c r="C39" s="70" t="s">
        <v>1499</v>
      </c>
      <c r="D39" s="83" t="s">
        <v>116</v>
      </c>
      <c r="E39" s="70" t="s">
        <v>1466</v>
      </c>
      <c r="F39" s="83" t="s">
        <v>1473</v>
      </c>
      <c r="G39" s="83" t="s">
        <v>160</v>
      </c>
      <c r="H39" s="77">
        <v>123300.04146599998</v>
      </c>
      <c r="I39" s="79">
        <v>358.13</v>
      </c>
      <c r="J39" s="70"/>
      <c r="K39" s="77">
        <v>441.574438552</v>
      </c>
      <c r="L39" s="78">
        <v>5.3735485972109865E-4</v>
      </c>
      <c r="M39" s="78">
        <f t="shared" si="1"/>
        <v>2.1075378942592721E-2</v>
      </c>
      <c r="N39" s="78">
        <f>K39/'סכום נכסי הקרן'!$C$42</f>
        <v>1.2170577262567111E-4</v>
      </c>
    </row>
    <row r="40" spans="2:14">
      <c r="B40" s="73"/>
      <c r="C40" s="70"/>
      <c r="D40" s="70"/>
      <c r="E40" s="70"/>
      <c r="F40" s="70"/>
      <c r="G40" s="70"/>
      <c r="H40" s="77"/>
      <c r="I40" s="79"/>
      <c r="J40" s="70"/>
      <c r="K40" s="70"/>
      <c r="L40" s="70"/>
      <c r="M40" s="78"/>
      <c r="N40" s="70"/>
    </row>
    <row r="41" spans="2:14">
      <c r="B41" s="71" t="s">
        <v>228</v>
      </c>
      <c r="C41" s="72"/>
      <c r="D41" s="72"/>
      <c r="E41" s="72"/>
      <c r="F41" s="72"/>
      <c r="G41" s="72"/>
      <c r="H41" s="80"/>
      <c r="I41" s="82"/>
      <c r="J41" s="72"/>
      <c r="K41" s="80">
        <v>16081.946475006996</v>
      </c>
      <c r="L41" s="72"/>
      <c r="M41" s="81">
        <f t="shared" ref="M41:M86" si="2">K41/$K$11</f>
        <v>0.76755601435329179</v>
      </c>
      <c r="N41" s="81">
        <f>K41/'סכום נכסי הקרן'!$C$42</f>
        <v>4.4324706101277781E-3</v>
      </c>
    </row>
    <row r="42" spans="2:14">
      <c r="B42" s="89" t="s">
        <v>256</v>
      </c>
      <c r="C42" s="72"/>
      <c r="D42" s="72"/>
      <c r="E42" s="72"/>
      <c r="F42" s="72"/>
      <c r="G42" s="72"/>
      <c r="H42" s="80"/>
      <c r="I42" s="82"/>
      <c r="J42" s="72"/>
      <c r="K42" s="80">
        <v>16081.946475006996</v>
      </c>
      <c r="L42" s="72"/>
      <c r="M42" s="81">
        <f t="shared" si="2"/>
        <v>0.76755601435329179</v>
      </c>
      <c r="N42" s="81">
        <f>K42/'סכום נכסי הקרן'!$C$42</f>
        <v>4.4324706101277781E-3</v>
      </c>
    </row>
    <row r="43" spans="2:14">
      <c r="B43" s="76" t="s">
        <v>1500</v>
      </c>
      <c r="C43" s="70" t="s">
        <v>1501</v>
      </c>
      <c r="D43" s="83" t="s">
        <v>26</v>
      </c>
      <c r="E43" s="70"/>
      <c r="F43" s="83" t="s">
        <v>1449</v>
      </c>
      <c r="G43" s="83" t="s">
        <v>159</v>
      </c>
      <c r="H43" s="77">
        <v>1648.3504460000001</v>
      </c>
      <c r="I43" s="79">
        <v>3371.14</v>
      </c>
      <c r="J43" s="70"/>
      <c r="K43" s="77">
        <v>192.59938521599997</v>
      </c>
      <c r="L43" s="78">
        <v>8.2911750956275265E-5</v>
      </c>
      <c r="M43" s="78">
        <f t="shared" si="2"/>
        <v>9.1923460081795201E-3</v>
      </c>
      <c r="N43" s="78">
        <f>K43/'סכום נכסי הקרן'!$C$42</f>
        <v>5.3083817672526293E-5</v>
      </c>
    </row>
    <row r="44" spans="2:14">
      <c r="B44" s="76" t="s">
        <v>1502</v>
      </c>
      <c r="C44" s="70" t="s">
        <v>1503</v>
      </c>
      <c r="D44" s="83" t="s">
        <v>26</v>
      </c>
      <c r="E44" s="70"/>
      <c r="F44" s="83" t="s">
        <v>1449</v>
      </c>
      <c r="G44" s="83" t="s">
        <v>159</v>
      </c>
      <c r="H44" s="77">
        <v>68.499066999999997</v>
      </c>
      <c r="I44" s="79">
        <v>449.32</v>
      </c>
      <c r="J44" s="70"/>
      <c r="K44" s="77">
        <v>1.066765553</v>
      </c>
      <c r="L44" s="78">
        <v>1.5600051917679923E-7</v>
      </c>
      <c r="M44" s="78">
        <f t="shared" si="2"/>
        <v>5.0914378889555968E-5</v>
      </c>
      <c r="N44" s="78">
        <f>K44/'סכום נכסי הקרן'!$C$42</f>
        <v>2.9401956839724834E-7</v>
      </c>
    </row>
    <row r="45" spans="2:14">
      <c r="B45" s="76" t="s">
        <v>1504</v>
      </c>
      <c r="C45" s="70" t="s">
        <v>1505</v>
      </c>
      <c r="D45" s="83" t="s">
        <v>26</v>
      </c>
      <c r="E45" s="70"/>
      <c r="F45" s="83" t="s">
        <v>1449</v>
      </c>
      <c r="G45" s="83" t="s">
        <v>159</v>
      </c>
      <c r="H45" s="77">
        <v>2796.955132</v>
      </c>
      <c r="I45" s="79">
        <v>5940.9</v>
      </c>
      <c r="J45" s="70"/>
      <c r="K45" s="77">
        <v>575.92548943200006</v>
      </c>
      <c r="L45" s="78">
        <v>9.7844549418447024E-5</v>
      </c>
      <c r="M45" s="78">
        <f t="shared" si="2"/>
        <v>2.7487659775506282E-2</v>
      </c>
      <c r="N45" s="78">
        <f>K45/'סכום נכסי הקרן'!$C$42</f>
        <v>1.5873531288628951E-4</v>
      </c>
    </row>
    <row r="46" spans="2:14">
      <c r="B46" s="76" t="s">
        <v>1506</v>
      </c>
      <c r="C46" s="70" t="s">
        <v>1507</v>
      </c>
      <c r="D46" s="83" t="s">
        <v>26</v>
      </c>
      <c r="E46" s="70"/>
      <c r="F46" s="83" t="s">
        <v>1449</v>
      </c>
      <c r="G46" s="83" t="s">
        <v>161</v>
      </c>
      <c r="H46" s="77">
        <v>599.71170099999995</v>
      </c>
      <c r="I46" s="79">
        <v>5500.1</v>
      </c>
      <c r="J46" s="70"/>
      <c r="K46" s="77">
        <v>128.07316094199999</v>
      </c>
      <c r="L46" s="78">
        <v>3.9952594842758261E-5</v>
      </c>
      <c r="M46" s="78">
        <f t="shared" si="2"/>
        <v>6.1126509226381706E-3</v>
      </c>
      <c r="N46" s="78">
        <f>K46/'סכום נכסי הקרן'!$C$42</f>
        <v>3.5299242085142733E-5</v>
      </c>
    </row>
    <row r="47" spans="2:14">
      <c r="B47" s="76" t="s">
        <v>1508</v>
      </c>
      <c r="C47" s="70" t="s">
        <v>1509</v>
      </c>
      <c r="D47" s="83" t="s">
        <v>1186</v>
      </c>
      <c r="E47" s="70"/>
      <c r="F47" s="83" t="s">
        <v>1449</v>
      </c>
      <c r="G47" s="83" t="s">
        <v>159</v>
      </c>
      <c r="H47" s="77">
        <v>1537.8321450000001</v>
      </c>
      <c r="I47" s="79">
        <v>5404</v>
      </c>
      <c r="J47" s="70"/>
      <c r="K47" s="77">
        <v>288.04002063500002</v>
      </c>
      <c r="L47" s="78">
        <v>9.0513957916421432E-6</v>
      </c>
      <c r="M47" s="78">
        <f t="shared" si="2"/>
        <v>1.3747518097789489E-2</v>
      </c>
      <c r="N47" s="78">
        <f>K47/'סכום נכסי הקרן'!$C$42</f>
        <v>7.9388955061466266E-5</v>
      </c>
    </row>
    <row r="48" spans="2:14">
      <c r="B48" s="76" t="s">
        <v>1510</v>
      </c>
      <c r="C48" s="70" t="s">
        <v>1511</v>
      </c>
      <c r="D48" s="83" t="s">
        <v>1186</v>
      </c>
      <c r="E48" s="70"/>
      <c r="F48" s="83" t="s">
        <v>1449</v>
      </c>
      <c r="G48" s="83" t="s">
        <v>159</v>
      </c>
      <c r="H48" s="77">
        <v>788.19251999999994</v>
      </c>
      <c r="I48" s="79">
        <v>12771</v>
      </c>
      <c r="J48" s="70"/>
      <c r="K48" s="77">
        <v>348.88779128300001</v>
      </c>
      <c r="L48" s="78">
        <v>7.6969481398891502E-6</v>
      </c>
      <c r="M48" s="78">
        <f t="shared" si="2"/>
        <v>1.665164866391499E-2</v>
      </c>
      <c r="N48" s="78">
        <f>K48/'סכום נכסי הקרן'!$C$42</f>
        <v>9.6159683375243856E-5</v>
      </c>
    </row>
    <row r="49" spans="2:14">
      <c r="B49" s="76" t="s">
        <v>1512</v>
      </c>
      <c r="C49" s="70" t="s">
        <v>1513</v>
      </c>
      <c r="D49" s="83" t="s">
        <v>1186</v>
      </c>
      <c r="E49" s="70"/>
      <c r="F49" s="83" t="s">
        <v>1449</v>
      </c>
      <c r="G49" s="83" t="s">
        <v>159</v>
      </c>
      <c r="H49" s="77">
        <v>1194.951264</v>
      </c>
      <c r="I49" s="79">
        <v>5864</v>
      </c>
      <c r="J49" s="70"/>
      <c r="K49" s="77">
        <v>242.86935142999999</v>
      </c>
      <c r="L49" s="78">
        <v>5.3328942598040077E-6</v>
      </c>
      <c r="M49" s="78">
        <f t="shared" si="2"/>
        <v>1.1591621181048525E-2</v>
      </c>
      <c r="N49" s="78">
        <f>K49/'סכום נכסי הקרן'!$C$42</f>
        <v>6.6939114863196405E-5</v>
      </c>
    </row>
    <row r="50" spans="2:14">
      <c r="B50" s="76" t="s">
        <v>1514</v>
      </c>
      <c r="C50" s="70" t="s">
        <v>1515</v>
      </c>
      <c r="D50" s="83" t="s">
        <v>120</v>
      </c>
      <c r="E50" s="70"/>
      <c r="F50" s="83" t="s">
        <v>1449</v>
      </c>
      <c r="G50" s="83" t="s">
        <v>169</v>
      </c>
      <c r="H50" s="77">
        <v>25644.020124999995</v>
      </c>
      <c r="I50" s="79">
        <v>1653</v>
      </c>
      <c r="J50" s="70"/>
      <c r="K50" s="77">
        <v>1363.7994833140001</v>
      </c>
      <c r="L50" s="78">
        <v>7.5924594817129481E-6</v>
      </c>
      <c r="M50" s="78">
        <f t="shared" si="2"/>
        <v>6.5091156559710983E-2</v>
      </c>
      <c r="N50" s="78">
        <f>K50/'סכום נכסי הקרן'!$C$42</f>
        <v>3.7588740500357401E-4</v>
      </c>
    </row>
    <row r="51" spans="2:14">
      <c r="B51" s="76" t="s">
        <v>1516</v>
      </c>
      <c r="C51" s="70" t="s">
        <v>1517</v>
      </c>
      <c r="D51" s="83" t="s">
        <v>1186</v>
      </c>
      <c r="E51" s="70"/>
      <c r="F51" s="83" t="s">
        <v>1449</v>
      </c>
      <c r="G51" s="83" t="s">
        <v>159</v>
      </c>
      <c r="H51" s="77">
        <v>498.61744199999998</v>
      </c>
      <c r="I51" s="79">
        <v>10007</v>
      </c>
      <c r="J51" s="70"/>
      <c r="K51" s="77">
        <v>172.94177996100001</v>
      </c>
      <c r="L51" s="78">
        <v>2.1499978242058725E-6</v>
      </c>
      <c r="M51" s="78">
        <f t="shared" si="2"/>
        <v>8.2541316468329688E-3</v>
      </c>
      <c r="N51" s="78">
        <f>K51/'סכום נכסי הקרן'!$C$42</f>
        <v>4.7665831877480128E-5</v>
      </c>
    </row>
    <row r="52" spans="2:14">
      <c r="B52" s="76" t="s">
        <v>1518</v>
      </c>
      <c r="C52" s="70" t="s">
        <v>1519</v>
      </c>
      <c r="D52" s="83" t="s">
        <v>26</v>
      </c>
      <c r="E52" s="70"/>
      <c r="F52" s="83" t="s">
        <v>1449</v>
      </c>
      <c r="G52" s="83" t="s">
        <v>168</v>
      </c>
      <c r="H52" s="77">
        <v>3667.1368080000002</v>
      </c>
      <c r="I52" s="79">
        <v>3530</v>
      </c>
      <c r="J52" s="70"/>
      <c r="K52" s="77">
        <v>327.61188112399998</v>
      </c>
      <c r="L52" s="78">
        <v>6.4804433242490343E-5</v>
      </c>
      <c r="M52" s="78">
        <f t="shared" si="2"/>
        <v>1.5636196160776768E-2</v>
      </c>
      <c r="N52" s="78">
        <f>K52/'סכום נכסי הקרן'!$C$42</f>
        <v>9.0295663952592127E-5</v>
      </c>
    </row>
    <row r="53" spans="2:14">
      <c r="B53" s="76" t="s">
        <v>1520</v>
      </c>
      <c r="C53" s="70" t="s">
        <v>1521</v>
      </c>
      <c r="D53" s="83" t="s">
        <v>119</v>
      </c>
      <c r="E53" s="70"/>
      <c r="F53" s="83" t="s">
        <v>1449</v>
      </c>
      <c r="G53" s="83" t="s">
        <v>159</v>
      </c>
      <c r="H53" s="77">
        <v>11076.569721</v>
      </c>
      <c r="I53" s="79">
        <v>459.5</v>
      </c>
      <c r="J53" s="70"/>
      <c r="K53" s="77">
        <v>176.40844006999998</v>
      </c>
      <c r="L53" s="78">
        <v>5.5244736763092268E-5</v>
      </c>
      <c r="M53" s="78">
        <f t="shared" si="2"/>
        <v>8.4195877264509941E-3</v>
      </c>
      <c r="N53" s="78">
        <f>K53/'סכום נכסי הקרן'!$C$42</f>
        <v>4.8621305089154157E-5</v>
      </c>
    </row>
    <row r="54" spans="2:14">
      <c r="B54" s="76" t="s">
        <v>1522</v>
      </c>
      <c r="C54" s="70" t="s">
        <v>1523</v>
      </c>
      <c r="D54" s="83" t="s">
        <v>1186</v>
      </c>
      <c r="E54" s="70"/>
      <c r="F54" s="83" t="s">
        <v>1449</v>
      </c>
      <c r="G54" s="83" t="s">
        <v>159</v>
      </c>
      <c r="H54" s="77">
        <v>2100.1706690000001</v>
      </c>
      <c r="I54" s="79">
        <v>6870</v>
      </c>
      <c r="J54" s="70"/>
      <c r="K54" s="77">
        <v>500.08045861999994</v>
      </c>
      <c r="L54" s="78">
        <v>1.5871186834031107E-5</v>
      </c>
      <c r="M54" s="78">
        <f t="shared" si="2"/>
        <v>2.3867742892370647E-2</v>
      </c>
      <c r="N54" s="78">
        <f>K54/'סכום נכסי הקרן'!$C$42</f>
        <v>1.3783107281056947E-4</v>
      </c>
    </row>
    <row r="55" spans="2:14">
      <c r="B55" s="76" t="s">
        <v>1524</v>
      </c>
      <c r="C55" s="70" t="s">
        <v>1525</v>
      </c>
      <c r="D55" s="83" t="s">
        <v>1186</v>
      </c>
      <c r="E55" s="70"/>
      <c r="F55" s="83" t="s">
        <v>1449</v>
      </c>
      <c r="G55" s="83" t="s">
        <v>159</v>
      </c>
      <c r="H55" s="77">
        <v>656.25594599999999</v>
      </c>
      <c r="I55" s="79">
        <v>6348</v>
      </c>
      <c r="J55" s="70"/>
      <c r="K55" s="77">
        <v>144.39053574900001</v>
      </c>
      <c r="L55" s="78">
        <v>5.6818696623376623E-5</v>
      </c>
      <c r="M55" s="78">
        <f t="shared" si="2"/>
        <v>6.8914434146436698E-3</v>
      </c>
      <c r="N55" s="78">
        <f>K55/'סכום נכסי הקרן'!$C$42</f>
        <v>3.9796600932771626E-5</v>
      </c>
    </row>
    <row r="56" spans="2:14">
      <c r="B56" s="76" t="s">
        <v>1526</v>
      </c>
      <c r="C56" s="70" t="s">
        <v>1527</v>
      </c>
      <c r="D56" s="83" t="s">
        <v>119</v>
      </c>
      <c r="E56" s="70"/>
      <c r="F56" s="83" t="s">
        <v>1449</v>
      </c>
      <c r="G56" s="83" t="s">
        <v>159</v>
      </c>
      <c r="H56" s="77">
        <v>8138.9444999999996</v>
      </c>
      <c r="I56" s="79">
        <v>569.70000000000005</v>
      </c>
      <c r="J56" s="70"/>
      <c r="K56" s="77">
        <v>160.70998658600001</v>
      </c>
      <c r="L56" s="78">
        <v>2.6506133627583056E-4</v>
      </c>
      <c r="M56" s="78">
        <f t="shared" si="2"/>
        <v>7.6703349910053412E-3</v>
      </c>
      <c r="N56" s="78">
        <f>K56/'סכום נכסי הקרן'!$C$42</f>
        <v>4.4294531971209325E-5</v>
      </c>
    </row>
    <row r="57" spans="2:14">
      <c r="B57" s="76" t="s">
        <v>1528</v>
      </c>
      <c r="C57" s="70" t="s">
        <v>1529</v>
      </c>
      <c r="D57" s="83" t="s">
        <v>26</v>
      </c>
      <c r="E57" s="70"/>
      <c r="F57" s="83" t="s">
        <v>1449</v>
      </c>
      <c r="G57" s="83" t="s">
        <v>161</v>
      </c>
      <c r="H57" s="77">
        <v>1627.7889000000002</v>
      </c>
      <c r="I57" s="79">
        <v>3691</v>
      </c>
      <c r="J57" s="70"/>
      <c r="K57" s="77">
        <v>233.285179328</v>
      </c>
      <c r="L57" s="78">
        <v>2.8557700000000002E-4</v>
      </c>
      <c r="M57" s="78">
        <f t="shared" si="2"/>
        <v>1.1134189678529863E-2</v>
      </c>
      <c r="N57" s="78">
        <f>K57/'סכום נכסי הקרן'!$C$42</f>
        <v>6.4297546491448473E-5</v>
      </c>
    </row>
    <row r="58" spans="2:14">
      <c r="B58" s="76" t="s">
        <v>1530</v>
      </c>
      <c r="C58" s="70" t="s">
        <v>1531</v>
      </c>
      <c r="D58" s="83" t="s">
        <v>119</v>
      </c>
      <c r="E58" s="70"/>
      <c r="F58" s="83" t="s">
        <v>1449</v>
      </c>
      <c r="G58" s="83" t="s">
        <v>159</v>
      </c>
      <c r="H58" s="77">
        <v>10249.802889000002</v>
      </c>
      <c r="I58" s="79">
        <v>2703</v>
      </c>
      <c r="J58" s="70"/>
      <c r="K58" s="77">
        <v>960.26282834699987</v>
      </c>
      <c r="L58" s="78">
        <v>2.111729915296143E-5</v>
      </c>
      <c r="M58" s="78">
        <f t="shared" si="2"/>
        <v>4.5831237555920404E-2</v>
      </c>
      <c r="N58" s="78">
        <f>K58/'סכום נכסי הקרן'!$C$42</f>
        <v>2.6466552237697336E-4</v>
      </c>
    </row>
    <row r="59" spans="2:14">
      <c r="B59" s="76" t="s">
        <v>1532</v>
      </c>
      <c r="C59" s="70" t="s">
        <v>1533</v>
      </c>
      <c r="D59" s="83" t="s">
        <v>1424</v>
      </c>
      <c r="E59" s="70"/>
      <c r="F59" s="83" t="s">
        <v>1449</v>
      </c>
      <c r="G59" s="83" t="s">
        <v>164</v>
      </c>
      <c r="H59" s="77">
        <v>34232.786953000003</v>
      </c>
      <c r="I59" s="79">
        <v>2778</v>
      </c>
      <c r="J59" s="70"/>
      <c r="K59" s="77">
        <v>425.271796725</v>
      </c>
      <c r="L59" s="78">
        <v>2.1776762257428098E-4</v>
      </c>
      <c r="M59" s="78">
        <f t="shared" si="2"/>
        <v>2.0297289623391952E-2</v>
      </c>
      <c r="N59" s="78">
        <f>K59/'סכום נכסי הקרן'!$C$42</f>
        <v>1.1721247444948837E-4</v>
      </c>
    </row>
    <row r="60" spans="2:14">
      <c r="B60" s="76" t="s">
        <v>1534</v>
      </c>
      <c r="C60" s="70" t="s">
        <v>1535</v>
      </c>
      <c r="D60" s="83" t="s">
        <v>26</v>
      </c>
      <c r="E60" s="70"/>
      <c r="F60" s="83" t="s">
        <v>1449</v>
      </c>
      <c r="G60" s="83" t="s">
        <v>161</v>
      </c>
      <c r="H60" s="77">
        <v>9108.2542379999995</v>
      </c>
      <c r="I60" s="79">
        <v>2227</v>
      </c>
      <c r="J60" s="70"/>
      <c r="K60" s="77">
        <v>787.59034310799996</v>
      </c>
      <c r="L60" s="78">
        <v>3.5780529513171008E-5</v>
      </c>
      <c r="M60" s="78">
        <f t="shared" si="2"/>
        <v>3.7589958755216854E-2</v>
      </c>
      <c r="N60" s="78">
        <f>K60/'סכום נכסי הקרן'!$C$42</f>
        <v>2.1707391291669772E-4</v>
      </c>
    </row>
    <row r="61" spans="2:14">
      <c r="B61" s="76" t="s">
        <v>1536</v>
      </c>
      <c r="C61" s="70" t="s">
        <v>1537</v>
      </c>
      <c r="D61" s="83" t="s">
        <v>120</v>
      </c>
      <c r="E61" s="70"/>
      <c r="F61" s="83" t="s">
        <v>1449</v>
      </c>
      <c r="G61" s="83" t="s">
        <v>169</v>
      </c>
      <c r="H61" s="77">
        <v>211.61255700000001</v>
      </c>
      <c r="I61" s="79">
        <v>23090</v>
      </c>
      <c r="J61" s="70"/>
      <c r="K61" s="77">
        <v>157.20158728800001</v>
      </c>
      <c r="L61" s="78">
        <v>9.5108865997896855E-6</v>
      </c>
      <c r="M61" s="78">
        <f t="shared" si="2"/>
        <v>7.5028867914905747E-3</v>
      </c>
      <c r="N61" s="78">
        <f>K61/'סכום נכסי הקרן'!$C$42</f>
        <v>4.332755469634116E-5</v>
      </c>
    </row>
    <row r="62" spans="2:14">
      <c r="B62" s="76" t="s">
        <v>1538</v>
      </c>
      <c r="C62" s="70" t="s">
        <v>1539</v>
      </c>
      <c r="D62" s="83" t="s">
        <v>119</v>
      </c>
      <c r="E62" s="70"/>
      <c r="F62" s="83" t="s">
        <v>1449</v>
      </c>
      <c r="G62" s="83" t="s">
        <v>159</v>
      </c>
      <c r="H62" s="77">
        <v>44.873856000000004</v>
      </c>
      <c r="I62" s="79">
        <v>30830</v>
      </c>
      <c r="J62" s="70"/>
      <c r="K62" s="77">
        <v>47.950757924999998</v>
      </c>
      <c r="L62" s="78">
        <v>3.9496270862869195E-7</v>
      </c>
      <c r="M62" s="78">
        <f t="shared" si="2"/>
        <v>2.2885844506031106E-3</v>
      </c>
      <c r="N62" s="78">
        <f>K62/'סכום נכסי הקרן'!$C$42</f>
        <v>1.3216082118307241E-5</v>
      </c>
    </row>
    <row r="63" spans="2:14">
      <c r="B63" s="76" t="s">
        <v>1540</v>
      </c>
      <c r="C63" s="70" t="s">
        <v>1541</v>
      </c>
      <c r="D63" s="83" t="s">
        <v>1186</v>
      </c>
      <c r="E63" s="70"/>
      <c r="F63" s="83" t="s">
        <v>1449</v>
      </c>
      <c r="G63" s="83" t="s">
        <v>159</v>
      </c>
      <c r="H63" s="77">
        <v>1794.851445</v>
      </c>
      <c r="I63" s="79">
        <v>4415</v>
      </c>
      <c r="J63" s="70"/>
      <c r="K63" s="77">
        <v>274.65516803499997</v>
      </c>
      <c r="L63" s="78">
        <v>5.3497807600596125E-5</v>
      </c>
      <c r="M63" s="78">
        <f t="shared" si="2"/>
        <v>1.31086884554742E-2</v>
      </c>
      <c r="N63" s="78">
        <f>K63/'סכום נכסי הקרן'!$C$42</f>
        <v>7.5699851515288302E-5</v>
      </c>
    </row>
    <row r="64" spans="2:14">
      <c r="B64" s="76" t="s">
        <v>1542</v>
      </c>
      <c r="C64" s="70" t="s">
        <v>1543</v>
      </c>
      <c r="D64" s="83" t="s">
        <v>26</v>
      </c>
      <c r="E64" s="70"/>
      <c r="F64" s="83" t="s">
        <v>1449</v>
      </c>
      <c r="G64" s="83" t="s">
        <v>161</v>
      </c>
      <c r="H64" s="77">
        <v>1635.6708239999998</v>
      </c>
      <c r="I64" s="79">
        <v>2557</v>
      </c>
      <c r="J64" s="70"/>
      <c r="K64" s="77">
        <v>162.39462712600002</v>
      </c>
      <c r="L64" s="78">
        <v>2.3201004595744677E-4</v>
      </c>
      <c r="M64" s="78">
        <f t="shared" si="2"/>
        <v>7.7507391871335842E-3</v>
      </c>
      <c r="N64" s="78">
        <f>K64/'סכום נכסי הקרן'!$C$42</f>
        <v>4.4758848880470556E-5</v>
      </c>
    </row>
    <row r="65" spans="2:14">
      <c r="B65" s="76" t="s">
        <v>1544</v>
      </c>
      <c r="C65" s="70" t="s">
        <v>1545</v>
      </c>
      <c r="D65" s="83" t="s">
        <v>1186</v>
      </c>
      <c r="E65" s="70"/>
      <c r="F65" s="83" t="s">
        <v>1449</v>
      </c>
      <c r="G65" s="83" t="s">
        <v>159</v>
      </c>
      <c r="H65" s="77">
        <v>1092.760391</v>
      </c>
      <c r="I65" s="79">
        <v>14318</v>
      </c>
      <c r="J65" s="70"/>
      <c r="K65" s="77">
        <v>542.295325779</v>
      </c>
      <c r="L65" s="78">
        <v>4.2677617301308343E-6</v>
      </c>
      <c r="M65" s="78">
        <f t="shared" si="2"/>
        <v>2.5882565863792187E-2</v>
      </c>
      <c r="N65" s="78">
        <f>K65/'סכום נכסי הקרן'!$C$42</f>
        <v>1.4946624136951932E-4</v>
      </c>
    </row>
    <row r="66" spans="2:14">
      <c r="B66" s="76" t="s">
        <v>1546</v>
      </c>
      <c r="C66" s="70" t="s">
        <v>1547</v>
      </c>
      <c r="D66" s="83" t="s">
        <v>119</v>
      </c>
      <c r="E66" s="70"/>
      <c r="F66" s="83" t="s">
        <v>1449</v>
      </c>
      <c r="G66" s="83" t="s">
        <v>159</v>
      </c>
      <c r="H66" s="77">
        <v>41942.725118000002</v>
      </c>
      <c r="I66" s="79">
        <v>737.5</v>
      </c>
      <c r="J66" s="70"/>
      <c r="K66" s="77">
        <v>1072.1294537910001</v>
      </c>
      <c r="L66" s="78">
        <v>1.9691420243192489E-4</v>
      </c>
      <c r="M66" s="78">
        <f t="shared" si="2"/>
        <v>5.1170386103541222E-2</v>
      </c>
      <c r="N66" s="78">
        <f>K66/'סכום נכסי הקרן'!$C$42</f>
        <v>2.9549795490031863E-4</v>
      </c>
    </row>
    <row r="67" spans="2:14">
      <c r="B67" s="76" t="s">
        <v>1548</v>
      </c>
      <c r="C67" s="70" t="s">
        <v>1549</v>
      </c>
      <c r="D67" s="83" t="s">
        <v>1186</v>
      </c>
      <c r="E67" s="70"/>
      <c r="F67" s="83" t="s">
        <v>1449</v>
      </c>
      <c r="G67" s="83" t="s">
        <v>159</v>
      </c>
      <c r="H67" s="77">
        <v>592.39778699999999</v>
      </c>
      <c r="I67" s="79">
        <v>28425</v>
      </c>
      <c r="J67" s="70"/>
      <c r="K67" s="77">
        <v>583.63652037399993</v>
      </c>
      <c r="L67" s="78">
        <v>3.5157138694362014E-5</v>
      </c>
      <c r="M67" s="78">
        <f t="shared" si="2"/>
        <v>2.785569036095777E-2</v>
      </c>
      <c r="N67" s="78">
        <f>K67/'סכום נכסי הקרן'!$C$42</f>
        <v>1.6086061022373049E-4</v>
      </c>
    </row>
    <row r="68" spans="2:14">
      <c r="B68" s="76" t="s">
        <v>1550</v>
      </c>
      <c r="C68" s="70" t="s">
        <v>1551</v>
      </c>
      <c r="D68" s="83" t="s">
        <v>26</v>
      </c>
      <c r="E68" s="70"/>
      <c r="F68" s="83" t="s">
        <v>1449</v>
      </c>
      <c r="G68" s="83" t="s">
        <v>161</v>
      </c>
      <c r="H68" s="77">
        <v>2458.8179689999997</v>
      </c>
      <c r="I68" s="79">
        <v>3494.5</v>
      </c>
      <c r="J68" s="70"/>
      <c r="K68" s="77">
        <v>333.6233540749999</v>
      </c>
      <c r="L68" s="78">
        <v>2.1759451053097342E-4</v>
      </c>
      <c r="M68" s="78">
        <f t="shared" si="2"/>
        <v>1.5923110572899267E-2</v>
      </c>
      <c r="N68" s="78">
        <f>K68/'סכום נכסי הקרן'!$C$42</f>
        <v>9.1952532865835647E-5</v>
      </c>
    </row>
    <row r="69" spans="2:14">
      <c r="B69" s="76" t="s">
        <v>1552</v>
      </c>
      <c r="C69" s="70" t="s">
        <v>1553</v>
      </c>
      <c r="D69" s="83" t="s">
        <v>1186</v>
      </c>
      <c r="E69" s="70"/>
      <c r="F69" s="83" t="s">
        <v>1449</v>
      </c>
      <c r="G69" s="83" t="s">
        <v>159</v>
      </c>
      <c r="H69" s="77">
        <v>66.825018</v>
      </c>
      <c r="I69" s="79">
        <v>16472</v>
      </c>
      <c r="J69" s="70"/>
      <c r="K69" s="77">
        <v>38.151707201000001</v>
      </c>
      <c r="L69" s="78">
        <v>3.5927429032258065E-6</v>
      </c>
      <c r="M69" s="78">
        <f t="shared" si="2"/>
        <v>1.8208972629950632E-3</v>
      </c>
      <c r="N69" s="78">
        <f>K69/'סכום נכסי הקרן'!$C$42</f>
        <v>1.0515289374793125E-5</v>
      </c>
    </row>
    <row r="70" spans="2:14">
      <c r="B70" s="76" t="s">
        <v>1554</v>
      </c>
      <c r="C70" s="70" t="s">
        <v>1555</v>
      </c>
      <c r="D70" s="83" t="s">
        <v>26</v>
      </c>
      <c r="E70" s="70"/>
      <c r="F70" s="83" t="s">
        <v>1449</v>
      </c>
      <c r="G70" s="83" t="s">
        <v>161</v>
      </c>
      <c r="H70" s="77">
        <v>1889.407132</v>
      </c>
      <c r="I70" s="79">
        <v>5170</v>
      </c>
      <c r="J70" s="70"/>
      <c r="K70" s="77">
        <v>379.28102362900006</v>
      </c>
      <c r="L70" s="78">
        <v>3.4652125300320955E-4</v>
      </c>
      <c r="M70" s="78">
        <f t="shared" si="2"/>
        <v>1.8102250947603985E-2</v>
      </c>
      <c r="N70" s="78">
        <f>K70/'סכום נכסי הקרן'!$C$42</f>
        <v>1.0453659902595781E-4</v>
      </c>
    </row>
    <row r="71" spans="2:14">
      <c r="B71" s="76" t="s">
        <v>1556</v>
      </c>
      <c r="C71" s="70" t="s">
        <v>1557</v>
      </c>
      <c r="D71" s="83" t="s">
        <v>1182</v>
      </c>
      <c r="E71" s="70"/>
      <c r="F71" s="83" t="s">
        <v>1449</v>
      </c>
      <c r="G71" s="83" t="s">
        <v>159</v>
      </c>
      <c r="H71" s="77">
        <v>1366.0755710000001</v>
      </c>
      <c r="I71" s="79">
        <v>6194</v>
      </c>
      <c r="J71" s="70"/>
      <c r="K71" s="77">
        <v>293.274622491</v>
      </c>
      <c r="L71" s="78">
        <v>3.7273549004092771E-5</v>
      </c>
      <c r="M71" s="78">
        <f t="shared" si="2"/>
        <v>1.3997354157346199E-2</v>
      </c>
      <c r="N71" s="78">
        <f>K71/'סכום נכסי הקרן'!$C$42</f>
        <v>8.0831704477309603E-5</v>
      </c>
    </row>
    <row r="72" spans="2:14">
      <c r="B72" s="76" t="s">
        <v>1558</v>
      </c>
      <c r="C72" s="70" t="s">
        <v>1559</v>
      </c>
      <c r="D72" s="83" t="s">
        <v>26</v>
      </c>
      <c r="E72" s="70"/>
      <c r="F72" s="83" t="s">
        <v>1449</v>
      </c>
      <c r="G72" s="83" t="s">
        <v>161</v>
      </c>
      <c r="H72" s="77">
        <v>871.2954279999999</v>
      </c>
      <c r="I72" s="79">
        <v>11129.4</v>
      </c>
      <c r="J72" s="70"/>
      <c r="K72" s="77">
        <v>376.51493448400009</v>
      </c>
      <c r="L72" s="78">
        <v>1.6120326537771214E-4</v>
      </c>
      <c r="M72" s="78">
        <f t="shared" si="2"/>
        <v>1.7970231582735335E-2</v>
      </c>
      <c r="N72" s="78">
        <f>K72/'סכום נכסי הקרן'!$C$42</f>
        <v>1.0377421563789841E-4</v>
      </c>
    </row>
    <row r="73" spans="2:14">
      <c r="B73" s="76" t="s">
        <v>1560</v>
      </c>
      <c r="C73" s="70" t="s">
        <v>1561</v>
      </c>
      <c r="D73" s="83" t="s">
        <v>26</v>
      </c>
      <c r="E73" s="70"/>
      <c r="F73" s="83" t="s">
        <v>1449</v>
      </c>
      <c r="G73" s="83" t="s">
        <v>161</v>
      </c>
      <c r="H73" s="77">
        <v>802.29773900000009</v>
      </c>
      <c r="I73" s="79">
        <v>5164.7</v>
      </c>
      <c r="J73" s="70"/>
      <c r="K73" s="77">
        <v>160.888754345</v>
      </c>
      <c r="L73" s="78">
        <v>1.8521783853890118E-4</v>
      </c>
      <c r="M73" s="78">
        <f t="shared" si="2"/>
        <v>7.6788671838469314E-3</v>
      </c>
      <c r="N73" s="78">
        <f>K73/'סכום נכסי הקרן'!$C$42</f>
        <v>4.4343803546577224E-5</v>
      </c>
    </row>
    <row r="74" spans="2:14">
      <c r="B74" s="76" t="s">
        <v>1562</v>
      </c>
      <c r="C74" s="70" t="s">
        <v>1563</v>
      </c>
      <c r="D74" s="83" t="s">
        <v>1186</v>
      </c>
      <c r="E74" s="70"/>
      <c r="F74" s="83" t="s">
        <v>1449</v>
      </c>
      <c r="G74" s="83" t="s">
        <v>159</v>
      </c>
      <c r="H74" s="77">
        <v>477.41506300000003</v>
      </c>
      <c r="I74" s="79">
        <v>15280</v>
      </c>
      <c r="J74" s="70"/>
      <c r="K74" s="77">
        <v>252.84130906999999</v>
      </c>
      <c r="L74" s="78">
        <v>3.3571280359374355E-5</v>
      </c>
      <c r="M74" s="78">
        <f t="shared" si="2"/>
        <v>1.2067560836323054E-2</v>
      </c>
      <c r="N74" s="78">
        <f>K74/'סכום נכסי הקרן'!$C$42</f>
        <v>6.968756382945998E-5</v>
      </c>
    </row>
    <row r="75" spans="2:14">
      <c r="B75" s="76" t="s">
        <v>1564</v>
      </c>
      <c r="C75" s="70" t="s">
        <v>1565</v>
      </c>
      <c r="D75" s="83" t="s">
        <v>119</v>
      </c>
      <c r="E75" s="70"/>
      <c r="F75" s="83" t="s">
        <v>1449</v>
      </c>
      <c r="G75" s="83" t="s">
        <v>159</v>
      </c>
      <c r="H75" s="77">
        <v>191.27462</v>
      </c>
      <c r="I75" s="79">
        <v>56746</v>
      </c>
      <c r="J75" s="70"/>
      <c r="K75" s="77">
        <v>376.20205145799997</v>
      </c>
      <c r="L75" s="78">
        <v>1.540767611908967E-5</v>
      </c>
      <c r="M75" s="78">
        <f t="shared" si="2"/>
        <v>1.7955298362508001E-2</v>
      </c>
      <c r="N75" s="78">
        <f>K75/'סכום נכסי הקרן'!$C$42</f>
        <v>1.0368797950850271E-4</v>
      </c>
    </row>
    <row r="76" spans="2:14">
      <c r="B76" s="76" t="s">
        <v>1566</v>
      </c>
      <c r="C76" s="70" t="s">
        <v>1567</v>
      </c>
      <c r="D76" s="83" t="s">
        <v>1186</v>
      </c>
      <c r="E76" s="70"/>
      <c r="F76" s="83" t="s">
        <v>1449</v>
      </c>
      <c r="G76" s="83" t="s">
        <v>159</v>
      </c>
      <c r="H76" s="77">
        <v>1574.2432130000002</v>
      </c>
      <c r="I76" s="79">
        <v>3154</v>
      </c>
      <c r="J76" s="70"/>
      <c r="K76" s="77">
        <v>172.09255277700001</v>
      </c>
      <c r="L76" s="78">
        <v>3.8023253134054643E-5</v>
      </c>
      <c r="M76" s="78">
        <f t="shared" si="2"/>
        <v>8.2135998969204496E-3</v>
      </c>
      <c r="N76" s="78">
        <f>K76/'סכום נכסי הקרן'!$C$42</f>
        <v>4.7431769754449716E-5</v>
      </c>
    </row>
    <row r="77" spans="2:14">
      <c r="B77" s="76" t="s">
        <v>1568</v>
      </c>
      <c r="C77" s="70" t="s">
        <v>1569</v>
      </c>
      <c r="D77" s="83" t="s">
        <v>26</v>
      </c>
      <c r="E77" s="70"/>
      <c r="F77" s="83" t="s">
        <v>1449</v>
      </c>
      <c r="G77" s="83" t="s">
        <v>161</v>
      </c>
      <c r="H77" s="77">
        <v>818.88062500000001</v>
      </c>
      <c r="I77" s="79">
        <v>19034</v>
      </c>
      <c r="J77" s="70"/>
      <c r="K77" s="77">
        <v>605.19548771300003</v>
      </c>
      <c r="L77" s="78">
        <v>2.9777477272727274E-4</v>
      </c>
      <c r="M77" s="78">
        <f t="shared" si="2"/>
        <v>2.8884652562144831E-2</v>
      </c>
      <c r="N77" s="78">
        <f>K77/'סכום נכסי הקרן'!$C$42</f>
        <v>1.6680264524190019E-4</v>
      </c>
    </row>
    <row r="78" spans="2:14">
      <c r="B78" s="76" t="s">
        <v>1570</v>
      </c>
      <c r="C78" s="70" t="s">
        <v>1571</v>
      </c>
      <c r="D78" s="83" t="s">
        <v>119</v>
      </c>
      <c r="E78" s="70"/>
      <c r="F78" s="83" t="s">
        <v>1449</v>
      </c>
      <c r="G78" s="83" t="s">
        <v>159</v>
      </c>
      <c r="H78" s="77">
        <v>3187.0393199999999</v>
      </c>
      <c r="I78" s="79">
        <v>2730.125</v>
      </c>
      <c r="J78" s="70"/>
      <c r="K78" s="77">
        <v>301.57720497700001</v>
      </c>
      <c r="L78" s="78">
        <v>2.9925251830985913E-4</v>
      </c>
      <c r="M78" s="78">
        <f t="shared" si="2"/>
        <v>1.439361819986726E-2</v>
      </c>
      <c r="N78" s="78">
        <f>K78/'סכום נכסי הקרן'!$C$42</f>
        <v>8.3120043946325329E-5</v>
      </c>
    </row>
    <row r="79" spans="2:14">
      <c r="B79" s="76" t="s">
        <v>1572</v>
      </c>
      <c r="C79" s="70" t="s">
        <v>1573</v>
      </c>
      <c r="D79" s="83" t="s">
        <v>1186</v>
      </c>
      <c r="E79" s="70"/>
      <c r="F79" s="83" t="s">
        <v>1449</v>
      </c>
      <c r="G79" s="83" t="s">
        <v>159</v>
      </c>
      <c r="H79" s="77">
        <v>228.14746500000001</v>
      </c>
      <c r="I79" s="79">
        <v>10449</v>
      </c>
      <c r="J79" s="70"/>
      <c r="K79" s="77">
        <v>82.626419896000002</v>
      </c>
      <c r="L79" s="78">
        <v>7.5282305098983115E-7</v>
      </c>
      <c r="M79" s="78">
        <f t="shared" si="2"/>
        <v>3.9435777027499218E-3</v>
      </c>
      <c r="N79" s="78">
        <f>K79/'סכום נכסי הקרן'!$C$42</f>
        <v>2.2773311575080203E-5</v>
      </c>
    </row>
    <row r="80" spans="2:14">
      <c r="B80" s="76" t="s">
        <v>1574</v>
      </c>
      <c r="C80" s="70" t="s">
        <v>1575</v>
      </c>
      <c r="D80" s="83" t="s">
        <v>135</v>
      </c>
      <c r="E80" s="70"/>
      <c r="F80" s="83" t="s">
        <v>1449</v>
      </c>
      <c r="G80" s="83" t="s">
        <v>159</v>
      </c>
      <c r="H80" s="77">
        <v>1478.7177080000004</v>
      </c>
      <c r="I80" s="79">
        <v>9857</v>
      </c>
      <c r="J80" s="70"/>
      <c r="K80" s="77">
        <v>505.19447003799991</v>
      </c>
      <c r="L80" s="78">
        <v>9.8048080049029438E-5</v>
      </c>
      <c r="M80" s="78">
        <f t="shared" si="2"/>
        <v>2.4111823434950341E-2</v>
      </c>
      <c r="N80" s="78">
        <f>K80/'סכום נכסי הקרן'!$C$42</f>
        <v>1.3924058535591779E-4</v>
      </c>
    </row>
    <row r="81" spans="2:14">
      <c r="B81" s="76" t="s">
        <v>1576</v>
      </c>
      <c r="C81" s="70" t="s">
        <v>1577</v>
      </c>
      <c r="D81" s="83" t="s">
        <v>1186</v>
      </c>
      <c r="E81" s="70"/>
      <c r="F81" s="83" t="s">
        <v>1449</v>
      </c>
      <c r="G81" s="83" t="s">
        <v>159</v>
      </c>
      <c r="H81" s="77">
        <v>1412.749419</v>
      </c>
      <c r="I81" s="79">
        <v>5643</v>
      </c>
      <c r="J81" s="70"/>
      <c r="K81" s="77">
        <v>276.31454470899996</v>
      </c>
      <c r="L81" s="78">
        <v>7.1504766564615538E-6</v>
      </c>
      <c r="M81" s="78">
        <f t="shared" si="2"/>
        <v>1.3187886862718351E-2</v>
      </c>
      <c r="N81" s="78">
        <f>K81/'סכום נכסי הקרן'!$C$42</f>
        <v>7.6157205253535545E-5</v>
      </c>
    </row>
    <row r="82" spans="2:14">
      <c r="B82" s="76" t="s">
        <v>1578</v>
      </c>
      <c r="C82" s="70" t="s">
        <v>1579</v>
      </c>
      <c r="D82" s="83" t="s">
        <v>131</v>
      </c>
      <c r="E82" s="70"/>
      <c r="F82" s="83" t="s">
        <v>1449</v>
      </c>
      <c r="G82" s="83" t="s">
        <v>163</v>
      </c>
      <c r="H82" s="77">
        <v>1589.5735569999999</v>
      </c>
      <c r="I82" s="79">
        <v>7511</v>
      </c>
      <c r="J82" s="70"/>
      <c r="K82" s="77">
        <v>283.235705182</v>
      </c>
      <c r="L82" s="78">
        <v>2.2023431999700622E-5</v>
      </c>
      <c r="M82" s="78">
        <f t="shared" si="2"/>
        <v>1.351821866400941E-2</v>
      </c>
      <c r="N82" s="78">
        <f>K82/'סכום נכסי הקרן'!$C$42</f>
        <v>7.8064800234791534E-5</v>
      </c>
    </row>
    <row r="83" spans="2:14">
      <c r="B83" s="76" t="s">
        <v>1580</v>
      </c>
      <c r="C83" s="70" t="s">
        <v>1581</v>
      </c>
      <c r="D83" s="83" t="s">
        <v>1186</v>
      </c>
      <c r="E83" s="70"/>
      <c r="F83" s="83" t="s">
        <v>1449</v>
      </c>
      <c r="G83" s="83" t="s">
        <v>159</v>
      </c>
      <c r="H83" s="77">
        <v>111.37502999999998</v>
      </c>
      <c r="I83" s="79">
        <v>19265</v>
      </c>
      <c r="J83" s="70"/>
      <c r="K83" s="77">
        <v>74.367880768999996</v>
      </c>
      <c r="L83" s="78">
        <v>1.9709581627146166E-6</v>
      </c>
      <c r="M83" s="78">
        <f t="shared" si="2"/>
        <v>3.5494157531033334E-3</v>
      </c>
      <c r="N83" s="78">
        <f>K83/'סכום נכסי הקרן'!$C$42</f>
        <v>2.049711123951094E-5</v>
      </c>
    </row>
    <row r="84" spans="2:14">
      <c r="B84" s="76" t="s">
        <v>1582</v>
      </c>
      <c r="C84" s="70" t="s">
        <v>1583</v>
      </c>
      <c r="D84" s="83" t="s">
        <v>1186</v>
      </c>
      <c r="E84" s="70"/>
      <c r="F84" s="83" t="s">
        <v>1449</v>
      </c>
      <c r="G84" s="83" t="s">
        <v>159</v>
      </c>
      <c r="H84" s="77">
        <v>1471.7944629999997</v>
      </c>
      <c r="I84" s="79">
        <v>27871</v>
      </c>
      <c r="J84" s="70"/>
      <c r="K84" s="77">
        <v>1421.7664911509999</v>
      </c>
      <c r="L84" s="78">
        <v>1.2564321539493207E-5</v>
      </c>
      <c r="M84" s="78">
        <f t="shared" si="2"/>
        <v>6.7857794638534349E-2</v>
      </c>
      <c r="N84" s="78">
        <f>K84/'סכום נכסי הקרן'!$C$42</f>
        <v>3.9186414382644317E-4</v>
      </c>
    </row>
    <row r="85" spans="2:14">
      <c r="B85" s="76" t="s">
        <v>1584</v>
      </c>
      <c r="C85" s="70" t="s">
        <v>1585</v>
      </c>
      <c r="D85" s="83" t="s">
        <v>1186</v>
      </c>
      <c r="E85" s="70"/>
      <c r="F85" s="83" t="s">
        <v>1449</v>
      </c>
      <c r="G85" s="83" t="s">
        <v>159</v>
      </c>
      <c r="H85" s="77">
        <v>1605.6167029999995</v>
      </c>
      <c r="I85" s="79">
        <v>2991</v>
      </c>
      <c r="J85" s="70"/>
      <c r="K85" s="77">
        <v>166.451168572</v>
      </c>
      <c r="L85" s="78">
        <v>3.6081274224719086E-5</v>
      </c>
      <c r="M85" s="78">
        <f t="shared" si="2"/>
        <v>7.944349008506239E-3</v>
      </c>
      <c r="N85" s="78">
        <f>K85/'סכום נכסי הקרן'!$C$42</f>
        <v>4.5876903884950502E-5</v>
      </c>
    </row>
    <row r="86" spans="2:14">
      <c r="B86" s="76" t="s">
        <v>1586</v>
      </c>
      <c r="C86" s="70" t="s">
        <v>1587</v>
      </c>
      <c r="D86" s="83" t="s">
        <v>1186</v>
      </c>
      <c r="E86" s="70"/>
      <c r="F86" s="83" t="s">
        <v>1449</v>
      </c>
      <c r="G86" s="83" t="s">
        <v>159</v>
      </c>
      <c r="H86" s="77">
        <v>337.55201399999999</v>
      </c>
      <c r="I86" s="79">
        <v>9595.98</v>
      </c>
      <c r="J86" s="70"/>
      <c r="K86" s="77">
        <v>112.26867472900003</v>
      </c>
      <c r="L86" s="78">
        <v>1.227461869090909E-4</v>
      </c>
      <c r="M86" s="78">
        <f t="shared" si="2"/>
        <v>5.3583374777200227E-3</v>
      </c>
      <c r="N86" s="78">
        <f>K86/'סכום נכסי הקרן'!$C$42</f>
        <v>3.094324446034268E-5</v>
      </c>
    </row>
    <row r="87" spans="2:14">
      <c r="D87" s="1"/>
      <c r="E87" s="1"/>
      <c r="F87" s="1"/>
      <c r="G87" s="1"/>
    </row>
    <row r="88" spans="2:14">
      <c r="D88" s="1"/>
      <c r="E88" s="1"/>
      <c r="F88" s="1"/>
      <c r="G88" s="1"/>
    </row>
    <row r="89" spans="2:14">
      <c r="D89" s="1"/>
      <c r="E89" s="1"/>
      <c r="F89" s="1"/>
      <c r="G89" s="1"/>
    </row>
    <row r="90" spans="2:14">
      <c r="B90" s="85" t="s">
        <v>251</v>
      </c>
      <c r="D90" s="1"/>
      <c r="E90" s="1"/>
      <c r="F90" s="1"/>
      <c r="G90" s="1"/>
    </row>
    <row r="91" spans="2:14">
      <c r="B91" s="85" t="s">
        <v>108</v>
      </c>
      <c r="D91" s="1"/>
      <c r="E91" s="1"/>
      <c r="F91" s="1"/>
      <c r="G91" s="1"/>
    </row>
    <row r="92" spans="2:14">
      <c r="B92" s="85" t="s">
        <v>234</v>
      </c>
      <c r="D92" s="1"/>
      <c r="E92" s="1"/>
      <c r="F92" s="1"/>
      <c r="G92" s="1"/>
    </row>
    <row r="93" spans="2:14">
      <c r="B93" s="85" t="s">
        <v>242</v>
      </c>
      <c r="D93" s="1"/>
      <c r="E93" s="1"/>
      <c r="F93" s="1"/>
      <c r="G93" s="1"/>
    </row>
    <row r="94" spans="2:14">
      <c r="B94" s="85" t="s">
        <v>249</v>
      </c>
      <c r="D94" s="1"/>
      <c r="E94" s="1"/>
      <c r="F94" s="1"/>
      <c r="G94" s="1"/>
    </row>
    <row r="95" spans="2:14">
      <c r="D95" s="1"/>
      <c r="E95" s="1"/>
      <c r="F95" s="1"/>
      <c r="G95" s="1"/>
    </row>
    <row r="96" spans="2:14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2"/>
      <c r="D250" s="1"/>
      <c r="E250" s="1"/>
      <c r="F250" s="1"/>
      <c r="G250" s="1"/>
    </row>
    <row r="251" spans="2:7">
      <c r="B251" s="42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K1:AF1048576 AH1:XFD1048576 AG1:AG43 B45:B89 B91:B1048576 AG49:AG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>
      <selection activeCell="E29" sqref="E29"/>
    </sheetView>
  </sheetViews>
  <sheetFormatPr defaultColWidth="9.140625" defaultRowHeight="18"/>
  <cols>
    <col min="1" max="1" width="6.28515625" style="1" customWidth="1"/>
    <col min="2" max="2" width="45" style="2" bestFit="1" customWidth="1"/>
    <col min="3" max="3" width="36.7109375" style="2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12" style="1" bestFit="1" customWidth="1"/>
    <col min="10" max="10" width="10.140625" style="1" bestFit="1" customWidth="1"/>
    <col min="11" max="11" width="11.85546875" style="1" bestFit="1" customWidth="1"/>
    <col min="12" max="12" width="9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47" t="s">
        <v>175</v>
      </c>
      <c r="C1" s="68" t="s" vm="1">
        <v>259</v>
      </c>
    </row>
    <row r="2" spans="2:65">
      <c r="B2" s="47" t="s">
        <v>174</v>
      </c>
      <c r="C2" s="68" t="s">
        <v>260</v>
      </c>
    </row>
    <row r="3" spans="2:65">
      <c r="B3" s="47" t="s">
        <v>176</v>
      </c>
      <c r="C3" s="68" t="s">
        <v>261</v>
      </c>
    </row>
    <row r="4" spans="2:65">
      <c r="B4" s="47" t="s">
        <v>177</v>
      </c>
      <c r="C4" s="68">
        <v>2207</v>
      </c>
    </row>
    <row r="6" spans="2:65" ht="26.25" customHeight="1">
      <c r="B6" s="126" t="s">
        <v>205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</row>
    <row r="7" spans="2:65" ht="26.25" customHeight="1">
      <c r="B7" s="126" t="s">
        <v>89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  <c r="BM7" s="3"/>
    </row>
    <row r="8" spans="2:65" s="3" customFormat="1" ht="78.75">
      <c r="B8" s="22" t="s">
        <v>111</v>
      </c>
      <c r="C8" s="30" t="s">
        <v>43</v>
      </c>
      <c r="D8" s="30" t="s">
        <v>115</v>
      </c>
      <c r="E8" s="30" t="s">
        <v>113</v>
      </c>
      <c r="F8" s="30" t="s">
        <v>63</v>
      </c>
      <c r="G8" s="30" t="s">
        <v>14</v>
      </c>
      <c r="H8" s="30" t="s">
        <v>64</v>
      </c>
      <c r="I8" s="30" t="s">
        <v>99</v>
      </c>
      <c r="J8" s="30" t="s">
        <v>236</v>
      </c>
      <c r="K8" s="30" t="s">
        <v>235</v>
      </c>
      <c r="L8" s="30" t="s">
        <v>60</v>
      </c>
      <c r="M8" s="30" t="s">
        <v>57</v>
      </c>
      <c r="N8" s="30" t="s">
        <v>178</v>
      </c>
      <c r="O8" s="20" t="s">
        <v>180</v>
      </c>
      <c r="P8" s="1"/>
      <c r="Q8" s="1"/>
      <c r="BH8" s="1"/>
      <c r="BI8" s="1"/>
    </row>
    <row r="9" spans="2:65" s="3" customFormat="1" ht="20.25">
      <c r="B9" s="15"/>
      <c r="C9" s="16"/>
      <c r="D9" s="16"/>
      <c r="E9" s="16"/>
      <c r="F9" s="16"/>
      <c r="G9" s="16"/>
      <c r="H9" s="16"/>
      <c r="I9" s="16"/>
      <c r="J9" s="32" t="s">
        <v>243</v>
      </c>
      <c r="K9" s="32"/>
      <c r="L9" s="32" t="s">
        <v>239</v>
      </c>
      <c r="M9" s="32" t="s">
        <v>19</v>
      </c>
      <c r="N9" s="32" t="s">
        <v>19</v>
      </c>
      <c r="O9" s="33" t="s">
        <v>19</v>
      </c>
      <c r="BG9" s="1"/>
      <c r="BH9" s="1"/>
      <c r="BI9" s="1"/>
      <c r="BM9" s="4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P10" s="5"/>
      <c r="BG10" s="1"/>
      <c r="BH10" s="3"/>
      <c r="BI10" s="1"/>
    </row>
    <row r="11" spans="2:65" s="4" customFormat="1" ht="18" customHeight="1">
      <c r="B11" s="69" t="s">
        <v>29</v>
      </c>
      <c r="C11" s="70"/>
      <c r="D11" s="70"/>
      <c r="E11" s="70"/>
      <c r="F11" s="70"/>
      <c r="G11" s="70"/>
      <c r="H11" s="70"/>
      <c r="I11" s="70"/>
      <c r="J11" s="77"/>
      <c r="K11" s="79"/>
      <c r="L11" s="77">
        <v>2085.9131131069994</v>
      </c>
      <c r="M11" s="70"/>
      <c r="N11" s="78">
        <f>L11/$L$11</f>
        <v>1</v>
      </c>
      <c r="O11" s="78">
        <f>L11/'סכום נכסי הקרן'!$C$42</f>
        <v>5.7491477064021824E-4</v>
      </c>
      <c r="P11" s="5"/>
      <c r="BG11" s="1"/>
      <c r="BH11" s="3"/>
      <c r="BI11" s="1"/>
      <c r="BM11" s="1"/>
    </row>
    <row r="12" spans="2:65" s="4" customFormat="1" ht="18" customHeight="1">
      <c r="B12" s="95" t="s">
        <v>228</v>
      </c>
      <c r="C12" s="70"/>
      <c r="D12" s="70"/>
      <c r="E12" s="70"/>
      <c r="F12" s="70"/>
      <c r="G12" s="70"/>
      <c r="H12" s="70"/>
      <c r="I12" s="70"/>
      <c r="J12" s="77"/>
      <c r="K12" s="79"/>
      <c r="L12" s="77">
        <v>2085.9131131069998</v>
      </c>
      <c r="M12" s="70"/>
      <c r="N12" s="78">
        <f t="shared" ref="N12:N19" si="0">L12/$L$11</f>
        <v>1.0000000000000002</v>
      </c>
      <c r="O12" s="78">
        <f>L12/'סכום נכסי הקרן'!$C$42</f>
        <v>5.7491477064021846E-4</v>
      </c>
      <c r="P12" s="5"/>
      <c r="BG12" s="1"/>
      <c r="BH12" s="3"/>
      <c r="BI12" s="1"/>
      <c r="BM12" s="1"/>
    </row>
    <row r="13" spans="2:65">
      <c r="B13" s="89" t="s">
        <v>28</v>
      </c>
      <c r="C13" s="72"/>
      <c r="D13" s="72"/>
      <c r="E13" s="72"/>
      <c r="F13" s="72"/>
      <c r="G13" s="72"/>
      <c r="H13" s="72"/>
      <c r="I13" s="72"/>
      <c r="J13" s="80"/>
      <c r="K13" s="82"/>
      <c r="L13" s="80">
        <v>2085.9131131069998</v>
      </c>
      <c r="M13" s="72"/>
      <c r="N13" s="81">
        <f t="shared" si="0"/>
        <v>1.0000000000000002</v>
      </c>
      <c r="O13" s="81">
        <f>L13/'סכום נכסי הקרן'!$C$42</f>
        <v>5.7491477064021846E-4</v>
      </c>
      <c r="BH13" s="3"/>
    </row>
    <row r="14" spans="2:65" ht="20.25">
      <c r="B14" s="76" t="s">
        <v>1588</v>
      </c>
      <c r="C14" s="70" t="s">
        <v>1589</v>
      </c>
      <c r="D14" s="83" t="s">
        <v>26</v>
      </c>
      <c r="E14" s="70"/>
      <c r="F14" s="83" t="s">
        <v>1449</v>
      </c>
      <c r="G14" s="70" t="s">
        <v>647</v>
      </c>
      <c r="H14" s="70"/>
      <c r="I14" s="83" t="s">
        <v>159</v>
      </c>
      <c r="J14" s="77">
        <v>38.12453</v>
      </c>
      <c r="K14" s="79">
        <v>62148</v>
      </c>
      <c r="L14" s="77">
        <v>82.122130569999996</v>
      </c>
      <c r="M14" s="78">
        <v>2.4124115370496862E-5</v>
      </c>
      <c r="N14" s="78">
        <f t="shared" si="0"/>
        <v>3.9369871186857745E-2</v>
      </c>
      <c r="O14" s="78">
        <f>L14/'סכום נכסי הקרן'!$C$42</f>
        <v>2.263432046352726E-5</v>
      </c>
      <c r="BH14" s="4"/>
    </row>
    <row r="15" spans="2:65">
      <c r="B15" s="76" t="s">
        <v>1590</v>
      </c>
      <c r="C15" s="70" t="s">
        <v>1591</v>
      </c>
      <c r="D15" s="83" t="s">
        <v>133</v>
      </c>
      <c r="E15" s="70"/>
      <c r="F15" s="83" t="s">
        <v>1449</v>
      </c>
      <c r="G15" s="70" t="s">
        <v>647</v>
      </c>
      <c r="H15" s="70"/>
      <c r="I15" s="83" t="s">
        <v>161</v>
      </c>
      <c r="J15" s="77">
        <v>731.53775599999983</v>
      </c>
      <c r="K15" s="79">
        <v>3047</v>
      </c>
      <c r="L15" s="77">
        <v>86.547438894999999</v>
      </c>
      <c r="M15" s="78">
        <v>5.7940896054194291E-6</v>
      </c>
      <c r="N15" s="78">
        <f t="shared" si="0"/>
        <v>4.1491392115602682E-2</v>
      </c>
      <c r="O15" s="78">
        <f>L15/'סכום נכסי הקרן'!$C$42</f>
        <v>2.3854014181685078E-5</v>
      </c>
    </row>
    <row r="16" spans="2:65">
      <c r="B16" s="76" t="s">
        <v>1592</v>
      </c>
      <c r="C16" s="70" t="s">
        <v>1593</v>
      </c>
      <c r="D16" s="83" t="s">
        <v>133</v>
      </c>
      <c r="E16" s="70"/>
      <c r="F16" s="83" t="s">
        <v>1449</v>
      </c>
      <c r="G16" s="70" t="s">
        <v>647</v>
      </c>
      <c r="H16" s="70"/>
      <c r="I16" s="83" t="s">
        <v>169</v>
      </c>
      <c r="J16" s="77">
        <v>2827.2123000000006</v>
      </c>
      <c r="K16" s="79">
        <v>1531</v>
      </c>
      <c r="L16" s="77">
        <v>139.25960893300001</v>
      </c>
      <c r="M16" s="78">
        <v>1.3546516237377487E-5</v>
      </c>
      <c r="N16" s="78">
        <f t="shared" si="0"/>
        <v>6.6761941356977564E-2</v>
      </c>
      <c r="O16" s="78">
        <f>L16/'סכום נכסי הקרן'!$C$42</f>
        <v>3.8382426202742464E-5</v>
      </c>
    </row>
    <row r="17" spans="2:15">
      <c r="B17" s="76" t="s">
        <v>1594</v>
      </c>
      <c r="C17" s="70" t="s">
        <v>1595</v>
      </c>
      <c r="D17" s="83" t="s">
        <v>133</v>
      </c>
      <c r="E17" s="70"/>
      <c r="F17" s="83" t="s">
        <v>1449</v>
      </c>
      <c r="G17" s="70" t="s">
        <v>647</v>
      </c>
      <c r="H17" s="70"/>
      <c r="I17" s="83" t="s">
        <v>159</v>
      </c>
      <c r="J17" s="77">
        <v>14209.497204000005</v>
      </c>
      <c r="K17" s="79">
        <v>1403.8</v>
      </c>
      <c r="L17" s="77">
        <v>691.37314657700017</v>
      </c>
      <c r="M17" s="78">
        <v>1.8485136367455095E-5</v>
      </c>
      <c r="N17" s="78">
        <f t="shared" si="0"/>
        <v>0.33144867934944294</v>
      </c>
      <c r="O17" s="78">
        <f>L17/'סכום נכסי הקרן'!$C$42</f>
        <v>1.9055474146718824E-4</v>
      </c>
    </row>
    <row r="18" spans="2:15">
      <c r="B18" s="76" t="s">
        <v>1596</v>
      </c>
      <c r="C18" s="70" t="s">
        <v>1597</v>
      </c>
      <c r="D18" s="83" t="s">
        <v>26</v>
      </c>
      <c r="E18" s="70"/>
      <c r="F18" s="83" t="s">
        <v>1449</v>
      </c>
      <c r="G18" s="70" t="s">
        <v>647</v>
      </c>
      <c r="H18" s="70"/>
      <c r="I18" s="83" t="s">
        <v>169</v>
      </c>
      <c r="J18" s="77">
        <v>368.88413999999995</v>
      </c>
      <c r="K18" s="79">
        <v>11678.96</v>
      </c>
      <c r="L18" s="77">
        <v>138.60717580600001</v>
      </c>
      <c r="M18" s="78">
        <v>9.7840081223450774E-5</v>
      </c>
      <c r="N18" s="78">
        <f t="shared" si="0"/>
        <v>6.6449160770432336E-2</v>
      </c>
      <c r="O18" s="78">
        <f>L18/'סכום נכסי הקרן'!$C$42</f>
        <v>3.8202604023568099E-5</v>
      </c>
    </row>
    <row r="19" spans="2:15">
      <c r="B19" s="76" t="s">
        <v>1598</v>
      </c>
      <c r="C19" s="70" t="s">
        <v>1599</v>
      </c>
      <c r="D19" s="83" t="s">
        <v>133</v>
      </c>
      <c r="E19" s="70"/>
      <c r="F19" s="83" t="s">
        <v>1449</v>
      </c>
      <c r="G19" s="70" t="s">
        <v>647</v>
      </c>
      <c r="H19" s="70"/>
      <c r="I19" s="83" t="s">
        <v>159</v>
      </c>
      <c r="J19" s="77">
        <v>2377.371627</v>
      </c>
      <c r="K19" s="79">
        <v>11504.94</v>
      </c>
      <c r="L19" s="77">
        <v>948.00361232599982</v>
      </c>
      <c r="M19" s="78">
        <v>2.8895118290328423E-5</v>
      </c>
      <c r="N19" s="78">
        <f t="shared" si="0"/>
        <v>0.45447895522068704</v>
      </c>
      <c r="O19" s="78">
        <f>L19/'סכום נכסי הקרן'!$C$42</f>
        <v>2.6128666430150731E-4</v>
      </c>
    </row>
    <row r="20" spans="2:15">
      <c r="B20" s="73"/>
      <c r="C20" s="70"/>
      <c r="D20" s="70"/>
      <c r="E20" s="70"/>
      <c r="F20" s="70"/>
      <c r="G20" s="70"/>
      <c r="H20" s="70"/>
      <c r="I20" s="70"/>
      <c r="J20" s="77"/>
      <c r="K20" s="79"/>
      <c r="L20" s="70"/>
      <c r="M20" s="70"/>
      <c r="N20" s="78"/>
      <c r="O20" s="70"/>
    </row>
    <row r="21" spans="2:15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2:15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</row>
    <row r="23" spans="2:15">
      <c r="B23" s="85" t="s">
        <v>251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2:15">
      <c r="B24" s="85" t="s">
        <v>108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2:15">
      <c r="B25" s="85" t="s">
        <v>234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2:15">
      <c r="B26" s="85" t="s">
        <v>242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2:15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2:15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2:15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2:15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2:15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spans="2:15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</row>
    <row r="33" spans="2:59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</row>
    <row r="34" spans="2:59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</row>
    <row r="35" spans="2:59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2:59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</row>
    <row r="37" spans="2:59" ht="20.25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BG37" s="4"/>
    </row>
    <row r="38" spans="2:59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BG38" s="3"/>
    </row>
    <row r="39" spans="2:59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</row>
    <row r="40" spans="2:59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</row>
    <row r="41" spans="2:59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  <row r="42" spans="2:59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2:59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</row>
    <row r="44" spans="2:59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</row>
    <row r="45" spans="2:59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</row>
    <row r="46" spans="2:59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</row>
    <row r="47" spans="2:59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</row>
    <row r="48" spans="2:59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spans="2:15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</row>
    <row r="50" spans="2:15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</row>
    <row r="51" spans="2:15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</row>
    <row r="52" spans="2:15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</row>
    <row r="53" spans="2:15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</row>
    <row r="54" spans="2:15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</row>
    <row r="55" spans="2:15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2:15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</row>
    <row r="57" spans="2:15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</row>
    <row r="58" spans="2:15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</row>
    <row r="59" spans="2:15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</row>
    <row r="60" spans="2:15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</row>
    <row r="61" spans="2:15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</row>
    <row r="62" spans="2:15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</row>
    <row r="63" spans="2:15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</row>
    <row r="64" spans="2:15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</row>
    <row r="65" spans="2:15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</row>
    <row r="66" spans="2:15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</row>
    <row r="67" spans="2:15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</row>
    <row r="68" spans="2:15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</row>
    <row r="69" spans="2:15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</row>
    <row r="70" spans="2:15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</row>
    <row r="71" spans="2:15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</row>
    <row r="72" spans="2:15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</row>
    <row r="73" spans="2:15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</row>
    <row r="74" spans="2:15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</row>
    <row r="75" spans="2:15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</row>
    <row r="76" spans="2:15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</row>
    <row r="77" spans="2:15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</row>
    <row r="78" spans="2:15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</row>
    <row r="79" spans="2:15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2:15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</row>
    <row r="81" spans="2:15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</row>
    <row r="82" spans="2:15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</row>
    <row r="83" spans="2:15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</row>
    <row r="84" spans="2:15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</row>
    <row r="85" spans="2:15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</row>
    <row r="86" spans="2:15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</row>
    <row r="87" spans="2:15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</row>
    <row r="88" spans="2:15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</row>
    <row r="89" spans="2:15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</row>
    <row r="90" spans="2:15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</row>
    <row r="91" spans="2:15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</row>
    <row r="92" spans="2:15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</row>
    <row r="93" spans="2:15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</row>
    <row r="94" spans="2:15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</row>
    <row r="95" spans="2:15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</row>
    <row r="96" spans="2:15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</row>
    <row r="97" spans="2:15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</row>
    <row r="98" spans="2:15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</row>
    <row r="99" spans="2:15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</row>
    <row r="100" spans="2:15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</row>
    <row r="101" spans="2:15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</row>
    <row r="102" spans="2:15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</row>
    <row r="103" spans="2:15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</row>
    <row r="104" spans="2:15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</row>
    <row r="105" spans="2:15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</row>
    <row r="106" spans="2:15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</row>
    <row r="107" spans="2:15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</row>
    <row r="108" spans="2:15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</row>
    <row r="109" spans="2:15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</row>
    <row r="110" spans="2:15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</row>
    <row r="111" spans="2:15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</row>
    <row r="112" spans="2:15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</row>
    <row r="113" spans="2:15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</row>
    <row r="114" spans="2:15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</row>
    <row r="115" spans="2:15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</row>
    <row r="116" spans="2:15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</row>
    <row r="117" spans="2:15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</row>
    <row r="118" spans="2:15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</row>
    <row r="119" spans="2:15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</row>
    <row r="120" spans="2:15">
      <c r="C120" s="1"/>
      <c r="D120" s="1"/>
      <c r="E120" s="1"/>
    </row>
    <row r="121" spans="2:15">
      <c r="C121" s="1"/>
      <c r="D121" s="1"/>
      <c r="E121" s="1"/>
    </row>
    <row r="122" spans="2:15">
      <c r="C122" s="1"/>
      <c r="D122" s="1"/>
      <c r="E122" s="1"/>
    </row>
    <row r="123" spans="2:15">
      <c r="C123" s="1"/>
      <c r="D123" s="1"/>
      <c r="E123" s="1"/>
    </row>
    <row r="124" spans="2:15">
      <c r="C124" s="1"/>
      <c r="D124" s="1"/>
      <c r="E124" s="1"/>
    </row>
    <row r="125" spans="2:15">
      <c r="C125" s="1"/>
      <c r="D125" s="1"/>
      <c r="E125" s="1"/>
    </row>
    <row r="126" spans="2:15">
      <c r="C126" s="1"/>
      <c r="D126" s="1"/>
      <c r="E126" s="1"/>
    </row>
    <row r="127" spans="2:15">
      <c r="C127" s="1"/>
      <c r="D127" s="1"/>
      <c r="E127" s="1"/>
    </row>
    <row r="128" spans="2:1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2"/>
      <c r="C325" s="1"/>
      <c r="D325" s="1"/>
      <c r="E325" s="1"/>
    </row>
    <row r="326" spans="2:5">
      <c r="B326" s="42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D1:AF1048576 AH1:XFD1048576 AG1:AG37 B1:B22 B24:B37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>
      <selection activeCell="I19" sqref="I19"/>
    </sheetView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69.28515625" style="2" bestFit="1" customWidth="1"/>
    <col min="4" max="4" width="6.42578125" style="2" bestFit="1" customWidth="1"/>
    <col min="5" max="5" width="6.7109375" style="2" bestFit="1" customWidth="1"/>
    <col min="6" max="7" width="9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175</v>
      </c>
      <c r="C1" s="68" t="s" vm="1">
        <v>259</v>
      </c>
    </row>
    <row r="2" spans="2:60">
      <c r="B2" s="47" t="s">
        <v>174</v>
      </c>
      <c r="C2" s="68" t="s">
        <v>260</v>
      </c>
    </row>
    <row r="3" spans="2:60">
      <c r="B3" s="47" t="s">
        <v>176</v>
      </c>
      <c r="C3" s="68" t="s">
        <v>261</v>
      </c>
    </row>
    <row r="4" spans="2:60">
      <c r="B4" s="47" t="s">
        <v>177</v>
      </c>
      <c r="C4" s="68">
        <v>2207</v>
      </c>
    </row>
    <row r="6" spans="2:60" ht="26.25" customHeight="1">
      <c r="B6" s="126" t="s">
        <v>205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60" ht="26.25" customHeight="1">
      <c r="B7" s="126" t="s">
        <v>90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  <c r="BH7" s="3"/>
    </row>
    <row r="8" spans="2:60" s="3" customFormat="1" ht="78.75">
      <c r="B8" s="22" t="s">
        <v>112</v>
      </c>
      <c r="C8" s="30" t="s">
        <v>43</v>
      </c>
      <c r="D8" s="30" t="s">
        <v>115</v>
      </c>
      <c r="E8" s="30" t="s">
        <v>63</v>
      </c>
      <c r="F8" s="30" t="s">
        <v>99</v>
      </c>
      <c r="G8" s="30" t="s">
        <v>236</v>
      </c>
      <c r="H8" s="30" t="s">
        <v>235</v>
      </c>
      <c r="I8" s="30" t="s">
        <v>60</v>
      </c>
      <c r="J8" s="30" t="s">
        <v>57</v>
      </c>
      <c r="K8" s="30" t="s">
        <v>178</v>
      </c>
      <c r="L8" s="66" t="s">
        <v>180</v>
      </c>
      <c r="BD8" s="1"/>
      <c r="BE8" s="1"/>
    </row>
    <row r="9" spans="2:60" s="3" customFormat="1" ht="25.5">
      <c r="B9" s="15"/>
      <c r="C9" s="16"/>
      <c r="D9" s="16"/>
      <c r="E9" s="16"/>
      <c r="F9" s="16"/>
      <c r="G9" s="16" t="s">
        <v>243</v>
      </c>
      <c r="H9" s="16"/>
      <c r="I9" s="16" t="s">
        <v>239</v>
      </c>
      <c r="J9" s="16" t="s">
        <v>19</v>
      </c>
      <c r="K9" s="32" t="s">
        <v>19</v>
      </c>
      <c r="L9" s="17" t="s">
        <v>19</v>
      </c>
      <c r="BC9" s="1"/>
      <c r="BD9" s="1"/>
      <c r="BE9" s="1"/>
      <c r="BG9" s="4"/>
    </row>
    <row r="10" spans="2:60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C10" s="1"/>
      <c r="BD10" s="3"/>
      <c r="BE10" s="1"/>
    </row>
    <row r="11" spans="2:60" s="4" customFormat="1" ht="18" customHeight="1">
      <c r="B11" s="69" t="s">
        <v>46</v>
      </c>
      <c r="C11" s="70"/>
      <c r="D11" s="70"/>
      <c r="E11" s="70"/>
      <c r="F11" s="70"/>
      <c r="G11" s="77"/>
      <c r="H11" s="79"/>
      <c r="I11" s="77">
        <v>6.5406961370000003</v>
      </c>
      <c r="J11" s="70"/>
      <c r="K11" s="78">
        <f>I11/$I$11</f>
        <v>1</v>
      </c>
      <c r="L11" s="78">
        <f>I11/'סכום נכסי הקרן'!$C$42</f>
        <v>1.8027322402847494E-6</v>
      </c>
      <c r="BC11" s="1"/>
      <c r="BD11" s="3"/>
      <c r="BE11" s="1"/>
      <c r="BG11" s="1"/>
    </row>
    <row r="12" spans="2:60" s="4" customFormat="1" ht="18" customHeight="1">
      <c r="B12" s="95" t="s">
        <v>24</v>
      </c>
      <c r="C12" s="70"/>
      <c r="D12" s="70"/>
      <c r="E12" s="70"/>
      <c r="F12" s="70"/>
      <c r="G12" s="77"/>
      <c r="H12" s="79"/>
      <c r="I12" s="77">
        <v>6.5406961370000003</v>
      </c>
      <c r="J12" s="70"/>
      <c r="K12" s="78">
        <f t="shared" ref="K12:K14" si="0">I12/$I$11</f>
        <v>1</v>
      </c>
      <c r="L12" s="78">
        <f>I12/'סכום נכסי הקרן'!$C$42</f>
        <v>1.8027322402847494E-6</v>
      </c>
      <c r="BC12" s="1"/>
      <c r="BD12" s="3"/>
      <c r="BE12" s="1"/>
      <c r="BG12" s="1"/>
    </row>
    <row r="13" spans="2:60">
      <c r="B13" s="89" t="s">
        <v>1600</v>
      </c>
      <c r="C13" s="72"/>
      <c r="D13" s="72"/>
      <c r="E13" s="72"/>
      <c r="F13" s="72"/>
      <c r="G13" s="80"/>
      <c r="H13" s="82"/>
      <c r="I13" s="80">
        <v>6.5406961370000003</v>
      </c>
      <c r="J13" s="72"/>
      <c r="K13" s="81">
        <f t="shared" si="0"/>
        <v>1</v>
      </c>
      <c r="L13" s="81">
        <f>I13/'סכום נכסי הקרן'!$C$42</f>
        <v>1.8027322402847494E-6</v>
      </c>
      <c r="BD13" s="3"/>
    </row>
    <row r="14" spans="2:60" ht="20.25">
      <c r="B14" s="76" t="s">
        <v>1601</v>
      </c>
      <c r="C14" s="70" t="s">
        <v>1602</v>
      </c>
      <c r="D14" s="83" t="s">
        <v>116</v>
      </c>
      <c r="E14" s="83" t="s">
        <v>186</v>
      </c>
      <c r="F14" s="83" t="s">
        <v>160</v>
      </c>
      <c r="G14" s="77">
        <v>1374.9623999999999</v>
      </c>
      <c r="H14" s="79">
        <v>475.7</v>
      </c>
      <c r="I14" s="77">
        <v>6.5406961370000003</v>
      </c>
      <c r="J14" s="78">
        <v>1.5520744239473457E-4</v>
      </c>
      <c r="K14" s="78">
        <f t="shared" si="0"/>
        <v>1</v>
      </c>
      <c r="L14" s="78">
        <f>I14/'סכום נכסי הקרן'!$C$42</f>
        <v>1.8027322402847494E-6</v>
      </c>
      <c r="BD14" s="4"/>
    </row>
    <row r="15" spans="2:60">
      <c r="B15" s="73"/>
      <c r="C15" s="70"/>
      <c r="D15" s="70"/>
      <c r="E15" s="70"/>
      <c r="F15" s="70"/>
      <c r="G15" s="77"/>
      <c r="H15" s="79"/>
      <c r="I15" s="70"/>
      <c r="J15" s="70"/>
      <c r="K15" s="78"/>
      <c r="L15" s="70"/>
    </row>
    <row r="16" spans="2:60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2:56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2:56">
      <c r="B18" s="85" t="s">
        <v>251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2:56" ht="20.25">
      <c r="B19" s="85" t="s">
        <v>108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BC19" s="4"/>
    </row>
    <row r="20" spans="2:56">
      <c r="B20" s="85" t="s">
        <v>234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BD20" s="3"/>
    </row>
    <row r="21" spans="2:56">
      <c r="B21" s="85" t="s">
        <v>242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2:56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2:56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2:56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2:56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2:56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2:56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2:56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2:56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2:56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2:56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2:56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2:12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2:12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2:12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2:1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2:12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2:12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2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2:12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2:12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2:12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2:12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2:12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2:12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2:12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2:12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2:12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2:12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2:12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2:12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2:12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2:12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2:12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2:12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2:12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2:12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2:12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2:12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2:12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2:12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2:12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2:12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2:12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2:12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2:12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2:12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2:12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2:12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2:12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spans="2:12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2:12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2:12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2:12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</row>
    <row r="75" spans="2:12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</row>
    <row r="76" spans="2:12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2:12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</row>
    <row r="78" spans="2:12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</row>
    <row r="79" spans="2:12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</row>
    <row r="80" spans="2:12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  <row r="81" spans="2:12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2:12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2:12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</row>
    <row r="84" spans="2:12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</row>
    <row r="85" spans="2:12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2:12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2:12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</row>
    <row r="88" spans="2:12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2:12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</row>
    <row r="90" spans="2:12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</row>
    <row r="91" spans="2:12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2:12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</row>
    <row r="93" spans="2:12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</row>
    <row r="94" spans="2:12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2:12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</row>
    <row r="96" spans="2:12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2:12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</row>
    <row r="98" spans="2:12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</row>
    <row r="99" spans="2:12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</row>
    <row r="100" spans="2:12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2:12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</row>
    <row r="102" spans="2:12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2:12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</row>
    <row r="104" spans="2:12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2:12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</row>
    <row r="106" spans="2:12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</row>
    <row r="107" spans="2:12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</row>
    <row r="108" spans="2:12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</row>
    <row r="109" spans="2:12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2:12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2:12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</row>
    <row r="112" spans="2:12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</row>
    <row r="113" spans="2:12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</row>
    <row r="114" spans="2:12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7 C5:C1048576 D1:AF1048576 AH1:XFD1048576 AG1:AG19 B19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purl.org/dc/elements/1.1/"/>
    <ds:schemaRef ds:uri="http://schemas.microsoft.com/office/2006/documentManagement/types"/>
    <ds:schemaRef ds:uri="http://schemas.microsoft.com/sharepoint/v3"/>
    <ds:schemaRef ds:uri="http://purl.org/dc/terms/"/>
    <ds:schemaRef ds:uri="http://www.w3.org/XML/1998/namespace"/>
    <ds:schemaRef ds:uri="a46656d4-8850-49b3-aebd-68bd05f7f43d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'לא סחיר- תעודות התחייבות ממשלתי'!Print_Area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2020-09-03T12:31:56Z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