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P12" i="78" l="1"/>
  <c r="C43" i="88" l="1"/>
  <c r="J12" i="81" l="1"/>
  <c r="J14" i="81"/>
  <c r="J13" i="81"/>
  <c r="J11" i="81"/>
  <c r="J10" i="81"/>
  <c r="I11" i="81"/>
  <c r="I10" i="81"/>
  <c r="P11" i="78"/>
  <c r="P90" i="78"/>
  <c r="P89" i="78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L15" i="72"/>
  <c r="L14" i="72"/>
  <c r="L13" i="72"/>
  <c r="L12" i="72"/>
  <c r="L11" i="72"/>
  <c r="R35" i="71"/>
  <c r="R34" i="71"/>
  <c r="R33" i="71"/>
  <c r="R31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6" i="67"/>
  <c r="J15" i="67"/>
  <c r="J14" i="67"/>
  <c r="J13" i="67"/>
  <c r="J12" i="67"/>
  <c r="J11" i="67"/>
  <c r="K21" i="66"/>
  <c r="K20" i="66"/>
  <c r="K19" i="66"/>
  <c r="K18" i="66"/>
  <c r="K17" i="66"/>
  <c r="K15" i="66"/>
  <c r="K14" i="66"/>
  <c r="K13" i="66"/>
  <c r="K12" i="66"/>
  <c r="K11" i="66"/>
  <c r="K14" i="65"/>
  <c r="K13" i="65"/>
  <c r="K12" i="65"/>
  <c r="K11" i="65"/>
  <c r="N19" i="64"/>
  <c r="N18" i="64"/>
  <c r="N17" i="64"/>
  <c r="N16" i="64"/>
  <c r="N15" i="64"/>
  <c r="N14" i="64"/>
  <c r="N13" i="64"/>
  <c r="N12" i="64"/>
  <c r="N11" i="64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2" i="62"/>
  <c r="L11" i="62"/>
  <c r="L131" i="62"/>
  <c r="L87" i="62"/>
  <c r="R12" i="61"/>
  <c r="R11" i="61"/>
  <c r="P10" i="78" l="1"/>
  <c r="Q92" i="78"/>
  <c r="Q77" i="78"/>
  <c r="Q56" i="78"/>
  <c r="Q34" i="78"/>
  <c r="Q24" i="78"/>
  <c r="Q13" i="78"/>
  <c r="Q94" i="78"/>
  <c r="Q50" i="78"/>
  <c r="Q21" i="78"/>
  <c r="Q67" i="78"/>
  <c r="Q45" i="78"/>
  <c r="Q29" i="78"/>
  <c r="Q18" i="78"/>
  <c r="Q82" i="78"/>
  <c r="Q61" i="78"/>
  <c r="Q40" i="78"/>
  <c r="Q26" i="78"/>
  <c r="Q16" i="78"/>
  <c r="Q72" i="78"/>
  <c r="Q32" i="78"/>
  <c r="Q10" i="78"/>
  <c r="Q37" i="78"/>
  <c r="Q42" i="78"/>
  <c r="Q48" i="78"/>
  <c r="Q53" i="78"/>
  <c r="Q58" i="78"/>
  <c r="Q64" i="78"/>
  <c r="Q69" i="78"/>
  <c r="Q74" i="78"/>
  <c r="Q80" i="78"/>
  <c r="Q85" i="78"/>
  <c r="Q91" i="78"/>
  <c r="Q12" i="78"/>
  <c r="Q17" i="78"/>
  <c r="Q22" i="78"/>
  <c r="Q28" i="78"/>
  <c r="Q33" i="78"/>
  <c r="Q38" i="78"/>
  <c r="Q44" i="78"/>
  <c r="Q49" i="78"/>
  <c r="Q54" i="78"/>
  <c r="Q60" i="78"/>
  <c r="Q66" i="78"/>
  <c r="Q70" i="78"/>
  <c r="Q76" i="78"/>
  <c r="Q81" i="78"/>
  <c r="Q86" i="78"/>
  <c r="Q93" i="78"/>
  <c r="Q14" i="78"/>
  <c r="Q20" i="78"/>
  <c r="Q25" i="78"/>
  <c r="Q30" i="78"/>
  <c r="Q36" i="78"/>
  <c r="Q41" i="78"/>
  <c r="Q46" i="78"/>
  <c r="Q52" i="78"/>
  <c r="Q57" i="78"/>
  <c r="Q62" i="78"/>
  <c r="Q68" i="78"/>
  <c r="Q73" i="78"/>
  <c r="Q78" i="78"/>
  <c r="Q84" i="78"/>
  <c r="Q90" i="78"/>
  <c r="Q95" i="78"/>
  <c r="Q11" i="78"/>
  <c r="Q15" i="78"/>
  <c r="Q19" i="78"/>
  <c r="Q23" i="78"/>
  <c r="Q27" i="78"/>
  <c r="Q31" i="78"/>
  <c r="Q35" i="78"/>
  <c r="Q39" i="78"/>
  <c r="Q43" i="78"/>
  <c r="Q47" i="78"/>
  <c r="Q51" i="78"/>
  <c r="Q55" i="78"/>
  <c r="Q59" i="78"/>
  <c r="Q63" i="78"/>
  <c r="Q65" i="78"/>
  <c r="Q71" i="78"/>
  <c r="Q75" i="78"/>
  <c r="Q79" i="78"/>
  <c r="Q83" i="78"/>
  <c r="Q87" i="78"/>
  <c r="Q89" i="78"/>
  <c r="L158" i="62"/>
  <c r="L132" i="62"/>
  <c r="L44" i="62"/>
  <c r="L13" i="62"/>
  <c r="R245" i="61"/>
  <c r="R161" i="61"/>
  <c r="R13" i="61"/>
  <c r="S187" i="61"/>
  <c r="O187" i="61"/>
  <c r="S179" i="61"/>
  <c r="O179" i="61"/>
  <c r="S130" i="61"/>
  <c r="S129" i="61"/>
  <c r="S128" i="61"/>
  <c r="S127" i="61"/>
  <c r="O130" i="61"/>
  <c r="O129" i="61"/>
  <c r="O128" i="61"/>
  <c r="O127" i="61"/>
  <c r="S119" i="61"/>
  <c r="S118" i="61"/>
  <c r="S117" i="61"/>
  <c r="O119" i="61"/>
  <c r="O118" i="61"/>
  <c r="O117" i="61"/>
  <c r="S104" i="61"/>
  <c r="S103" i="61"/>
  <c r="O104" i="61"/>
  <c r="O103" i="61"/>
  <c r="S100" i="61"/>
  <c r="S99" i="61"/>
  <c r="S98" i="61"/>
  <c r="S97" i="61"/>
  <c r="O100" i="61"/>
  <c r="O99" i="61"/>
  <c r="O98" i="61"/>
  <c r="O97" i="61"/>
  <c r="S72" i="61"/>
  <c r="S71" i="61"/>
  <c r="S70" i="61"/>
  <c r="S69" i="61"/>
  <c r="O72" i="61"/>
  <c r="O71" i="61"/>
  <c r="O70" i="61"/>
  <c r="O69" i="61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21" i="58"/>
  <c r="J12" i="58"/>
  <c r="J11" i="58" s="1"/>
  <c r="J30" i="58"/>
  <c r="C37" i="88"/>
  <c r="C33" i="88"/>
  <c r="C31" i="88"/>
  <c r="C29" i="88"/>
  <c r="C27" i="88"/>
  <c r="C26" i="88"/>
  <c r="C24" i="88"/>
  <c r="C23" i="88" l="1"/>
  <c r="N235" i="62"/>
  <c r="N244" i="62"/>
  <c r="N195" i="62"/>
  <c r="N178" i="62"/>
  <c r="N170" i="62"/>
  <c r="N162" i="62"/>
  <c r="N221" i="62"/>
  <c r="N199" i="62"/>
  <c r="N134" i="62"/>
  <c r="N117" i="62"/>
  <c r="N109" i="62"/>
  <c r="N101" i="62"/>
  <c r="N84" i="62"/>
  <c r="N76" i="62"/>
  <c r="N68" i="62"/>
  <c r="N52" i="62"/>
  <c r="N44" i="62"/>
  <c r="N35" i="62"/>
  <c r="N27" i="62"/>
  <c r="N19" i="62"/>
  <c r="N11" i="62"/>
  <c r="N231" i="62"/>
  <c r="N213" i="62"/>
  <c r="N202" i="62"/>
  <c r="N193" i="62"/>
  <c r="N184" i="62"/>
  <c r="N176" i="62"/>
  <c r="N168" i="62"/>
  <c r="N160" i="62"/>
  <c r="N151" i="62"/>
  <c r="N145" i="62"/>
  <c r="N185" i="62"/>
  <c r="N132" i="62"/>
  <c r="N123" i="62"/>
  <c r="N115" i="62"/>
  <c r="N107" i="62"/>
  <c r="N99" i="62"/>
  <c r="N91" i="62"/>
  <c r="N82" i="62"/>
  <c r="N74" i="62"/>
  <c r="N66" i="62"/>
  <c r="N50" i="62"/>
  <c r="N33" i="62"/>
  <c r="N17" i="62"/>
  <c r="N243" i="62"/>
  <c r="N227" i="62"/>
  <c r="N209" i="62"/>
  <c r="N200" i="62"/>
  <c r="N191" i="62"/>
  <c r="N182" i="62"/>
  <c r="N174" i="62"/>
  <c r="N166" i="62"/>
  <c r="N158" i="62"/>
  <c r="N149" i="62"/>
  <c r="N205" i="62"/>
  <c r="N138" i="62"/>
  <c r="N129" i="62"/>
  <c r="N121" i="62"/>
  <c r="N113" i="62"/>
  <c r="N105" i="62"/>
  <c r="N97" i="62"/>
  <c r="N89" i="62"/>
  <c r="N80" i="62"/>
  <c r="N72" i="62"/>
  <c r="N64" i="62"/>
  <c r="N56" i="62"/>
  <c r="N48" i="62"/>
  <c r="N39" i="62"/>
  <c r="N31" i="62"/>
  <c r="N23" i="62"/>
  <c r="N15" i="62"/>
  <c r="N239" i="62"/>
  <c r="N222" i="62"/>
  <c r="N207" i="62"/>
  <c r="N197" i="62"/>
  <c r="N189" i="62"/>
  <c r="N180" i="62"/>
  <c r="N172" i="62"/>
  <c r="N164" i="62"/>
  <c r="N155" i="62"/>
  <c r="N224" i="62"/>
  <c r="N142" i="62"/>
  <c r="N136" i="62"/>
  <c r="N127" i="62"/>
  <c r="N119" i="62"/>
  <c r="N111" i="62"/>
  <c r="N103" i="62"/>
  <c r="N95" i="62"/>
  <c r="N87" i="62"/>
  <c r="N78" i="62"/>
  <c r="N70" i="62"/>
  <c r="N62" i="62"/>
  <c r="N54" i="62"/>
  <c r="N46" i="62"/>
  <c r="N37" i="62"/>
  <c r="N29" i="62"/>
  <c r="N21" i="62"/>
  <c r="N13" i="62"/>
  <c r="N58" i="62"/>
  <c r="N41" i="62"/>
  <c r="N25" i="62"/>
  <c r="N211" i="62"/>
  <c r="N215" i="62"/>
  <c r="N219" i="62"/>
  <c r="N225" i="62"/>
  <c r="N229" i="62"/>
  <c r="N233" i="62"/>
  <c r="N237" i="62"/>
  <c r="N241" i="62"/>
  <c r="N245" i="62"/>
  <c r="N14" i="62"/>
  <c r="N18" i="62"/>
  <c r="N22" i="62"/>
  <c r="N26" i="62"/>
  <c r="N30" i="62"/>
  <c r="N34" i="62"/>
  <c r="N38" i="62"/>
  <c r="N42" i="62"/>
  <c r="N47" i="62"/>
  <c r="N51" i="62"/>
  <c r="N55" i="62"/>
  <c r="N59" i="62"/>
  <c r="N63" i="62"/>
  <c r="N67" i="62"/>
  <c r="N71" i="62"/>
  <c r="N75" i="62"/>
  <c r="N79" i="62"/>
  <c r="N83" i="62"/>
  <c r="N88" i="62"/>
  <c r="N92" i="62"/>
  <c r="N96" i="62"/>
  <c r="N100" i="62"/>
  <c r="N104" i="62"/>
  <c r="N108" i="62"/>
  <c r="N112" i="62"/>
  <c r="N116" i="62"/>
  <c r="N120" i="62"/>
  <c r="N124" i="62"/>
  <c r="N128" i="62"/>
  <c r="N133" i="62"/>
  <c r="N137" i="62"/>
  <c r="N140" i="62"/>
  <c r="N143" i="62"/>
  <c r="N146" i="62"/>
  <c r="N148" i="62"/>
  <c r="N152" i="62"/>
  <c r="N156" i="62"/>
  <c r="N161" i="62"/>
  <c r="N165" i="62"/>
  <c r="N169" i="62"/>
  <c r="N173" i="62"/>
  <c r="N177" i="62"/>
  <c r="N181" i="62"/>
  <c r="N186" i="62"/>
  <c r="N190" i="62"/>
  <c r="N194" i="62"/>
  <c r="N198" i="62"/>
  <c r="N203" i="62"/>
  <c r="N208" i="62"/>
  <c r="N212" i="62"/>
  <c r="N216" i="62"/>
  <c r="N220" i="62"/>
  <c r="N226" i="62"/>
  <c r="N230" i="62"/>
  <c r="N234" i="62"/>
  <c r="N238" i="62"/>
  <c r="N242" i="62"/>
  <c r="N246" i="62"/>
  <c r="N12" i="62"/>
  <c r="N16" i="62"/>
  <c r="N20" i="62"/>
  <c r="N24" i="62"/>
  <c r="N28" i="62"/>
  <c r="N32" i="62"/>
  <c r="N36" i="62"/>
  <c r="N40" i="62"/>
  <c r="N45" i="62"/>
  <c r="N49" i="62"/>
  <c r="N53" i="62"/>
  <c r="N57" i="62"/>
  <c r="N61" i="62"/>
  <c r="N65" i="62"/>
  <c r="N69" i="62"/>
  <c r="N73" i="62"/>
  <c r="N77" i="62"/>
  <c r="N81" i="62"/>
  <c r="N85" i="62"/>
  <c r="N90" i="62"/>
  <c r="N94" i="62"/>
  <c r="N98" i="62"/>
  <c r="N102" i="62"/>
  <c r="N106" i="62"/>
  <c r="N110" i="62"/>
  <c r="N114" i="62"/>
  <c r="N118" i="62"/>
  <c r="N122" i="62"/>
  <c r="N126" i="62"/>
  <c r="N131" i="62"/>
  <c r="N135" i="62"/>
  <c r="N139" i="62"/>
  <c r="N141" i="62"/>
  <c r="N144" i="62"/>
  <c r="N147" i="62"/>
  <c r="N150" i="62"/>
  <c r="N154" i="62"/>
  <c r="N159" i="62"/>
  <c r="N163" i="62"/>
  <c r="N167" i="62"/>
  <c r="N171" i="62"/>
  <c r="N175" i="62"/>
  <c r="N179" i="62"/>
  <c r="N183" i="62"/>
  <c r="N188" i="62"/>
  <c r="N192" i="62"/>
  <c r="N196" i="62"/>
  <c r="N201" i="62"/>
  <c r="N206" i="62"/>
  <c r="N210" i="62"/>
  <c r="N214" i="62"/>
  <c r="N218" i="62"/>
  <c r="N223" i="62"/>
  <c r="N228" i="62"/>
  <c r="N232" i="62"/>
  <c r="N236" i="62"/>
  <c r="N240" i="62"/>
  <c r="T12" i="61"/>
  <c r="T17" i="61"/>
  <c r="T38" i="61"/>
  <c r="T60" i="61"/>
  <c r="T81" i="61"/>
  <c r="T104" i="61"/>
  <c r="T136" i="61"/>
  <c r="T176" i="61"/>
  <c r="T219" i="61"/>
  <c r="T22" i="61"/>
  <c r="T44" i="61"/>
  <c r="T65" i="61"/>
  <c r="T86" i="61"/>
  <c r="T112" i="61"/>
  <c r="T144" i="61"/>
  <c r="T187" i="61"/>
  <c r="T250" i="61"/>
  <c r="T245" i="61"/>
  <c r="T239" i="61"/>
  <c r="T233" i="61"/>
  <c r="T228" i="61"/>
  <c r="T223" i="61"/>
  <c r="T217" i="61"/>
  <c r="T212" i="61"/>
  <c r="T207" i="61"/>
  <c r="T201" i="61"/>
  <c r="T196" i="61"/>
  <c r="T191" i="61"/>
  <c r="T185" i="61"/>
  <c r="T180" i="61"/>
  <c r="T175" i="61"/>
  <c r="T169" i="61"/>
  <c r="T164" i="61"/>
  <c r="T158" i="61"/>
  <c r="T152" i="61"/>
  <c r="T147" i="61"/>
  <c r="T143" i="61"/>
  <c r="T139" i="61"/>
  <c r="T135" i="61"/>
  <c r="T131" i="61"/>
  <c r="T127" i="61"/>
  <c r="T123" i="61"/>
  <c r="T119" i="61"/>
  <c r="T115" i="61"/>
  <c r="T111" i="61"/>
  <c r="T107" i="61"/>
  <c r="T103" i="61"/>
  <c r="T99" i="61"/>
  <c r="T95" i="61"/>
  <c r="T91" i="61"/>
  <c r="T87" i="61"/>
  <c r="T83" i="61"/>
  <c r="T79" i="61"/>
  <c r="T75" i="61"/>
  <c r="T71" i="61"/>
  <c r="T67" i="61"/>
  <c r="T63" i="61"/>
  <c r="T59" i="61"/>
  <c r="T55" i="61"/>
  <c r="T51" i="61"/>
  <c r="T47" i="61"/>
  <c r="T43" i="61"/>
  <c r="T39" i="61"/>
  <c r="T35" i="61"/>
  <c r="T31" i="61"/>
  <c r="T27" i="61"/>
  <c r="T23" i="61"/>
  <c r="T19" i="61"/>
  <c r="T15" i="61"/>
  <c r="T11" i="61"/>
  <c r="T249" i="61"/>
  <c r="T243" i="61"/>
  <c r="T237" i="61"/>
  <c r="T232" i="61"/>
  <c r="T227" i="61"/>
  <c r="T221" i="61"/>
  <c r="T216" i="61"/>
  <c r="T211" i="61"/>
  <c r="T205" i="61"/>
  <c r="T200" i="61"/>
  <c r="T195" i="61"/>
  <c r="T189" i="61"/>
  <c r="T184" i="61"/>
  <c r="T179" i="61"/>
  <c r="T173" i="61"/>
  <c r="T168" i="61"/>
  <c r="T163" i="61"/>
  <c r="T156" i="61"/>
  <c r="T151" i="61"/>
  <c r="T146" i="61"/>
  <c r="T142" i="61"/>
  <c r="T138" i="61"/>
  <c r="T134" i="61"/>
  <c r="T130" i="61"/>
  <c r="T126" i="61"/>
  <c r="T122" i="61"/>
  <c r="T118" i="61"/>
  <c r="T114" i="61"/>
  <c r="T110" i="61"/>
  <c r="T106" i="61"/>
  <c r="T102" i="61"/>
  <c r="T13" i="61"/>
  <c r="T18" i="61"/>
  <c r="T24" i="61"/>
  <c r="T29" i="61"/>
  <c r="T34" i="61"/>
  <c r="T40" i="61"/>
  <c r="T45" i="61"/>
  <c r="T50" i="61"/>
  <c r="T56" i="61"/>
  <c r="T61" i="61"/>
  <c r="T66" i="61"/>
  <c r="T72" i="61"/>
  <c r="T77" i="61"/>
  <c r="T82" i="61"/>
  <c r="T88" i="61"/>
  <c r="T93" i="61"/>
  <c r="T98" i="61"/>
  <c r="T105" i="61"/>
  <c r="T113" i="61"/>
  <c r="T121" i="61"/>
  <c r="T129" i="61"/>
  <c r="T137" i="61"/>
  <c r="T145" i="61"/>
  <c r="T155" i="61"/>
  <c r="T167" i="61"/>
  <c r="T177" i="61"/>
  <c r="T188" i="61"/>
  <c r="T199" i="61"/>
  <c r="T209" i="61"/>
  <c r="T220" i="61"/>
  <c r="T231" i="61"/>
  <c r="T241" i="61"/>
  <c r="T14" i="61"/>
  <c r="T20" i="61"/>
  <c r="T25" i="61"/>
  <c r="T30" i="61"/>
  <c r="T36" i="61"/>
  <c r="T41" i="61"/>
  <c r="T46" i="61"/>
  <c r="T52" i="61"/>
  <c r="T57" i="61"/>
  <c r="T62" i="61"/>
  <c r="T68" i="61"/>
  <c r="T73" i="61"/>
  <c r="T78" i="61"/>
  <c r="T84" i="61"/>
  <c r="T89" i="61"/>
  <c r="T94" i="61"/>
  <c r="T100" i="61"/>
  <c r="T108" i="61"/>
  <c r="T116" i="61"/>
  <c r="T124" i="61"/>
  <c r="T132" i="61"/>
  <c r="T140" i="61"/>
  <c r="T148" i="61"/>
  <c r="T159" i="61"/>
  <c r="T171" i="61"/>
  <c r="T181" i="61"/>
  <c r="T192" i="61"/>
  <c r="T203" i="61"/>
  <c r="T213" i="61"/>
  <c r="T224" i="61"/>
  <c r="T235" i="61"/>
  <c r="T246" i="61"/>
  <c r="T16" i="61"/>
  <c r="T21" i="61"/>
  <c r="T26" i="61"/>
  <c r="T32" i="61"/>
  <c r="T37" i="61"/>
  <c r="T42" i="61"/>
  <c r="T48" i="61"/>
  <c r="T53" i="61"/>
  <c r="T58" i="61"/>
  <c r="T64" i="61"/>
  <c r="T69" i="61"/>
  <c r="T74" i="61"/>
  <c r="T80" i="61"/>
  <c r="T85" i="61"/>
  <c r="T90" i="61"/>
  <c r="T96" i="61"/>
  <c r="T101" i="61"/>
  <c r="T109" i="61"/>
  <c r="T117" i="61"/>
  <c r="T125" i="61"/>
  <c r="T133" i="61"/>
  <c r="T141" i="61"/>
  <c r="T150" i="61"/>
  <c r="T161" i="61"/>
  <c r="T172" i="61"/>
  <c r="T183" i="61"/>
  <c r="T193" i="61"/>
  <c r="T204" i="61"/>
  <c r="T215" i="61"/>
  <c r="T225" i="61"/>
  <c r="T236" i="61"/>
  <c r="T248" i="61"/>
  <c r="T251" i="61"/>
  <c r="T247" i="61"/>
  <c r="T242" i="61"/>
  <c r="T238" i="61"/>
  <c r="T234" i="61"/>
  <c r="T230" i="61"/>
  <c r="T226" i="61"/>
  <c r="T222" i="61"/>
  <c r="T218" i="61"/>
  <c r="T214" i="61"/>
  <c r="T210" i="61"/>
  <c r="T206" i="61"/>
  <c r="T202" i="61"/>
  <c r="T198" i="61"/>
  <c r="T194" i="61"/>
  <c r="T190" i="61"/>
  <c r="T186" i="61"/>
  <c r="T182" i="61"/>
  <c r="T178" i="61"/>
  <c r="T174" i="61"/>
  <c r="T170" i="61"/>
  <c r="T166" i="61"/>
  <c r="T162" i="61"/>
  <c r="T157" i="61"/>
  <c r="T153" i="61"/>
  <c r="T149" i="61"/>
  <c r="J10" i="58"/>
  <c r="C11" i="88" s="1"/>
  <c r="C21" i="88"/>
  <c r="C20" i="88"/>
  <c r="C19" i="88"/>
  <c r="C18" i="88"/>
  <c r="C17" i="88"/>
  <c r="C16" i="88"/>
  <c r="C15" i="88"/>
  <c r="C13" i="88"/>
  <c r="N204" i="62" l="1"/>
  <c r="N217" i="62"/>
  <c r="N60" i="62"/>
  <c r="N93" i="62"/>
  <c r="N125" i="62"/>
  <c r="N153" i="62"/>
  <c r="N187" i="62"/>
  <c r="C12" i="88"/>
  <c r="T229" i="61"/>
  <c r="T197" i="61"/>
  <c r="T120" i="61"/>
  <c r="T70" i="61"/>
  <c r="T28" i="61"/>
  <c r="T165" i="61"/>
  <c r="T97" i="61"/>
  <c r="T54" i="61"/>
  <c r="T240" i="61"/>
  <c r="T154" i="61"/>
  <c r="T92" i="61"/>
  <c r="T49" i="61"/>
  <c r="T208" i="61"/>
  <c r="T128" i="61"/>
  <c r="T76" i="61"/>
  <c r="T33" i="61"/>
  <c r="K45" i="58"/>
  <c r="K41" i="58"/>
  <c r="K37" i="58"/>
  <c r="K33" i="58"/>
  <c r="K29" i="58"/>
  <c r="K25" i="58"/>
  <c r="K21" i="58"/>
  <c r="K16" i="58"/>
  <c r="K10" i="58"/>
  <c r="K48" i="58"/>
  <c r="K44" i="58"/>
  <c r="K40" i="58"/>
  <c r="K36" i="58"/>
  <c r="K32" i="58"/>
  <c r="K28" i="58"/>
  <c r="K24" i="58"/>
  <c r="K19" i="58"/>
  <c r="K15" i="58"/>
  <c r="K47" i="58"/>
  <c r="K43" i="58"/>
  <c r="K39" i="58"/>
  <c r="K35" i="58"/>
  <c r="K31" i="58"/>
  <c r="K27" i="58"/>
  <c r="K23" i="58"/>
  <c r="K18" i="58"/>
  <c r="K14" i="58"/>
  <c r="K12" i="58"/>
  <c r="K46" i="58"/>
  <c r="K42" i="58"/>
  <c r="K38" i="58"/>
  <c r="K34" i="58"/>
  <c r="K30" i="58"/>
  <c r="K26" i="58"/>
  <c r="K22" i="58"/>
  <c r="K17" i="58"/>
  <c r="K13" i="58"/>
  <c r="K11" i="58"/>
  <c r="C10" i="88" l="1"/>
  <c r="C42" i="88" s="1"/>
  <c r="K11" i="81" l="1"/>
  <c r="K14" i="81"/>
  <c r="K10" i="81"/>
  <c r="K13" i="81"/>
  <c r="K12" i="81"/>
  <c r="R95" i="78"/>
  <c r="R91" i="78"/>
  <c r="R86" i="78"/>
  <c r="R82" i="78"/>
  <c r="R78" i="78"/>
  <c r="R74" i="78"/>
  <c r="R70" i="78"/>
  <c r="R67" i="78"/>
  <c r="R62" i="78"/>
  <c r="R58" i="78"/>
  <c r="R54" i="78"/>
  <c r="R50" i="78"/>
  <c r="R46" i="78"/>
  <c r="R42" i="78"/>
  <c r="R38" i="78"/>
  <c r="R34" i="78"/>
  <c r="R30" i="78"/>
  <c r="R26" i="78"/>
  <c r="R22" i="78"/>
  <c r="R18" i="78"/>
  <c r="R14" i="78"/>
  <c r="R10" i="78"/>
  <c r="R90" i="78"/>
  <c r="R66" i="78"/>
  <c r="R57" i="78"/>
  <c r="R45" i="78"/>
  <c r="R37" i="78"/>
  <c r="R21" i="78"/>
  <c r="R93" i="78"/>
  <c r="R84" i="78"/>
  <c r="R80" i="78"/>
  <c r="R76" i="78"/>
  <c r="R72" i="78"/>
  <c r="R68" i="78"/>
  <c r="R64" i="78"/>
  <c r="R60" i="78"/>
  <c r="R56" i="78"/>
  <c r="R52" i="78"/>
  <c r="R48" i="78"/>
  <c r="R44" i="78"/>
  <c r="R40" i="78"/>
  <c r="R36" i="78"/>
  <c r="R32" i="78"/>
  <c r="R28" i="78"/>
  <c r="R24" i="78"/>
  <c r="R20" i="78"/>
  <c r="R16" i="78"/>
  <c r="R12" i="78"/>
  <c r="R92" i="78"/>
  <c r="R87" i="78"/>
  <c r="R83" i="78"/>
  <c r="R79" i="78"/>
  <c r="R75" i="78"/>
  <c r="R71" i="78"/>
  <c r="R65" i="78"/>
  <c r="R63" i="78"/>
  <c r="R59" i="78"/>
  <c r="R55" i="78"/>
  <c r="R51" i="78"/>
  <c r="R47" i="78"/>
  <c r="R43" i="78"/>
  <c r="R39" i="78"/>
  <c r="R35" i="78"/>
  <c r="R31" i="78"/>
  <c r="R27" i="78"/>
  <c r="R23" i="78"/>
  <c r="R19" i="78"/>
  <c r="R15" i="78"/>
  <c r="R11" i="78"/>
  <c r="R94" i="78"/>
  <c r="R85" i="78"/>
  <c r="R81" i="78"/>
  <c r="R77" i="78"/>
  <c r="R73" i="78"/>
  <c r="R69" i="78"/>
  <c r="R61" i="78"/>
  <c r="R53" i="78"/>
  <c r="R49" i="78"/>
  <c r="R41" i="78"/>
  <c r="R33" i="78"/>
  <c r="R29" i="78"/>
  <c r="R25" i="78"/>
  <c r="R17" i="78"/>
  <c r="R13" i="78"/>
  <c r="R89" i="78"/>
  <c r="K146" i="76"/>
  <c r="K142" i="76"/>
  <c r="K138" i="76"/>
  <c r="K133" i="76"/>
  <c r="K129" i="76"/>
  <c r="K125" i="76"/>
  <c r="K121" i="76"/>
  <c r="K117" i="76"/>
  <c r="K113" i="76"/>
  <c r="K109" i="76"/>
  <c r="K101" i="76"/>
  <c r="K97" i="76"/>
  <c r="K93" i="76"/>
  <c r="K89" i="76"/>
  <c r="K85" i="76"/>
  <c r="K81" i="76"/>
  <c r="K77" i="76"/>
  <c r="K75" i="76"/>
  <c r="K71" i="76"/>
  <c r="K67" i="76"/>
  <c r="K63" i="76"/>
  <c r="K59" i="76"/>
  <c r="K55" i="76"/>
  <c r="K51" i="76"/>
  <c r="K47" i="76"/>
  <c r="K43" i="76"/>
  <c r="K39" i="76"/>
  <c r="K35" i="76"/>
  <c r="K31" i="76"/>
  <c r="K27" i="76"/>
  <c r="K23" i="76"/>
  <c r="K19" i="76"/>
  <c r="K15" i="76"/>
  <c r="K11" i="76"/>
  <c r="L13" i="74"/>
  <c r="M15" i="72"/>
  <c r="M11" i="72"/>
  <c r="K73" i="76"/>
  <c r="K53" i="76"/>
  <c r="K45" i="76"/>
  <c r="K37" i="76"/>
  <c r="K29" i="76"/>
  <c r="K21" i="76"/>
  <c r="L11" i="74"/>
  <c r="K139" i="76"/>
  <c r="K126" i="76"/>
  <c r="K114" i="76"/>
  <c r="K102" i="76"/>
  <c r="K90" i="76"/>
  <c r="K78" i="76"/>
  <c r="K68" i="76"/>
  <c r="K56" i="76"/>
  <c r="K48" i="76"/>
  <c r="K32" i="76"/>
  <c r="K145" i="76"/>
  <c r="K141" i="76"/>
  <c r="K137" i="76"/>
  <c r="K132" i="76"/>
  <c r="K128" i="76"/>
  <c r="K124" i="76"/>
  <c r="K120" i="76"/>
  <c r="K116" i="76"/>
  <c r="K112" i="76"/>
  <c r="K108" i="76"/>
  <c r="K104" i="76"/>
  <c r="K100" i="76"/>
  <c r="K96" i="76"/>
  <c r="K92" i="76"/>
  <c r="K88" i="76"/>
  <c r="K84" i="76"/>
  <c r="K80" i="76"/>
  <c r="K74" i="76"/>
  <c r="K70" i="76"/>
  <c r="K66" i="76"/>
  <c r="K62" i="76"/>
  <c r="K58" i="76"/>
  <c r="K54" i="76"/>
  <c r="K50" i="76"/>
  <c r="K46" i="76"/>
  <c r="K42" i="76"/>
  <c r="K38" i="76"/>
  <c r="K34" i="76"/>
  <c r="K30" i="76"/>
  <c r="K26" i="76"/>
  <c r="K22" i="76"/>
  <c r="K18" i="76"/>
  <c r="K14" i="76"/>
  <c r="L12" i="74"/>
  <c r="M14" i="72"/>
  <c r="K144" i="76"/>
  <c r="K140" i="76"/>
  <c r="K136" i="76"/>
  <c r="K131" i="76"/>
  <c r="K127" i="76"/>
  <c r="K123" i="76"/>
  <c r="K119" i="76"/>
  <c r="K115" i="76"/>
  <c r="K111" i="76"/>
  <c r="K107" i="76"/>
  <c r="K103" i="76"/>
  <c r="K99" i="76"/>
  <c r="K95" i="76"/>
  <c r="K91" i="76"/>
  <c r="K87" i="76"/>
  <c r="K83" i="76"/>
  <c r="K79" i="76"/>
  <c r="K69" i="76"/>
  <c r="K65" i="76"/>
  <c r="K61" i="76"/>
  <c r="K57" i="76"/>
  <c r="K49" i="76"/>
  <c r="K41" i="76"/>
  <c r="K33" i="76"/>
  <c r="K25" i="76"/>
  <c r="K17" i="76"/>
  <c r="K13" i="76"/>
  <c r="M13" i="72"/>
  <c r="K143" i="76"/>
  <c r="K135" i="76"/>
  <c r="K130" i="76"/>
  <c r="K122" i="76"/>
  <c r="K118" i="76"/>
  <c r="K110" i="76"/>
  <c r="K105" i="76"/>
  <c r="K98" i="76"/>
  <c r="K94" i="76"/>
  <c r="K86" i="76"/>
  <c r="K82" i="76"/>
  <c r="K76" i="76"/>
  <c r="K72" i="76"/>
  <c r="K64" i="76"/>
  <c r="K60" i="76"/>
  <c r="K52" i="76"/>
  <c r="K44" i="76"/>
  <c r="K40" i="76"/>
  <c r="K36" i="76"/>
  <c r="K28" i="76"/>
  <c r="K24" i="76"/>
  <c r="M12" i="72"/>
  <c r="K20" i="76"/>
  <c r="K16" i="76"/>
  <c r="K12" i="76"/>
  <c r="S33" i="71"/>
  <c r="S27" i="71"/>
  <c r="S23" i="71"/>
  <c r="S18" i="71"/>
  <c r="S14" i="71"/>
  <c r="P86" i="69"/>
  <c r="P82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K14" i="67"/>
  <c r="L19" i="66"/>
  <c r="L14" i="66"/>
  <c r="L14" i="65"/>
  <c r="O16" i="64"/>
  <c r="O12" i="64"/>
  <c r="N86" i="63"/>
  <c r="N82" i="63"/>
  <c r="N78" i="63"/>
  <c r="N74" i="63"/>
  <c r="N70" i="63"/>
  <c r="N66" i="63"/>
  <c r="N62" i="63"/>
  <c r="N58" i="63"/>
  <c r="N54" i="63"/>
  <c r="N50" i="63"/>
  <c r="N46" i="63"/>
  <c r="N42" i="63"/>
  <c r="N37" i="63"/>
  <c r="N33" i="63"/>
  <c r="N29" i="63"/>
  <c r="N25" i="63"/>
  <c r="N20" i="63"/>
  <c r="N16" i="63"/>
  <c r="N12" i="63"/>
  <c r="S31" i="71"/>
  <c r="S26" i="71"/>
  <c r="S22" i="71"/>
  <c r="S17" i="71"/>
  <c r="S13" i="71"/>
  <c r="P85" i="69"/>
  <c r="P81" i="69"/>
  <c r="P77" i="69"/>
  <c r="P73" i="69"/>
  <c r="P69" i="69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K13" i="67"/>
  <c r="L18" i="66"/>
  <c r="L13" i="66"/>
  <c r="L13" i="65"/>
  <c r="O19" i="64"/>
  <c r="O15" i="64"/>
  <c r="O11" i="64"/>
  <c r="N85" i="63"/>
  <c r="N81" i="63"/>
  <c r="N77" i="63"/>
  <c r="N73" i="63"/>
  <c r="N69" i="63"/>
  <c r="S30" i="71"/>
  <c r="S20" i="71"/>
  <c r="S12" i="71"/>
  <c r="P80" i="69"/>
  <c r="P72" i="69"/>
  <c r="P64" i="69"/>
  <c r="P56" i="69"/>
  <c r="P48" i="69"/>
  <c r="P40" i="69"/>
  <c r="P32" i="69"/>
  <c r="P24" i="69"/>
  <c r="P16" i="69"/>
  <c r="K12" i="67"/>
  <c r="L21" i="66"/>
  <c r="L12" i="66"/>
  <c r="O13" i="64"/>
  <c r="N83" i="63"/>
  <c r="N75" i="63"/>
  <c r="N67" i="63"/>
  <c r="N61" i="63"/>
  <c r="N56" i="63"/>
  <c r="N51" i="63"/>
  <c r="N45" i="63"/>
  <c r="N39" i="63"/>
  <c r="N34" i="63"/>
  <c r="N28" i="63"/>
  <c r="N22" i="63"/>
  <c r="N17" i="63"/>
  <c r="N11" i="63"/>
  <c r="S29" i="71"/>
  <c r="S19" i="71"/>
  <c r="S11" i="71"/>
  <c r="P79" i="69"/>
  <c r="P71" i="69"/>
  <c r="P63" i="69"/>
  <c r="P55" i="69"/>
  <c r="P47" i="69"/>
  <c r="P39" i="69"/>
  <c r="P31" i="69"/>
  <c r="P23" i="69"/>
  <c r="P15" i="69"/>
  <c r="K11" i="67"/>
  <c r="L20" i="66"/>
  <c r="L11" i="66"/>
  <c r="O18" i="64"/>
  <c r="N80" i="63"/>
  <c r="N72" i="63"/>
  <c r="N65" i="63"/>
  <c r="N60" i="63"/>
  <c r="N55" i="63"/>
  <c r="N49" i="63"/>
  <c r="N44" i="63"/>
  <c r="N38" i="63"/>
  <c r="N32" i="63"/>
  <c r="N27" i="63"/>
  <c r="N21" i="63"/>
  <c r="N15" i="63"/>
  <c r="N48" i="63"/>
  <c r="N36" i="63"/>
  <c r="N26" i="63"/>
  <c r="N19" i="63"/>
  <c r="S34" i="71"/>
  <c r="S24" i="71"/>
  <c r="P75" i="69"/>
  <c r="P67" i="69"/>
  <c r="P51" i="69"/>
  <c r="P35" i="69"/>
  <c r="P19" i="69"/>
  <c r="K15" i="67"/>
  <c r="L15" i="66"/>
  <c r="O14" i="64"/>
  <c r="N76" i="63"/>
  <c r="N68" i="63"/>
  <c r="N63" i="63"/>
  <c r="N52" i="63"/>
  <c r="N41" i="63"/>
  <c r="N30" i="63"/>
  <c r="N18" i="63"/>
  <c r="S35" i="71"/>
  <c r="S25" i="71"/>
  <c r="S16" i="71"/>
  <c r="P84" i="69"/>
  <c r="P76" i="69"/>
  <c r="P68" i="69"/>
  <c r="P60" i="69"/>
  <c r="P52" i="69"/>
  <c r="P44" i="69"/>
  <c r="P36" i="69"/>
  <c r="P28" i="69"/>
  <c r="P20" i="69"/>
  <c r="P12" i="69"/>
  <c r="K16" i="67"/>
  <c r="L17" i="66"/>
  <c r="L12" i="65"/>
  <c r="O17" i="64"/>
  <c r="N79" i="63"/>
  <c r="N71" i="63"/>
  <c r="N64" i="63"/>
  <c r="N59" i="63"/>
  <c r="N53" i="63"/>
  <c r="N43" i="63"/>
  <c r="N31" i="63"/>
  <c r="N14" i="63"/>
  <c r="S15" i="71"/>
  <c r="P83" i="69"/>
  <c r="P59" i="69"/>
  <c r="P43" i="69"/>
  <c r="P27" i="69"/>
  <c r="P11" i="69"/>
  <c r="L11" i="65"/>
  <c r="N84" i="63"/>
  <c r="N57" i="63"/>
  <c r="N47" i="63"/>
  <c r="N35" i="63"/>
  <c r="N23" i="63"/>
  <c r="N13" i="63"/>
  <c r="O246" i="62" l="1"/>
  <c r="O242" i="62"/>
  <c r="O238" i="62"/>
  <c r="O234" i="62"/>
  <c r="O230" i="62"/>
  <c r="O226" i="62"/>
  <c r="O220" i="62"/>
  <c r="O216" i="62"/>
  <c r="O212" i="62"/>
  <c r="O208" i="62"/>
  <c r="O203" i="62"/>
  <c r="O198" i="62"/>
  <c r="O194" i="62"/>
  <c r="O190" i="62"/>
  <c r="O186" i="62"/>
  <c r="O181" i="62"/>
  <c r="O177" i="62"/>
  <c r="O173" i="62"/>
  <c r="O169" i="62"/>
  <c r="O165" i="62"/>
  <c r="O161" i="62"/>
  <c r="O156" i="62"/>
  <c r="O152" i="62"/>
  <c r="O148" i="62"/>
  <c r="O146" i="62"/>
  <c r="O143" i="62"/>
  <c r="O140" i="62"/>
  <c r="O137" i="62"/>
  <c r="O133" i="62"/>
  <c r="O128" i="62"/>
  <c r="O124" i="62"/>
  <c r="O120" i="62"/>
  <c r="O116" i="62"/>
  <c r="O113" i="62"/>
  <c r="O109" i="62"/>
  <c r="O105" i="62"/>
  <c r="O101" i="62"/>
  <c r="O97" i="62"/>
  <c r="O93" i="62"/>
  <c r="O89" i="62"/>
  <c r="O84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O243" i="62"/>
  <c r="O237" i="62"/>
  <c r="O232" i="62"/>
  <c r="O227" i="62"/>
  <c r="O219" i="62"/>
  <c r="O214" i="62"/>
  <c r="O209" i="62"/>
  <c r="O202" i="62"/>
  <c r="O196" i="62"/>
  <c r="O191" i="62"/>
  <c r="O184" i="62"/>
  <c r="O179" i="62"/>
  <c r="O174" i="62"/>
  <c r="O168" i="62"/>
  <c r="O163" i="62"/>
  <c r="O158" i="62"/>
  <c r="O151" i="62"/>
  <c r="O147" i="62"/>
  <c r="O205" i="62"/>
  <c r="O185" i="62"/>
  <c r="O135" i="62"/>
  <c r="O129" i="62"/>
  <c r="O123" i="62"/>
  <c r="O118" i="62"/>
  <c r="O108" i="62"/>
  <c r="O103" i="62"/>
  <c r="O98" i="62"/>
  <c r="O92" i="62"/>
  <c r="O87" i="62"/>
  <c r="O81" i="62"/>
  <c r="O75" i="62"/>
  <c r="O70" i="62"/>
  <c r="O65" i="62"/>
  <c r="O59" i="62"/>
  <c r="O54" i="62"/>
  <c r="O49" i="62"/>
  <c r="O42" i="62"/>
  <c r="O37" i="62"/>
  <c r="O32" i="62"/>
  <c r="O26" i="62"/>
  <c r="O21" i="62"/>
  <c r="O16" i="62"/>
  <c r="O241" i="62"/>
  <c r="O236" i="62"/>
  <c r="O231" i="62"/>
  <c r="O225" i="62"/>
  <c r="O218" i="62"/>
  <c r="O213" i="62"/>
  <c r="O207" i="62"/>
  <c r="O201" i="62"/>
  <c r="O195" i="62"/>
  <c r="O189" i="62"/>
  <c r="O183" i="62"/>
  <c r="O178" i="62"/>
  <c r="O172" i="62"/>
  <c r="O167" i="62"/>
  <c r="O162" i="62"/>
  <c r="O155" i="62"/>
  <c r="O150" i="62"/>
  <c r="O221" i="62"/>
  <c r="O142" i="62"/>
  <c r="O139" i="62"/>
  <c r="O134" i="62"/>
  <c r="O127" i="62"/>
  <c r="O122" i="62"/>
  <c r="O117" i="62"/>
  <c r="O112" i="62"/>
  <c r="O107" i="62"/>
  <c r="O102" i="62"/>
  <c r="O96" i="62"/>
  <c r="O91" i="62"/>
  <c r="O85" i="62"/>
  <c r="O79" i="62"/>
  <c r="O74" i="62"/>
  <c r="O69" i="62"/>
  <c r="O63" i="62"/>
  <c r="O58" i="62"/>
  <c r="O53" i="62"/>
  <c r="O47" i="62"/>
  <c r="O41" i="62"/>
  <c r="O36" i="62"/>
  <c r="O30" i="62"/>
  <c r="O25" i="62"/>
  <c r="O20" i="62"/>
  <c r="O245" i="62"/>
  <c r="O240" i="62"/>
  <c r="O235" i="62"/>
  <c r="O229" i="62"/>
  <c r="O223" i="62"/>
  <c r="O217" i="62"/>
  <c r="O211" i="62"/>
  <c r="O206" i="62"/>
  <c r="O200" i="62"/>
  <c r="O193" i="62"/>
  <c r="O188" i="62"/>
  <c r="O182" i="62"/>
  <c r="O176" i="62"/>
  <c r="O171" i="62"/>
  <c r="O166" i="62"/>
  <c r="O160" i="62"/>
  <c r="O154" i="62"/>
  <c r="O149" i="62"/>
  <c r="O145" i="62"/>
  <c r="O141" i="62"/>
  <c r="O138" i="62"/>
  <c r="O132" i="62"/>
  <c r="O126" i="62"/>
  <c r="O121" i="62"/>
  <c r="O115" i="62"/>
  <c r="O111" i="62"/>
  <c r="O106" i="62"/>
  <c r="O100" i="62"/>
  <c r="O95" i="62"/>
  <c r="O90" i="62"/>
  <c r="O83" i="62"/>
  <c r="O78" i="62"/>
  <c r="O73" i="62"/>
  <c r="O67" i="62"/>
  <c r="O62" i="62"/>
  <c r="O57" i="62"/>
  <c r="O51" i="62"/>
  <c r="O46" i="62"/>
  <c r="O40" i="62"/>
  <c r="O34" i="62"/>
  <c r="O29" i="62"/>
  <c r="O24" i="62"/>
  <c r="O18" i="62"/>
  <c r="O13" i="62"/>
  <c r="O233" i="62"/>
  <c r="O210" i="62"/>
  <c r="O187" i="62"/>
  <c r="O164" i="62"/>
  <c r="O144" i="62"/>
  <c r="O125" i="62"/>
  <c r="O104" i="62"/>
  <c r="O82" i="62"/>
  <c r="O61" i="62"/>
  <c r="O38" i="62"/>
  <c r="O17" i="62"/>
  <c r="O204" i="62"/>
  <c r="O199" i="62"/>
  <c r="O99" i="62"/>
  <c r="O55" i="62"/>
  <c r="O244" i="62"/>
  <c r="O222" i="62"/>
  <c r="O197" i="62"/>
  <c r="O175" i="62"/>
  <c r="O153" i="62"/>
  <c r="O136" i="62"/>
  <c r="O114" i="62"/>
  <c r="O94" i="62"/>
  <c r="O71" i="62"/>
  <c r="O50" i="62"/>
  <c r="O28" i="62"/>
  <c r="O12" i="62"/>
  <c r="O239" i="62"/>
  <c r="O215" i="62"/>
  <c r="O192" i="62"/>
  <c r="O170" i="62"/>
  <c r="O224" i="62"/>
  <c r="O131" i="62"/>
  <c r="O110" i="62"/>
  <c r="O88" i="62"/>
  <c r="O66" i="62"/>
  <c r="O45" i="62"/>
  <c r="O22" i="62"/>
  <c r="O228" i="62"/>
  <c r="O180" i="62"/>
  <c r="O159" i="62"/>
  <c r="O119" i="62"/>
  <c r="O77" i="62"/>
  <c r="O33" i="62"/>
  <c r="O14" i="62"/>
  <c r="D10" i="88"/>
  <c r="U248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24" i="59"/>
  <c r="R20" i="59"/>
  <c r="R16" i="59"/>
  <c r="R12" i="59"/>
  <c r="U251" i="61"/>
  <c r="U247" i="61"/>
  <c r="U242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250" i="61"/>
  <c r="U241" i="61"/>
  <c r="U233" i="61"/>
  <c r="U225" i="61"/>
  <c r="U217" i="61"/>
  <c r="U209" i="61"/>
  <c r="U201" i="61"/>
  <c r="U193" i="61"/>
  <c r="U185" i="61"/>
  <c r="U177" i="61"/>
  <c r="U169" i="61"/>
  <c r="U164" i="61"/>
  <c r="U157" i="61"/>
  <c r="U152" i="61"/>
  <c r="U147" i="61"/>
  <c r="U141" i="61"/>
  <c r="U136" i="61"/>
  <c r="U131" i="61"/>
  <c r="U125" i="61"/>
  <c r="U120" i="61"/>
  <c r="U115" i="61"/>
  <c r="U109" i="61"/>
  <c r="U104" i="61"/>
  <c r="U99" i="61"/>
  <c r="U93" i="61"/>
  <c r="U88" i="61"/>
  <c r="U83" i="61"/>
  <c r="U77" i="61"/>
  <c r="U72" i="61"/>
  <c r="U67" i="61"/>
  <c r="U61" i="61"/>
  <c r="U56" i="61"/>
  <c r="U51" i="61"/>
  <c r="U45" i="61"/>
  <c r="U40" i="61"/>
  <c r="U35" i="61"/>
  <c r="U29" i="61"/>
  <c r="U24" i="61"/>
  <c r="U19" i="61"/>
  <c r="U13" i="61"/>
  <c r="R22" i="59"/>
  <c r="R17" i="59"/>
  <c r="R11" i="59"/>
  <c r="U249" i="61"/>
  <c r="U240" i="61"/>
  <c r="U232" i="61"/>
  <c r="U224" i="61"/>
  <c r="U216" i="61"/>
  <c r="U208" i="61"/>
  <c r="U200" i="61"/>
  <c r="U192" i="61"/>
  <c r="U184" i="61"/>
  <c r="U176" i="61"/>
  <c r="U168" i="61"/>
  <c r="U162" i="61"/>
  <c r="U156" i="61"/>
  <c r="U151" i="61"/>
  <c r="U145" i="61"/>
  <c r="U140" i="61"/>
  <c r="U135" i="61"/>
  <c r="U129" i="61"/>
  <c r="U124" i="61"/>
  <c r="U119" i="61"/>
  <c r="U113" i="61"/>
  <c r="U108" i="61"/>
  <c r="U103" i="61"/>
  <c r="U97" i="61"/>
  <c r="U92" i="61"/>
  <c r="U87" i="61"/>
  <c r="U81" i="61"/>
  <c r="U76" i="61"/>
  <c r="U71" i="61"/>
  <c r="U65" i="61"/>
  <c r="U60" i="61"/>
  <c r="U55" i="61"/>
  <c r="U49" i="61"/>
  <c r="U44" i="61"/>
  <c r="U39" i="61"/>
  <c r="U33" i="61"/>
  <c r="U28" i="61"/>
  <c r="U23" i="61"/>
  <c r="U17" i="61"/>
  <c r="U12" i="61"/>
  <c r="R21" i="59"/>
  <c r="R15" i="59"/>
  <c r="U246" i="61"/>
  <c r="U237" i="61"/>
  <c r="U229" i="61"/>
  <c r="U221" i="61"/>
  <c r="U213" i="61"/>
  <c r="U205" i="61"/>
  <c r="U197" i="61"/>
  <c r="U189" i="61"/>
  <c r="U181" i="61"/>
  <c r="U173" i="61"/>
  <c r="U166" i="61"/>
  <c r="U161" i="61"/>
  <c r="U155" i="61"/>
  <c r="U149" i="61"/>
  <c r="U144" i="61"/>
  <c r="U139" i="61"/>
  <c r="U133" i="61"/>
  <c r="U128" i="61"/>
  <c r="U123" i="61"/>
  <c r="U117" i="61"/>
  <c r="U112" i="61"/>
  <c r="U107" i="61"/>
  <c r="U101" i="61"/>
  <c r="U96" i="61"/>
  <c r="U91" i="61"/>
  <c r="U85" i="61"/>
  <c r="U80" i="61"/>
  <c r="U75" i="61"/>
  <c r="U69" i="61"/>
  <c r="U64" i="61"/>
  <c r="U59" i="61"/>
  <c r="U53" i="61"/>
  <c r="U48" i="61"/>
  <c r="U43" i="61"/>
  <c r="U37" i="61"/>
  <c r="U32" i="61"/>
  <c r="U27" i="61"/>
  <c r="U21" i="61"/>
  <c r="U16" i="61"/>
  <c r="U11" i="61"/>
  <c r="R25" i="59"/>
  <c r="R19" i="59"/>
  <c r="R14" i="59"/>
  <c r="U245" i="61"/>
  <c r="U236" i="61"/>
  <c r="U228" i="61"/>
  <c r="U220" i="61"/>
  <c r="U212" i="61"/>
  <c r="U204" i="61"/>
  <c r="U196" i="61"/>
  <c r="U188" i="61"/>
  <c r="U180" i="61"/>
  <c r="U172" i="61"/>
  <c r="U165" i="61"/>
  <c r="U159" i="61"/>
  <c r="U153" i="61"/>
  <c r="U148" i="61"/>
  <c r="U143" i="61"/>
  <c r="U137" i="61"/>
  <c r="U132" i="61"/>
  <c r="U127" i="61"/>
  <c r="U121" i="61"/>
  <c r="U116" i="61"/>
  <c r="U111" i="61"/>
  <c r="U105" i="61"/>
  <c r="U100" i="61"/>
  <c r="U95" i="61"/>
  <c r="U89" i="61"/>
  <c r="U84" i="61"/>
  <c r="U79" i="61"/>
  <c r="U73" i="61"/>
  <c r="U68" i="61"/>
  <c r="U63" i="61"/>
  <c r="U57" i="61"/>
  <c r="U52" i="61"/>
  <c r="U47" i="61"/>
  <c r="U41" i="61"/>
  <c r="U36" i="61"/>
  <c r="U31" i="61"/>
  <c r="U25" i="61"/>
  <c r="U20" i="61"/>
  <c r="U15" i="61"/>
  <c r="R23" i="59"/>
  <c r="R18" i="59"/>
  <c r="R13" i="59"/>
  <c r="L45" i="58"/>
  <c r="L41" i="58"/>
  <c r="L37" i="58"/>
  <c r="L33" i="58"/>
  <c r="L29" i="58"/>
  <c r="L25" i="58"/>
  <c r="L21" i="58"/>
  <c r="L16" i="58"/>
  <c r="L12" i="58"/>
  <c r="L48" i="58"/>
  <c r="L44" i="58"/>
  <c r="L32" i="58"/>
  <c r="L24" i="58"/>
  <c r="L11" i="58"/>
  <c r="L47" i="58"/>
  <c r="L43" i="58"/>
  <c r="L39" i="58"/>
  <c r="L35" i="58"/>
  <c r="L31" i="58"/>
  <c r="L27" i="58"/>
  <c r="L23" i="58"/>
  <c r="L18" i="58"/>
  <c r="L14" i="58"/>
  <c r="L10" i="58"/>
  <c r="L46" i="58"/>
  <c r="L42" i="58"/>
  <c r="L38" i="58"/>
  <c r="L34" i="58"/>
  <c r="L30" i="58"/>
  <c r="L26" i="58"/>
  <c r="L22" i="58"/>
  <c r="L17" i="58"/>
  <c r="L13" i="58"/>
  <c r="L40" i="58"/>
  <c r="L36" i="58"/>
  <c r="L28" i="58"/>
  <c r="L19" i="58"/>
  <c r="L15" i="58"/>
  <c r="D23" i="88"/>
  <c r="D37" i="88"/>
  <c r="D27" i="88"/>
  <c r="D19" i="88"/>
  <c r="D33" i="88"/>
  <c r="D26" i="88"/>
  <c r="D18" i="88"/>
  <c r="D42" i="88"/>
  <c r="D31" i="88"/>
  <c r="D24" i="88"/>
  <c r="D15" i="88"/>
  <c r="D38" i="88"/>
  <c r="D29" i="88"/>
  <c r="D21" i="88"/>
  <c r="D13" i="88"/>
  <c r="D11" i="88"/>
  <c r="D12" i="88"/>
  <c r="D16" i="88"/>
  <c r="D20" i="88"/>
  <c r="D17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3">
    <s v="Migdal Hashkaot Neches Boded"/>
    <s v="{[Time].[Hie Time].[Yom].&amp;[20200630]}"/>
    <s v="{[Medida].[Medida].&amp;[2]}"/>
    <s v="{[Keren].[Keren].[All]}"/>
    <s v="{[Cheshbon KM].[Hie Peilut].[Chevra].&amp;[373]&amp;[Kod_Peilut_L7_10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8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3" si="22">
        <n x="1" s="1"/>
        <n x="20"/>
        <n x="21"/>
      </t>
    </mdx>
    <mdx n="0" f="v">
      <t c="3" si="22">
        <n x="1" s="1"/>
        <n x="23"/>
        <n x="21"/>
      </t>
    </mdx>
    <mdx n="0" f="v">
      <t c="3" si="22">
        <n x="1" s="1"/>
        <n x="24"/>
        <n x="21"/>
      </t>
    </mdx>
    <mdx n="0" f="v">
      <t c="3" si="22">
        <n x="1" s="1"/>
        <n x="25"/>
        <n x="21"/>
      </t>
    </mdx>
    <mdx n="0" f="v">
      <t c="3" si="22">
        <n x="1" s="1"/>
        <n x="26"/>
        <n x="21"/>
      </t>
    </mdx>
    <mdx n="0" f="v">
      <t c="3" si="22">
        <n x="1" s="1"/>
        <n x="27"/>
        <n x="21"/>
      </t>
    </mdx>
    <mdx n="0" f="v">
      <t c="3" si="22">
        <n x="1" s="1"/>
        <n x="28"/>
        <n x="21"/>
      </t>
    </mdx>
    <mdx n="0" f="v">
      <t c="3" si="22">
        <n x="1" s="1"/>
        <n x="29"/>
        <n x="21"/>
      </t>
    </mdx>
    <mdx n="0" f="v">
      <t c="3" si="22">
        <n x="1" s="1"/>
        <n x="30"/>
        <n x="21"/>
      </t>
    </mdx>
    <mdx n="0" f="v">
      <t c="3" si="22">
        <n x="1" s="1"/>
        <n x="31"/>
        <n x="21"/>
      </t>
    </mdx>
    <mdx n="0" f="v">
      <t c="3" si="22">
        <n x="1" s="1"/>
        <n x="32"/>
        <n x="21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<sst xmlns="http://schemas.openxmlformats.org/spreadsheetml/2006/main" count="7237" uniqueCount="2131">
  <si>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</si>
  <si>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</si>
  <si>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</si>
  <si>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</si>
  <si>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</si>
  <si>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</si>
  <si>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</si>
  <si>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</si>
  <si>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</si>
  <si>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</si>
  <si>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</si>
  <si>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</si>
  <si>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</si>
  <si>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</si>
  <si>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</si>
  <si>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</si>
  <si>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</si>
  <si>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</si>
  <si>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</si>
  <si>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</si>
  <si>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</si>
  <si>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</si>
  <si>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</si>
  <si>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</si>
  <si>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</si>
  <si>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</si>
  <si>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</si>
  <si>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</si>
  <si>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</si>
  <si>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</si>
  <si>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</si>
  <si>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</si>
  <si>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</si>
  <si>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</si>
  <si>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</si>
  <si>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</si>
  <si>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</si>
  <si>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</si>
  <si>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</si>
  <si>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</si>
  <si>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</si>
  <si>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</si>
  <si>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</si>
  <si>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</si>
  <si>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</si>
  <si>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</si>
  <si>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</si>
  <si>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</si>
  <si>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</si>
  <si>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</si>
  <si>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</si>
  <si>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</si>
  <si>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</si>
  <si>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</si>
  <si>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</si>
  <si>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</si>
  <si>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</si>
  <si>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</si>
  <si>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</si>
  <si>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</si>
  <si>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</si>
  <si>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</si>
  <si>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</si>
  <si>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</si>
  <si>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</si>
  <si>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</si>
  <si>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</si>
  <si>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</si>
  <si>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</si>
  <si>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</si>
  <si>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</si>
  <si>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</si>
  <si>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</si>
  <si>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</si>
  <si>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</si>
  <si>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</si>
  <si>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</si>
  <si>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</si>
  <si>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</si>
  <si>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</si>
  <si>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</si>
  <si>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</si>
  <si>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</si>
  <si>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</si>
  <si>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</si>
  <si>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</si>
  <si>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</si>
  <si>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</si>
  <si>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</si>
  <si>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</si>
  <si>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</si>
  <si>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</si>
  <si>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</si>
  <si>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</si>
  <si>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</si>
  <si>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</si>
  <si>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</si>
  <si>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</si>
  <si>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</si>
  <si>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</si>
  <si>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</si>
  <si>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</si>
  <si>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</si>
  <si>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</si>
  <si>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</si>
  <si>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</si>
  <si>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</si>
  <si>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</si>
  <si>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</si>
  <si>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</si>
  <si>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</si>
  <si>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</si>
  <si>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</si>
  <si>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</si>
  <si>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</si>
  <si>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</si>
  <si>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</si>
  <si>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</si>
  <si>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</si>
  <si>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</si>
  <si>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</si>
  <si>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</si>
  <si>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</si>
  <si>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</si>
  <si>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</si>
  <si>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</si>
  <si>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</si>
  <si>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</si>
  <si>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</si>
  <si>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</si>
  <si>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</si>
  <si>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</si>
  <si>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</si>
  <si>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</si>
  <si>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</si>
  <si>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</si>
  <si>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</si>
  <si>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</si>
  <si>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</si>
  <si>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</si>
  <si>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</si>
  <si>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</si>
  <si>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</si>
  <si>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</si>
  <si>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</si>
  <si>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</si>
  <si>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</si>
  <si>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</si>
  <si>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</si>
  <si>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</si>
  <si>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</si>
  <si>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</si>
  <si>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</si>
  <si>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</si>
  <si>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</si>
  <si>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</si>
  <si>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</si>
  <si>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</si>
  <si>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</si>
  <si>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</si>
  <si>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</si>
  <si>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</si>
  <si>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</si>
  <si>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</si>
  <si>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</si>
  <si>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</si>
  <si>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</si>
  <si>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</si>
  <si>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</si>
  <si>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</si>
  <si>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</si>
  <si>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</si>
  <si>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</si>
  <si>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</si>
  <si>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</si>
  <si>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</si>
  <si>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</si>
  <si>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</si>
  <si>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</si>
  <si>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</si>
  <si>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</si>
  <si>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</si>
  <si>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</si>
  <si>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</si>
  <si>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</si>
  <si>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</si>
  <si>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</si>
  <si>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</si>
  <si>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</si>
  <si>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</si>
  <si>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</si>
  <si>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</si>
  <si>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</si>
  <si>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</si>
  <si>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</si>
  <si>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</si>
  <si>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</si>
  <si>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</si>
  <si>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</si>
  <si>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</si>
  <si>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</si>
  <si>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</si>
  <si>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</si>
  <si>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</si>
  <si>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</si>
  <si>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</si>
  <si>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</si>
  <si>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</si>
  <si>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</si>
  <si>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</si>
  <si>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</si>
  <si>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</si>
  <si>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</si>
  <si>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</si>
  <si>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</si>
  <si>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</si>
  <si>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</si>
  <si>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</si>
  <si>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</si>
  <si>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</si>
  <si>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</si>
  <si>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</si>
  <si>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</si>
  <si>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</si>
  <si>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</si>
  <si>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</si>
  <si>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</si>
  <si>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</si>
  <si>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</si>
  <si>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</si>
  <si>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</si>
  <si>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</si>
  <si>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</si>
  <si>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</si>
  <si>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</si>
  <si>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</si>
  <si>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</si>
  <si>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</si>
  <si>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</si>
  <si>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</si>
  <si>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</si>
  <si>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</si>
  <si>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</si>
  <si>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</si>
  <si>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</si>
  <si>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</si>
  <si>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</si>
  <si>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</si>
  <si>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</si>
  <si>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</si>
  <si>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</si>
  <si>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</si>
  <si>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30/06/2020</t>
  </si>
  <si>
    <t>מגדל מקפת קרנות פנסיה וקופות גמל בע"מ</t>
  </si>
  <si>
    <t>מגדל מקפת אישית (מספר אוצר 162) - מסלול לזכאים קיימים לקצבה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</si>
  <si>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</si>
  <si>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</si>
  <si>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</si>
  <si>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</si>
  <si>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</si>
  <si>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</si>
  <si>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</si>
  <si>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</si>
  <si>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</si>
  <si>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</si>
  <si>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</si>
  <si>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</si>
  <si>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</si>
  <si>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</si>
  <si>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</si>
  <si>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</si>
  <si>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</si>
  <si>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</si>
  <si>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</si>
  <si>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</si>
  <si>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</si>
  <si>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</si>
  <si>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</si>
  <si>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</si>
  <si>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</si>
  <si>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</si>
  <si>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</si>
  <si>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</si>
  <si>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</si>
  <si>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</si>
  <si>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</si>
  <si>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</si>
  <si>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</si>
  <si>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</si>
  <si>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</si>
  <si>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</si>
  <si>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</si>
  <si>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</si>
  <si>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</si>
  <si>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</si>
  <si>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</si>
  <si>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</si>
  <si>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</si>
  <si>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</si>
  <si>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</si>
  <si>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</si>
  <si>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</si>
  <si>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</si>
  <si>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</si>
  <si>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</si>
  <si>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</si>
  <si>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</si>
  <si>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</si>
  <si>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</si>
  <si>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</si>
  <si>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</si>
  <si>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</si>
  <si>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</si>
  <si>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</si>
  <si>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</si>
  <si>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</si>
  <si>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</si>
  <si>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</si>
  <si>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</si>
  <si>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</si>
  <si>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</si>
  <si>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</si>
  <si>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</si>
  <si>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</si>
  <si>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</si>
  <si>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</si>
  <si>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</si>
  <si>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</si>
  <si>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</si>
  <si>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</si>
  <si>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</si>
  <si>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</si>
  <si>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</si>
  <si>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</si>
  <si>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</si>
  <si>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</si>
  <si>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</si>
  <si>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</si>
  <si>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</si>
  <si>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</si>
  <si>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</si>
  <si>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</si>
  <si>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</si>
  <si>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</si>
  <si>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</si>
  <si>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</si>
  <si>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</si>
  <si>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</si>
  <si>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</si>
  <si>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</si>
  <si>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</si>
  <si>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</si>
  <si>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</si>
  <si>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</si>
  <si>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</si>
  <si>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</si>
  <si>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</si>
  <si>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</si>
  <si>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</si>
  <si>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</si>
  <si>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</si>
  <si>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</si>
  <si>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</si>
  <si>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</si>
  <si>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</si>
  <si>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</si>
  <si>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</si>
  <si>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</si>
  <si>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</si>
  <si>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</si>
  <si>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</si>
  <si>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</si>
  <si>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</si>
  <si>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</si>
  <si>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</si>
  <si>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</si>
  <si>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</si>
  <si>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</si>
  <si>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</si>
  <si>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</si>
  <si>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</si>
  <si>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</si>
  <si>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</si>
  <si>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</si>
  <si>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</si>
  <si>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</si>
  <si>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</si>
  <si>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</si>
  <si>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</si>
  <si>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</si>
  <si>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</si>
  <si>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</si>
  <si>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</si>
  <si>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</si>
  <si>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</si>
  <si>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</si>
  <si>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</si>
  <si>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</si>
  <si>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</si>
  <si>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</si>
  <si>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</si>
  <si>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</si>
  <si>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</si>
  <si>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</si>
  <si>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</si>
  <si>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</si>
  <si>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</si>
  <si>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</si>
  <si>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</si>
  <si>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</si>
  <si>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</si>
  <si>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</si>
  <si>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</si>
  <si>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</si>
  <si>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</si>
  <si>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</si>
  <si>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</si>
  <si>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</si>
  <si>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</si>
  <si>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</si>
  <si>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</si>
  <si>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</si>
  <si>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</si>
  <si>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</si>
  <si>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</si>
  <si>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</si>
  <si>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</si>
  <si>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</si>
  <si>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</si>
  <si>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</si>
  <si>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</si>
  <si>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</si>
  <si>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</si>
  <si>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</si>
  <si>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</si>
  <si>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</si>
  <si>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</si>
  <si>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</si>
  <si>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</si>
  <si>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</si>
  <si>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</si>
  <si>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</si>
  <si>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</si>
  <si>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</si>
  <si>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</si>
  <si>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</si>
  <si>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</si>
  <si>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</si>
  <si>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</si>
  <si>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</si>
  <si>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</si>
  <si>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</si>
  <si>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</si>
  <si>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</si>
  <si>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</si>
  <si>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</si>
  <si>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</si>
  <si>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</si>
  <si>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</si>
  <si>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</si>
  <si>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</si>
  <si>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</si>
  <si>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</si>
  <si>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</si>
  <si>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</si>
  <si>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</si>
  <si>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</si>
  <si>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</si>
  <si>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</si>
  <si>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</si>
  <si>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</si>
  <si>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</si>
  <si>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</si>
  <si>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</si>
  <si>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</si>
  <si>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</si>
  <si>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</si>
  <si>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</si>
  <si>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</si>
  <si>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</si>
  <si>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</si>
  <si>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</si>
  <si>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</si>
  <si>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</si>
  <si>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</si>
  <si>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</si>
  <si>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</si>
  <si>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</si>
  <si>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</si>
  <si>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</si>
  <si>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</si>
  <si>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</si>
  <si>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</si>
  <si>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</si>
  <si>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</si>
  <si>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</si>
  <si>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</si>
  <si>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</si>
  <si>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</si>
  <si>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</si>
  <si>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</si>
  <si>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</si>
  <si>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</si>
  <si>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</si>
  <si>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</si>
  <si>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</si>
  <si>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</si>
  <si>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</si>
  <si>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</si>
  <si>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</si>
  <si>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</si>
  <si>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</si>
  <si>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</si>
  <si>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</si>
  <si>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</si>
  <si>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</si>
  <si>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</si>
  <si>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</si>
  <si>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</si>
  <si>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</si>
  <si>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</si>
  <si>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</si>
  <si>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</si>
  <si>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</si>
  <si>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</si>
  <si>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</si>
  <si>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</si>
  <si>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</si>
  <si>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</si>
  <si>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</si>
  <si>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</si>
  <si>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</si>
  <si>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</si>
  <si>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</si>
  <si>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</si>
  <si>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</si>
  <si>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</si>
  <si>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</si>
  <si>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</si>
  <si>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</si>
  <si>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</si>
  <si>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</si>
  <si>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</si>
  <si>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</si>
  <si>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</si>
  <si>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</si>
  <si>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</si>
  <si>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</si>
  <si>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</si>
  <si>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</si>
  <si>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</si>
  <si>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</si>
  <si>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</si>
  <si>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</si>
  <si>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</si>
  <si>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</si>
  <si>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</si>
  <si>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</si>
  <si>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</si>
  <si>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</si>
  <si>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</si>
  <si>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</si>
  <si>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</si>
  <si>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</si>
  <si>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</si>
  <si>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</si>
  <si>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</si>
  <si>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</si>
  <si>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</si>
  <si>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</si>
  <si>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</si>
  <si>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</si>
  <si>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</si>
  <si>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</si>
  <si>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</si>
  <si>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</si>
  <si>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</si>
  <si>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</si>
  <si>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</si>
  <si>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</si>
  <si>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</si>
  <si>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</si>
  <si>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</si>
  <si>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</si>
  <si>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</si>
  <si>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</si>
  <si>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</si>
  <si>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</si>
  <si>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</si>
  <si>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</si>
  <si>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</si>
  <si>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</si>
  <si>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</si>
  <si>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</si>
  <si>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</si>
  <si>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</si>
  <si>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</si>
  <si>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</si>
  <si>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</si>
  <si>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</si>
  <si>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</si>
  <si>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</si>
  <si>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</si>
  <si>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</si>
  <si>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</si>
  <si>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</si>
  <si>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</si>
  <si>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</si>
  <si>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</si>
  <si>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</si>
  <si>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</si>
  <si>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</si>
  <si>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</si>
  <si>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</si>
  <si>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</si>
  <si>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</si>
  <si>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</si>
  <si>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</si>
  <si>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</si>
  <si>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</si>
  <si>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</si>
  <si>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</si>
  <si>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</si>
  <si>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</si>
  <si>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</si>
  <si>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</si>
  <si>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</si>
  <si>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</si>
  <si>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</si>
  <si>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</si>
  <si>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</si>
  <si>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</si>
  <si>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</si>
  <si>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</si>
  <si>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</si>
  <si>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</si>
  <si>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</si>
  <si>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</si>
  <si>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</si>
  <si>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</si>
  <si>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</si>
  <si>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</si>
  <si>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</si>
  <si>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</si>
  <si>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</si>
  <si>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</si>
  <si>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</si>
  <si>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</si>
  <si>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</si>
  <si>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</si>
  <si>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</si>
  <si>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</si>
  <si>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</si>
  <si>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</si>
  <si>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</si>
  <si>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</si>
  <si>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</si>
  <si>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</si>
  <si>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</si>
  <si>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</si>
  <si>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</si>
  <si>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</si>
  <si>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</si>
  <si>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</si>
  <si>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</si>
  <si>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</si>
  <si>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</si>
  <si>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</si>
  <si>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</si>
  <si>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</si>
  <si>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</si>
  <si>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</si>
  <si>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</si>
  <si>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</si>
  <si>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</si>
  <si>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</si>
  <si>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</si>
  <si>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</si>
  <si>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</si>
  <si>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</si>
  <si>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</si>
  <si>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</si>
  <si>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</si>
  <si>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</si>
  <si>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</si>
  <si>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</si>
  <si>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</si>
  <si>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</si>
  <si>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</si>
  <si>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</si>
  <si>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</si>
  <si>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</si>
  <si>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</si>
  <si>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</si>
  <si>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</si>
  <si>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</si>
  <si>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</si>
  <si>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</si>
  <si>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</si>
  <si>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</si>
  <si>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</si>
  <si>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</si>
  <si>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</si>
  <si>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</si>
  <si>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</si>
  <si>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</si>
  <si>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</si>
  <si>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</si>
  <si>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</si>
  <si>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</si>
  <si>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</si>
  <si>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</si>
  <si>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</si>
  <si>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</si>
  <si>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</si>
  <si>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</si>
  <si>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</si>
  <si>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</si>
  <si>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</si>
  <si>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</si>
  <si>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</si>
  <si>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</si>
  <si>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</si>
  <si>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</si>
  <si>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</si>
  <si>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</si>
  <si>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</si>
  <si>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</si>
  <si>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</si>
  <si>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</si>
  <si>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</si>
  <si>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</si>
  <si>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</si>
  <si>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</si>
  <si>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</si>
  <si>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</si>
  <si>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</si>
  <si>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</si>
  <si>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</si>
  <si>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</si>
  <si>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</si>
  <si>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</si>
  <si>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</si>
  <si>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</si>
  <si>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</si>
  <si>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</si>
  <si>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</si>
  <si>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</si>
  <si>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</si>
  <si>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</si>
  <si>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</si>
  <si>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</si>
  <si>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</si>
  <si>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</si>
  <si>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</si>
  <si>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</si>
  <si>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</si>
  <si>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</si>
  <si>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</si>
  <si>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</si>
  <si>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</si>
  <si>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</si>
  <si>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</si>
  <si>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</si>
  <si>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</si>
  <si>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</si>
  <si>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</si>
  <si>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</si>
  <si>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</si>
  <si>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</si>
  <si>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</si>
  <si>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</si>
  <si>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</si>
  <si>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</si>
  <si>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</si>
  <si>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</si>
  <si>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</si>
  <si>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</si>
  <si>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</si>
  <si>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</si>
  <si>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</si>
  <si>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</si>
  <si>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</si>
  <si>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</si>
  <si>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</si>
  <si>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</si>
  <si>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</si>
  <si>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</si>
  <si>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</si>
  <si>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</si>
  <si>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</si>
  <si>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</si>
  <si>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</si>
  <si>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</si>
  <si>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</si>
  <si>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</si>
  <si>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</si>
  <si>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</si>
  <si>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</si>
  <si>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</si>
  <si>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</si>
  <si>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</si>
  <si>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</si>
  <si>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</si>
  <si>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</si>
  <si>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</si>
  <si>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</si>
  <si>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</si>
  <si>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</si>
  <si>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</si>
  <si>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</si>
  <si>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</si>
  <si>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</si>
  <si>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</si>
  <si>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</si>
  <si>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</si>
  <si>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</si>
  <si>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</si>
  <si>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</si>
  <si>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</si>
  <si>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</si>
  <si>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</si>
  <si>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</si>
  <si>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</si>
  <si>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</si>
  <si>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</si>
  <si>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</si>
  <si>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</si>
  <si>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</si>
  <si>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</si>
  <si>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</si>
  <si>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</si>
  <si>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</si>
  <si>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</si>
  <si>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</si>
  <si>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</si>
  <si>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</si>
  <si>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</si>
  <si>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</si>
  <si>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</si>
  <si>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</si>
  <si>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</si>
  <si>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</si>
  <si>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</si>
  <si>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</si>
  <si>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</si>
  <si>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</si>
  <si>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</si>
  <si>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</si>
  <si>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</si>
  <si>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</si>
  <si>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</si>
  <si>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</si>
  <si>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</si>
  <si>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</si>
  <si>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</si>
  <si>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סה"כ תל אביב 35</t>
  </si>
  <si>
    <t>אורמת טכנולוגיות*</t>
  </si>
  <si>
    <t>1134402</t>
  </si>
  <si>
    <t>520036716</t>
  </si>
  <si>
    <t>איי סי אל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</si>
  <si>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</si>
  <si>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</si>
  <si>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</si>
  <si>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</si>
  <si>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</si>
  <si>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</si>
  <si>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</si>
  <si>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</si>
  <si>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</si>
  <si>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</si>
  <si>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</si>
  <si>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</si>
  <si>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</si>
  <si>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</si>
  <si>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</si>
  <si>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</si>
  <si>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</si>
  <si>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</si>
  <si>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</si>
  <si>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520029083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</si>
  <si>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</si>
  <si>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</si>
  <si>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</si>
  <si>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</si>
  <si>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</si>
  <si>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</si>
  <si>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</si>
  <si>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</si>
  <si>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520017450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</si>
  <si>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</si>
  <si>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</si>
  <si>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</si>
  <si>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</si>
  <si>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</si>
  <si>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</si>
  <si>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</si>
  <si>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</si>
  <si>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</si>
  <si>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</si>
  <si>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</si>
  <si>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</si>
  <si>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</si>
  <si>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</si>
  <si>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</si>
  <si>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</si>
  <si>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</si>
  <si>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</si>
  <si>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</si>
  <si>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</si>
  <si>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</si>
  <si>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</si>
  <si>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</si>
  <si>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</si>
  <si>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</si>
  <si>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</si>
  <si>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</si>
  <si>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</si>
  <si>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</si>
  <si>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</si>
  <si>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</si>
  <si>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</si>
  <si>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</si>
  <si>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</si>
  <si>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</si>
  <si>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</si>
  <si>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</si>
  <si>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</si>
  <si>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</si>
  <si>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</si>
  <si>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</si>
  <si>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</si>
  <si>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</si>
  <si>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</si>
  <si>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</si>
  <si>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</si>
  <si>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</si>
  <si>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</si>
  <si>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</si>
  <si>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</si>
  <si>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</si>
  <si>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</si>
  <si>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</si>
  <si>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</si>
  <si>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</si>
  <si>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</si>
  <si>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</si>
  <si>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</si>
  <si>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</si>
  <si>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</si>
  <si>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</si>
  <si>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</si>
  <si>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</si>
  <si>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</si>
  <si>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</si>
  <si>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</si>
  <si>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</si>
  <si>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</si>
  <si>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</si>
  <si>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</si>
  <si>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</si>
  <si>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</si>
  <si>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</si>
  <si>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</si>
  <si>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</si>
  <si>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</si>
  <si>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</si>
  <si>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</si>
  <si>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</si>
  <si>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</si>
  <si>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</si>
  <si>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</si>
  <si>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</si>
  <si>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</si>
  <si>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</si>
  <si>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</si>
  <si>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</si>
  <si>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</si>
  <si>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</si>
  <si>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</si>
  <si>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</si>
  <si>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</si>
  <si>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</si>
  <si>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</si>
  <si>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</si>
  <si>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</si>
  <si>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</si>
  <si>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</si>
  <si>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</si>
  <si>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</si>
  <si>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</si>
  <si>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</si>
  <si>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</si>
  <si>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</si>
  <si>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</si>
  <si>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</si>
  <si>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</si>
  <si>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</si>
  <si>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</si>
  <si>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</si>
  <si>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</si>
  <si>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</si>
  <si>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</si>
  <si>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</si>
  <si>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</si>
  <si>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</si>
  <si>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</si>
  <si>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</si>
  <si>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</si>
  <si>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</si>
  <si>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</si>
  <si>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</si>
  <si>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</si>
  <si>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</si>
  <si>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</si>
  <si>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</si>
  <si>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</si>
  <si>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</si>
  <si>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</si>
  <si>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</si>
  <si>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</si>
  <si>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</si>
  <si>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</si>
  <si>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</si>
  <si>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</si>
  <si>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</si>
  <si>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</si>
  <si>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</si>
  <si>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</si>
  <si>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</si>
  <si>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</si>
  <si>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</si>
  <si>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</si>
  <si>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</si>
  <si>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</si>
  <si>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</si>
  <si>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</si>
  <si>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</si>
  <si>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</si>
  <si>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</si>
  <si>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</si>
  <si>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</si>
  <si>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</si>
  <si>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</si>
  <si>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</si>
  <si>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</si>
  <si>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</si>
  <si>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</si>
  <si>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</si>
  <si>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</si>
  <si>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</si>
  <si>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</si>
  <si>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</si>
  <si>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</si>
  <si>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</si>
  <si>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</si>
  <si>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</si>
  <si>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</si>
  <si>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</si>
  <si>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</si>
  <si>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</si>
  <si>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</si>
  <si>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</si>
  <si>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</si>
  <si>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</si>
  <si>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</si>
  <si>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</si>
  <si>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</si>
  <si>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</si>
  <si>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</si>
  <si>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</si>
  <si>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</si>
  <si>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</si>
  <si>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</si>
  <si>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</si>
  <si>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</si>
  <si>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</si>
  <si>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</si>
  <si>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</si>
  <si>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</si>
  <si>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</si>
  <si>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</si>
  <si>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</si>
  <si>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</si>
  <si>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</si>
  <si>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</si>
  <si>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</si>
  <si>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</si>
  <si>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</si>
  <si>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</si>
  <si>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</si>
  <si>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</si>
  <si>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</si>
  <si>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</si>
  <si>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</si>
  <si>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</si>
  <si>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</si>
  <si>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</si>
  <si>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</si>
  <si>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</si>
  <si>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</si>
  <si>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</si>
  <si>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</si>
  <si>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</si>
  <si>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</si>
  <si>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</si>
  <si>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</si>
  <si>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</si>
  <si>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</si>
  <si>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</si>
  <si>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</si>
  <si>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</si>
  <si>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</si>
  <si>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</si>
  <si>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</si>
  <si>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</si>
  <si>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</si>
  <si>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</si>
  <si>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</si>
  <si>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</si>
  <si>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</si>
  <si>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</si>
  <si>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</si>
  <si>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</si>
  <si>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</si>
  <si>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</si>
  <si>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</si>
  <si>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</si>
  <si>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</si>
  <si>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</si>
  <si>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</si>
  <si>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</si>
  <si>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</si>
  <si>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</si>
  <si>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</si>
  <si>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</si>
  <si>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</si>
  <si>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</si>
  <si>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</si>
  <si>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</si>
  <si>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</si>
  <si>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</si>
  <si>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</si>
  <si>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</si>
  <si>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</si>
  <si>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</si>
  <si>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</si>
  <si>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</si>
  <si>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</si>
  <si>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</si>
  <si>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</si>
  <si>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</si>
  <si>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</si>
  <si>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</si>
  <si>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</si>
  <si>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</si>
  <si>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</si>
  <si>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</si>
  <si>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</si>
  <si>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</si>
  <si>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</si>
  <si>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</si>
  <si>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</si>
  <si>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</si>
  <si>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</si>
  <si>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</si>
  <si>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</si>
  <si>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</si>
  <si>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</si>
  <si>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</si>
  <si>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</si>
  <si>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</si>
  <si>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</si>
  <si>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</si>
  <si>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</si>
  <si>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</si>
  <si>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</si>
  <si>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</si>
  <si>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</si>
  <si>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</si>
  <si>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</si>
  <si>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</si>
  <si>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</si>
  <si>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</si>
  <si>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</si>
  <si>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</si>
  <si>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</si>
  <si>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</si>
  <si>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</si>
  <si>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</si>
  <si>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</si>
  <si>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</si>
  <si>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</si>
  <si>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</si>
  <si>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</si>
  <si>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</si>
  <si>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</si>
  <si>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</si>
  <si>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</si>
  <si>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</si>
  <si>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</si>
  <si>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</si>
  <si>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</si>
  <si>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</si>
  <si>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</si>
  <si>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</si>
  <si>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</si>
  <si>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</si>
  <si>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</si>
  <si>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</si>
  <si>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</si>
  <si>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</si>
  <si>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</si>
  <si>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</si>
  <si>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</si>
  <si>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</si>
  <si>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</si>
  <si>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</si>
  <si>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</si>
  <si>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</si>
  <si>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</si>
  <si>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</si>
  <si>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</si>
  <si>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</si>
  <si>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</si>
  <si>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</si>
  <si>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</si>
  <si>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</si>
  <si>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</si>
  <si>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</si>
  <si>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</si>
  <si>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</si>
  <si>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</si>
  <si>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</si>
  <si>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</si>
  <si>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</si>
  <si>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</si>
  <si>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</si>
  <si>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</si>
  <si>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</si>
  <si>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</si>
  <si>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</si>
  <si>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</si>
  <si>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</si>
  <si>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</si>
  <si>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</si>
  <si>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</si>
  <si>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</si>
  <si>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</si>
  <si>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</si>
  <si>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</si>
  <si>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</si>
  <si>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</si>
  <si>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</si>
  <si>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</si>
  <si>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</si>
  <si>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</si>
  <si>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</si>
  <si>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</si>
  <si>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</si>
  <si>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</si>
  <si>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</si>
  <si>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</si>
  <si>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</si>
  <si>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HOLDING_SP ADR</t>
  </si>
  <si>
    <t>US01609W1027</t>
  </si>
  <si>
    <t>ALPHABET INC CL C</t>
  </si>
  <si>
    <t>US02079K1079</t>
  </si>
  <si>
    <t>Media</t>
  </si>
  <si>
    <t>AMAZON.COM INC</t>
  </si>
  <si>
    <t>US0231351067</t>
  </si>
  <si>
    <t>AMERICAN EXPRESS</t>
  </si>
  <si>
    <t>US0258161092</t>
  </si>
  <si>
    <t>Diversified Financials</t>
  </si>
  <si>
    <t>AMERICAN TOWER</t>
  </si>
  <si>
    <t>US03027X1000</t>
  </si>
  <si>
    <t>Real Estate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</si>
  <si>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</si>
  <si>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</si>
  <si>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</si>
  <si>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</si>
  <si>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</si>
  <si>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</si>
  <si>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</si>
  <si>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</si>
  <si>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Automobiles &amp; Components</t>
  </si>
  <si>
    <t>BANK OF AMERICA CORP</t>
  </si>
  <si>
    <t>US0605051046</t>
  </si>
  <si>
    <t>Banks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</si>
  <si>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</si>
  <si>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</si>
  <si>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</si>
  <si>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</si>
  <si>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</si>
  <si>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</si>
  <si>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</si>
  <si>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</si>
  <si>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</si>
  <si>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</si>
  <si>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</si>
  <si>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TELECOMMUNICATION SERVICES</t>
  </si>
  <si>
    <t>CENTENE CORP</t>
  </si>
  <si>
    <t>US15135B1017</t>
  </si>
  <si>
    <t>Health Care Equipment &amp; Services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</si>
  <si>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</si>
  <si>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</si>
  <si>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</si>
  <si>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</si>
  <si>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</si>
  <si>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</si>
  <si>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</si>
  <si>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</si>
  <si>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</si>
  <si>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</si>
  <si>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Transportation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</si>
  <si>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</si>
  <si>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</si>
  <si>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</si>
  <si>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</si>
  <si>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</si>
  <si>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</si>
  <si>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</si>
  <si>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</si>
  <si>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</si>
  <si>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</si>
  <si>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</si>
  <si>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</si>
  <si>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</si>
  <si>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</si>
  <si>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</si>
  <si>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</si>
  <si>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</si>
  <si>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</si>
  <si>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</si>
  <si>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</si>
  <si>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</si>
  <si>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</si>
  <si>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</si>
  <si>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</si>
  <si>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</si>
  <si>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</si>
  <si>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</si>
  <si>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</si>
  <si>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</si>
  <si>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</si>
  <si>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</si>
  <si>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</si>
  <si>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</si>
  <si>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</si>
  <si>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</si>
  <si>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</si>
  <si>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</si>
  <si>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</si>
  <si>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</si>
  <si>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</si>
  <si>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</si>
  <si>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</si>
  <si>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</si>
  <si>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</si>
  <si>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</si>
  <si>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</si>
  <si>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</si>
  <si>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MATERIALS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</si>
  <si>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</si>
  <si>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</si>
  <si>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</si>
  <si>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</si>
  <si>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</si>
  <si>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</si>
  <si>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</si>
  <si>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</si>
  <si>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</si>
  <si>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</si>
  <si>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</si>
  <si>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</si>
  <si>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</si>
  <si>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</si>
  <si>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</si>
  <si>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Food Beverage &amp; Tobacco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</si>
  <si>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</si>
  <si>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</si>
  <si>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</si>
  <si>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</si>
  <si>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</si>
  <si>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</si>
  <si>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</si>
  <si>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</si>
  <si>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</si>
  <si>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</si>
  <si>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</si>
  <si>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</si>
  <si>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</si>
  <si>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</si>
  <si>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</si>
  <si>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</si>
  <si>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</si>
  <si>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</si>
  <si>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</si>
  <si>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</si>
  <si>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</si>
  <si>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</si>
  <si>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</si>
  <si>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</si>
  <si>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</si>
  <si>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</si>
  <si>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</si>
  <si>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</si>
  <si>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</si>
  <si>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</si>
  <si>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</si>
  <si>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</si>
  <si>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</si>
  <si>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</si>
  <si>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</si>
  <si>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</si>
  <si>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</si>
  <si>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</si>
  <si>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</si>
  <si>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</si>
  <si>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</si>
  <si>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</si>
  <si>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</si>
  <si>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</si>
  <si>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</si>
  <si>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</si>
  <si>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</si>
  <si>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</si>
  <si>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</si>
  <si>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</si>
  <si>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</si>
  <si>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</si>
  <si>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</si>
  <si>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</si>
  <si>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</si>
  <si>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</si>
  <si>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</si>
  <si>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</si>
  <si>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</si>
  <si>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Food &amp; Staples Retailing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</si>
  <si>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</si>
  <si>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</si>
  <si>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</si>
  <si>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</si>
  <si>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</si>
  <si>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</si>
  <si>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</si>
  <si>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</si>
  <si>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</si>
  <si>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</si>
  <si>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</si>
  <si>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</si>
  <si>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</si>
  <si>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</si>
  <si>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</si>
  <si>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</si>
  <si>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</si>
  <si>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</si>
  <si>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</si>
  <si>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</si>
  <si>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</si>
  <si>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</si>
  <si>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</si>
  <si>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</si>
  <si>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</si>
  <si>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</si>
  <si>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</si>
  <si>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</si>
  <si>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</si>
  <si>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</si>
  <si>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</si>
  <si>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</si>
  <si>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</si>
  <si>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</si>
  <si>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</si>
  <si>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</si>
  <si>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</si>
  <si>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</si>
  <si>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</si>
  <si>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</si>
  <si>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</si>
  <si>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</si>
  <si>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</si>
  <si>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</si>
  <si>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</si>
  <si>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</si>
  <si>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</si>
  <si>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</si>
  <si>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</si>
  <si>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</si>
  <si>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</si>
  <si>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</si>
  <si>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</si>
  <si>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</si>
  <si>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</si>
  <si>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</si>
  <si>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</si>
  <si>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</si>
  <si>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</si>
  <si>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</si>
  <si>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</si>
  <si>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</si>
  <si>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</si>
  <si>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</si>
  <si>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</si>
  <si>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</si>
  <si>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</si>
  <si>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</si>
  <si>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</si>
  <si>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</si>
  <si>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</si>
  <si>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</si>
  <si>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</si>
  <si>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</si>
  <si>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</si>
  <si>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</si>
  <si>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</si>
  <si>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</si>
  <si>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</si>
  <si>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</si>
  <si>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</si>
  <si>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</si>
  <si>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</si>
  <si>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</si>
  <si>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</si>
  <si>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</si>
  <si>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</si>
  <si>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</si>
  <si>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</si>
  <si>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</si>
  <si>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</si>
  <si>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</si>
  <si>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</si>
  <si>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</si>
  <si>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</si>
  <si>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</si>
  <si>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</si>
  <si>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</si>
  <si>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</si>
  <si>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</si>
  <si>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</si>
  <si>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</si>
  <si>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</si>
  <si>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</si>
  <si>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</si>
  <si>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</si>
  <si>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</si>
  <si>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</si>
  <si>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</si>
  <si>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</si>
  <si>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</si>
  <si>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</si>
  <si>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</si>
  <si>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</si>
  <si>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</si>
  <si>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</si>
  <si>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</si>
  <si>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</si>
  <si>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</si>
  <si>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</si>
  <si>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</si>
  <si>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</si>
  <si>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</si>
  <si>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</si>
  <si>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</si>
  <si>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</si>
  <si>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</si>
  <si>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</si>
  <si>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</si>
  <si>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</si>
  <si>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</si>
  <si>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</si>
  <si>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</si>
  <si>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</si>
  <si>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</si>
  <si>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</si>
  <si>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</si>
  <si>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</si>
  <si>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</si>
  <si>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</si>
  <si>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</si>
  <si>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</si>
  <si>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</si>
  <si>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</si>
  <si>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</si>
  <si>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</si>
  <si>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</si>
  <si>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</si>
  <si>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</si>
  <si>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</si>
  <si>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</si>
  <si>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</si>
  <si>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</si>
  <si>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</si>
  <si>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</si>
  <si>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</si>
  <si>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</si>
  <si>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</si>
  <si>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</si>
  <si>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</si>
  <si>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</si>
  <si>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</si>
  <si>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</si>
  <si>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</si>
  <si>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</si>
  <si>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</si>
  <si>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</si>
  <si>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</si>
  <si>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</si>
  <si>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</si>
  <si>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</si>
  <si>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</si>
  <si>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</si>
  <si>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</si>
  <si>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</si>
  <si>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ערד   4.8%   סדרה  8730</t>
  </si>
  <si>
    <t>8287302</t>
  </si>
  <si>
    <t>ערד   4.8%   סדרה  8731</t>
  </si>
  <si>
    <t>8287310</t>
  </si>
  <si>
    <t>ערד   4.8%   סדרה  8733</t>
  </si>
  <si>
    <t>8287336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</si>
  <si>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</si>
  <si>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</si>
  <si>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</si>
  <si>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</si>
  <si>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</si>
  <si>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</si>
  <si>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8786_1/2027</t>
  </si>
  <si>
    <t>71116487</t>
  </si>
  <si>
    <t>ערד 8796</t>
  </si>
  <si>
    <t>98796000</t>
  </si>
  <si>
    <t>ערד 8798</t>
  </si>
  <si>
    <t>98798000</t>
  </si>
  <si>
    <t>ערד 8800</t>
  </si>
  <si>
    <t>98800000</t>
  </si>
  <si>
    <t>ערד 8802</t>
  </si>
  <si>
    <t>ערד 8803</t>
  </si>
  <si>
    <t>71121057</t>
  </si>
  <si>
    <t>ערד 8805</t>
  </si>
  <si>
    <t>ערד 8807</t>
  </si>
  <si>
    <t>3236000</t>
  </si>
  <si>
    <t>ערד 8808</t>
  </si>
  <si>
    <t>3275000</t>
  </si>
  <si>
    <t>ערד 8809</t>
  </si>
  <si>
    <t>3322000</t>
  </si>
  <si>
    <t>ערד 8812</t>
  </si>
  <si>
    <t>98812000</t>
  </si>
  <si>
    <t>ערד 8813</t>
  </si>
  <si>
    <t>98813000</t>
  </si>
  <si>
    <t>ערד 8815</t>
  </si>
  <si>
    <t>98815000</t>
  </si>
  <si>
    <t>ערד 8820</t>
  </si>
  <si>
    <t>98820000</t>
  </si>
  <si>
    <t>ערד 8821</t>
  </si>
  <si>
    <t>98821000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</si>
  <si>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</si>
  <si>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</si>
  <si>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</si>
  <si>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</si>
  <si>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</si>
  <si>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</si>
  <si>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</si>
  <si>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</si>
  <si>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8833</t>
  </si>
  <si>
    <t>8833000</t>
  </si>
  <si>
    <t>ערד 8834</t>
  </si>
  <si>
    <t>8834000</t>
  </si>
  <si>
    <t>ערד 8837</t>
  </si>
  <si>
    <t>8837000</t>
  </si>
  <si>
    <t>ערד 8839</t>
  </si>
  <si>
    <t>8839000</t>
  </si>
  <si>
    <t>ערד 8840</t>
  </si>
  <si>
    <t>8840000</t>
  </si>
  <si>
    <t>ערד 8841</t>
  </si>
  <si>
    <t>8841000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</si>
  <si>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</si>
  <si>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</si>
  <si>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</si>
  <si>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</si>
  <si>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</si>
  <si>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</si>
  <si>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</si>
  <si>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</si>
  <si>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</si>
  <si>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</si>
  <si>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</si>
  <si>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</si>
  <si>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8852</t>
  </si>
  <si>
    <t>8852000</t>
  </si>
  <si>
    <t>ערד 8853</t>
  </si>
  <si>
    <t>8853000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</si>
  <si>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</si>
  <si>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</si>
  <si>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</si>
  <si>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</si>
  <si>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</si>
  <si>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</si>
  <si>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</si>
  <si>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</si>
  <si>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</si>
  <si>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</si>
  <si>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</si>
  <si>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</si>
  <si>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</si>
  <si>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</si>
  <si>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</si>
  <si>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</si>
  <si>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8873</t>
  </si>
  <si>
    <t>88730000</t>
  </si>
  <si>
    <t>ערד 8874</t>
  </si>
  <si>
    <t>88740000</t>
  </si>
  <si>
    <t>ערד 8875</t>
  </si>
  <si>
    <t>88750000</t>
  </si>
  <si>
    <t>ערד 8877</t>
  </si>
  <si>
    <t>88770000</t>
  </si>
  <si>
    <t>ערד 8878</t>
  </si>
  <si>
    <t>88780000</t>
  </si>
  <si>
    <t>ערד 8880</t>
  </si>
  <si>
    <t>88800000</t>
  </si>
  <si>
    <t>ערד 8882</t>
  </si>
  <si>
    <t>88820000</t>
  </si>
  <si>
    <t>ערד 8883</t>
  </si>
  <si>
    <t>88830000</t>
  </si>
  <si>
    <t>ערד 8884</t>
  </si>
  <si>
    <t>88840000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</si>
  <si>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</si>
  <si>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</si>
  <si>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</si>
  <si>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</si>
  <si>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</si>
  <si>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</si>
  <si>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8757 2024 4.8%</t>
  </si>
  <si>
    <t>8287575</t>
  </si>
  <si>
    <t>ערד סדרה 8764 %4.8 2025</t>
  </si>
  <si>
    <t>8287641</t>
  </si>
  <si>
    <t>ערד סדרה 8770   2025   4.8%</t>
  </si>
  <si>
    <t>8287708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</si>
  <si>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</si>
  <si>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</si>
  <si>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</si>
  <si>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</si>
  <si>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</si>
  <si>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</si>
  <si>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</si>
  <si>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</si>
  <si>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</si>
  <si>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</si>
  <si>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</si>
  <si>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</si>
  <si>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</si>
  <si>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</si>
  <si>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</si>
  <si>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</si>
  <si>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</si>
  <si>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</si>
  <si>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</si>
  <si>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</si>
  <si>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</si>
  <si>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</si>
  <si>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</si>
  <si>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</si>
  <si>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</si>
  <si>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</si>
  <si>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</si>
  <si>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</si>
  <si>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</si>
  <si>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</si>
  <si>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</si>
  <si>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</si>
  <si>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</si>
  <si>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</si>
  <si>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</si>
  <si>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</si>
  <si>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</si>
  <si>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</si>
  <si>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</si>
  <si>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</si>
  <si>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520042185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</si>
  <si>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</si>
  <si>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</si>
  <si>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</si>
  <si>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</si>
  <si>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</si>
  <si>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</si>
  <si>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</si>
  <si>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</si>
  <si>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</si>
  <si>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</si>
  <si>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</si>
  <si>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</si>
  <si>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</si>
  <si>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</si>
  <si>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</si>
  <si>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RUBY PIPELINE 6 04/22</t>
  </si>
  <si>
    <t>ENERGY</t>
  </si>
  <si>
    <t>BB</t>
  </si>
  <si>
    <t>S&amp;P</t>
  </si>
  <si>
    <t>אלון דלק מניה לא סחירה</t>
  </si>
  <si>
    <t>צים מניה</t>
  </si>
  <si>
    <t>347283</t>
  </si>
  <si>
    <t>520015041</t>
  </si>
  <si>
    <t>SOLGEL WARRANT</t>
  </si>
  <si>
    <t>565685</t>
  </si>
  <si>
    <t>₪ / מט"ח</t>
  </si>
  <si>
    <t>+ILS/-USD 3.4045 03-03-21 (12) -505</t>
  </si>
  <si>
    <t>10000006</t>
  </si>
  <si>
    <t>+ILS/-USD 3.4457 18-11-20 (20) -143</t>
  </si>
  <si>
    <t>10000025</t>
  </si>
  <si>
    <t>+ILS/-USD 3.4506 19-11-20 (20) -144</t>
  </si>
  <si>
    <t>10000027</t>
  </si>
  <si>
    <t>+ILS/-USD 3.4952 18-09-20 (12) -128</t>
  </si>
  <si>
    <t>10000019</t>
  </si>
  <si>
    <t>+ILS/-USD 3.5049 01-07-20 (20) -51</t>
  </si>
  <si>
    <t>10000016</t>
  </si>
  <si>
    <t>+ILS/-USD 3.5086 28-07-20 (20) -64</t>
  </si>
  <si>
    <t>10000021</t>
  </si>
  <si>
    <t>+ILS/-USD 3.51 01-07-20 (12) -54</t>
  </si>
  <si>
    <t>10000018</t>
  </si>
  <si>
    <t>+ILS/-USD 3.523 03-08-20 (20) -63</t>
  </si>
  <si>
    <t>10000023</t>
  </si>
  <si>
    <t>+ILS/-USD 3.82 02-07-20 (20) -450</t>
  </si>
  <si>
    <t>10000011</t>
  </si>
  <si>
    <t>פורוורד ש"ח-מט"ח</t>
  </si>
  <si>
    <t>10000026</t>
  </si>
  <si>
    <t>10000024</t>
  </si>
  <si>
    <t>+ILS/-USD 3.398 08-12-20 (11) -429</t>
  </si>
  <si>
    <t>10000079</t>
  </si>
  <si>
    <t>+ILS/-USD 3.3981 08-12-20 (10) -429</t>
  </si>
  <si>
    <t>10000137</t>
  </si>
  <si>
    <t>+ILS/-USD 3.4015 03-03-21 (11) -505</t>
  </si>
  <si>
    <t>10000082</t>
  </si>
  <si>
    <t>+ILS/-USD 3.407 08-12-20 (10) -420</t>
  </si>
  <si>
    <t>10000149</t>
  </si>
  <si>
    <t>+ILS/-USD 3.4138 15-12-20 (11) -167</t>
  </si>
  <si>
    <t>10000142</t>
  </si>
  <si>
    <t>+ILS/-USD 3.417 04-11-20 (20) -118</t>
  </si>
  <si>
    <t>10000372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</si>
  <si>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</si>
  <si>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</si>
  <si>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</si>
  <si>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</si>
  <si>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</si>
  <si>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</si>
  <si>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</si>
  <si>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</si>
  <si>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</si>
  <si>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</si>
  <si>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</si>
  <si>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</si>
  <si>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</si>
  <si>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</si>
  <si>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</si>
  <si>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</si>
  <si>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</si>
  <si>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</si>
  <si>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</si>
  <si>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</si>
  <si>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</si>
  <si>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</si>
  <si>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</si>
  <si>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</si>
  <si>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</si>
  <si>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</si>
  <si>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</si>
  <si>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</si>
  <si>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</si>
  <si>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</si>
  <si>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</si>
  <si>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</si>
  <si>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</si>
  <si>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</si>
  <si>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</si>
  <si>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</si>
  <si>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</si>
  <si>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</si>
  <si>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</si>
  <si>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</si>
  <si>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3.454 15-09-20 (12) -85</t>
  </si>
  <si>
    <t>10000364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</si>
  <si>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</si>
  <si>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</si>
  <si>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</si>
  <si>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</si>
  <si>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</si>
  <si>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</si>
  <si>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</si>
  <si>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</si>
  <si>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</si>
  <si>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</si>
  <si>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</si>
  <si>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</si>
  <si>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</si>
  <si>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</si>
  <si>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</si>
  <si>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</si>
  <si>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</si>
  <si>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</si>
  <si>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</si>
  <si>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3.4666 08-07-20 (11) -14</t>
  </si>
  <si>
    <t>10000136</t>
  </si>
  <si>
    <t>+ILS/-USD 3.4691 10-09-20 (11) -79</t>
  </si>
  <si>
    <t>10000122</t>
  </si>
  <si>
    <t>+ILS/-USD 3.4722 10-09-20 (20) -78</t>
  </si>
  <si>
    <t>10000123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</si>
  <si>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</si>
  <si>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</si>
  <si>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</si>
  <si>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</si>
  <si>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</si>
  <si>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</si>
  <si>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3.4914 18-09-20 (20) -126</t>
  </si>
  <si>
    <t>10000322</t>
  </si>
  <si>
    <t>+ILS/-USD 3.49305 06-08-20 (11) -49.5</t>
  </si>
  <si>
    <t>10000116</t>
  </si>
  <si>
    <t>+ILS/-USD 3.5005 18-09-20 (11) -130</t>
  </si>
  <si>
    <t>10000110</t>
  </si>
  <si>
    <t>+ILS/-USD 3.5022 15-07-20 (11) -28</t>
  </si>
  <si>
    <t>10000115</t>
  </si>
  <si>
    <t>+ILS/-USD 3.50325 05-08-20 (11) -47.5</t>
  </si>
  <si>
    <t>10000114</t>
  </si>
  <si>
    <t>+ILS/-USD 3.506 01-07-20 (11) -50</t>
  </si>
  <si>
    <t>10000109</t>
  </si>
  <si>
    <t>+ILS/-USD 3.5076 09-09-20 (11) -154</t>
  </si>
  <si>
    <t>10000104</t>
  </si>
  <si>
    <t>+ILS/-USD 3.50965 28-07-20 (11) -63.5</t>
  </si>
  <si>
    <t>10000112</t>
  </si>
  <si>
    <t>+ILS/-USD 3.522 09-09-20 (12) -115</t>
  </si>
  <si>
    <t>10000324</t>
  </si>
  <si>
    <t>+ILS/-USD 3.5294 29-07-20 (11) -56</t>
  </si>
  <si>
    <t>10000113</t>
  </si>
  <si>
    <t>+ILS/-USD 3.5344 16-07-20 (12) -121</t>
  </si>
  <si>
    <t>10000286</t>
  </si>
  <si>
    <t>+ILS/-USD 3.5376 16-03-21 (11) -514</t>
  </si>
  <si>
    <t>10000097</t>
  </si>
  <si>
    <t>+ILS/-USD 3.5382 16-03-21 (12) -518</t>
  </si>
  <si>
    <t>10000263</t>
  </si>
  <si>
    <t>+ILS/-USD 3.5572 09-09-20 (12) -198</t>
  </si>
  <si>
    <t>10000280</t>
  </si>
  <si>
    <t>+ILS/-USD 3.5573 09-09-20 (11) -197</t>
  </si>
  <si>
    <t>10000103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</si>
  <si>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</si>
  <si>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</si>
  <si>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</si>
  <si>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</si>
  <si>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</si>
  <si>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</si>
  <si>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3.8 02-07-20 (11) -380</t>
  </si>
  <si>
    <t>10000090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</si>
  <si>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</si>
  <si>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</si>
  <si>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</si>
  <si>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</si>
  <si>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</si>
  <si>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</si>
  <si>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</si>
  <si>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</si>
  <si>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</si>
  <si>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</si>
  <si>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</si>
  <si>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</si>
  <si>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</si>
  <si>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</si>
  <si>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</si>
  <si>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</si>
  <si>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</si>
  <si>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</si>
  <si>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</si>
  <si>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</si>
  <si>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</si>
  <si>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</si>
  <si>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</si>
  <si>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</si>
  <si>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10000148</t>
  </si>
  <si>
    <t>+ILS/-USD 3.4424 16-09-20 (10) -76</t>
  </si>
  <si>
    <t>10000845</t>
  </si>
  <si>
    <t>+ILS/-USD 3.4475 16-09-20 (10) -75</t>
  </si>
  <si>
    <t>10000847</t>
  </si>
  <si>
    <t>+ILS/-USD 3.452 10-11-20 (10) -800</t>
  </si>
  <si>
    <t>10000812</t>
  </si>
  <si>
    <t>+ILS/-USD 3.4937 10-11-20 (10) -898</t>
  </si>
  <si>
    <t>10000804</t>
  </si>
  <si>
    <t>+USD/-ILS 3.495 10-11-20 (10) -130</t>
  </si>
  <si>
    <t>10000842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</si>
  <si>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</si>
  <si>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</si>
  <si>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</si>
  <si>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</si>
  <si>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</si>
  <si>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</si>
  <si>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+USD/-EUR 1.08331 19-10-20 (12) +37.1</t>
  </si>
  <si>
    <t>10000315</t>
  </si>
  <si>
    <t>+USD/-EUR 1.08341 20-07-20 (10) +15.1</t>
  </si>
  <si>
    <t>10000319</t>
  </si>
  <si>
    <t>+USD/-EUR 1.08738 14-09-20 (12) +33.8</t>
  </si>
  <si>
    <t>10000295</t>
  </si>
  <si>
    <t>+USD/-EUR 1.08751 22-09-20 (10) +40.1</t>
  </si>
  <si>
    <t>10000288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</si>
  <si>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</si>
  <si>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</si>
  <si>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</si>
  <si>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</si>
  <si>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</si>
  <si>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</si>
  <si>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</si>
  <si>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</si>
  <si>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</si>
  <si>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</si>
  <si>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</si>
  <si>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</si>
  <si>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</si>
  <si>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</si>
  <si>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</si>
  <si>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</si>
  <si>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</si>
  <si>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</si>
  <si>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</si>
  <si>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</si>
  <si>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</si>
  <si>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</si>
  <si>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</si>
  <si>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</si>
  <si>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</si>
  <si>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</si>
  <si>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</si>
  <si>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</si>
  <si>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1.1793 06-07-20 (12) +18</t>
  </si>
  <si>
    <t>10000255</t>
  </si>
  <si>
    <t>+USD/-GBP 1.2117 09-11-20 (10) +7</t>
  </si>
  <si>
    <t>10000328</t>
  </si>
  <si>
    <t>+USD/-JPY 107.689 08-07-20 (10) -6.1</t>
  </si>
  <si>
    <t>10000333</t>
  </si>
  <si>
    <t>+JPY/-USD 107.28 13-07-20 (10) -15</t>
  </si>
  <si>
    <t>10000840</t>
  </si>
  <si>
    <t>+USD/-JPY 108.97 13-07-20 (10) -89</t>
  </si>
  <si>
    <t>10000835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</si>
  <si>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</si>
  <si>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</si>
  <si>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</si>
  <si>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</si>
  <si>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</si>
  <si>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</si>
  <si>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</si>
  <si>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</si>
  <si>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</si>
  <si>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</si>
  <si>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</si>
  <si>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</si>
  <si>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</si>
  <si>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</si>
  <si>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</si>
  <si>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</si>
  <si>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</si>
  <si>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</si>
  <si>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</si>
  <si>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</si>
  <si>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34112000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</si>
  <si>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</si>
  <si>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</si>
  <si>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</si>
  <si>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</si>
  <si>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</si>
  <si>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</si>
  <si>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</si>
  <si>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32012000</t>
  </si>
  <si>
    <t>30212000</t>
  </si>
  <si>
    <t>30312000</t>
  </si>
  <si>
    <t>31712000</t>
  </si>
  <si>
    <t>31710000</t>
  </si>
  <si>
    <t>30210000</t>
  </si>
  <si>
    <t>30710000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</si>
  <si>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</si>
  <si>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</si>
  <si>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</si>
  <si>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</si>
  <si>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</si>
  <si>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</si>
  <si>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</si>
  <si>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</si>
  <si>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</si>
  <si>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</si>
  <si>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</si>
  <si>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30820000</t>
  </si>
  <si>
    <t>31220000</t>
  </si>
  <si>
    <t>34020000</t>
  </si>
  <si>
    <t>31720000</t>
  </si>
  <si>
    <t>32011000</t>
  </si>
  <si>
    <t>30211000</t>
  </si>
  <si>
    <t>30311000</t>
  </si>
  <si>
    <t>31726000</t>
  </si>
  <si>
    <t>30326000</t>
  </si>
  <si>
    <t>דירוג פנימי</t>
  </si>
  <si>
    <t>כן</t>
  </si>
  <si>
    <t>לא</t>
  </si>
  <si>
    <t>AA</t>
  </si>
  <si>
    <t>AA-</t>
  </si>
  <si>
    <t>A+</t>
  </si>
  <si>
    <t>A</t>
  </si>
  <si>
    <t>Baa1.il</t>
  </si>
  <si>
    <t>D</t>
  </si>
  <si>
    <t>BBB-</t>
  </si>
  <si>
    <t>FITCH</t>
  </si>
  <si>
    <t>B</t>
  </si>
  <si>
    <t>CCC+</t>
  </si>
  <si>
    <t>קרדן אן.וי אגח ב חש 2/18</t>
  </si>
  <si>
    <t>1143270</t>
  </si>
  <si>
    <t>סה"כ יתרות התחייבות להשקעה</t>
  </si>
  <si>
    <t>גורם 80</t>
  </si>
  <si>
    <t>גורם 43</t>
  </si>
  <si>
    <t>בבטחונות אחרים - גורם 80</t>
  </si>
  <si>
    <t>בבטחונות אחרים - גורם 81</t>
  </si>
  <si>
    <t>בבטחונות אחרים - גורם 38</t>
  </si>
  <si>
    <t>בבטחונות אחרים - גורם 7</t>
  </si>
  <si>
    <t>בבטחונות אחרים - גורם 29</t>
  </si>
  <si>
    <t>בבטחונות אחרים - גורם 69</t>
  </si>
  <si>
    <t>בבטחונות אחרים - גורם 63</t>
  </si>
  <si>
    <t>בבטחונות אחרים - גורם 37</t>
  </si>
  <si>
    <t>בבטחונות אחרים - גורם 64</t>
  </si>
  <si>
    <t>בבטחונות אחרים - גורם 35</t>
  </si>
  <si>
    <t>בבטחונות אחרים - גורם 41</t>
  </si>
  <si>
    <t>בבטחונות אחרים - גורם 33</t>
  </si>
  <si>
    <t>בבטחונות אחרים - גורם 62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</si>
  <si>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</si>
  <si>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</si>
  <si>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</si>
  <si>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</si>
  <si>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30</t>
  </si>
  <si>
    <t>בבטחונות אחרים - גורם 43</t>
  </si>
  <si>
    <t>בבטחונות אחרים - גורם 70</t>
  </si>
  <si>
    <t>בבטחונות אחרים - גורם 14*</t>
  </si>
  <si>
    <t>בבטחונות אחרים - גורם 84</t>
  </si>
  <si>
    <t>בבטחונות אחרים - גורם 86</t>
  </si>
  <si>
    <t>בבטחונות אחרים - גורם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</si>
</sst>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4" fontId="26" fillId="0" borderId="23" xfId="0" applyNumberFormat="1" applyFont="1" applyFill="1" applyBorder="1" applyAlignment="1">
      <alignment horizontal="right"/>
    </xf>
    <xf numFmtId="167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5" fillId="0" borderId="24" xfId="0" applyFont="1" applyFill="1" applyBorder="1" applyAlignment="1">
      <alignment horizontal="right" indent="3"/>
    </xf>
    <xf numFmtId="0" fontId="25" fillId="0" borderId="24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2"/>
    </xf>
    <xf numFmtId="0" fontId="25" fillId="0" borderId="26" xfId="0" applyNumberFormat="1" applyFont="1" applyFill="1" applyBorder="1" applyAlignment="1">
      <alignment horizontal="right"/>
    </xf>
    <xf numFmtId="2" fontId="25" fillId="0" borderId="26" xfId="0" applyNumberFormat="1" applyFont="1" applyFill="1" applyBorder="1" applyAlignment="1">
      <alignment horizontal="right"/>
    </xf>
    <xf numFmtId="10" fontId="25" fillId="0" borderId="26" xfId="0" applyNumberFormat="1" applyFont="1" applyFill="1" applyBorder="1" applyAlignment="1">
      <alignment horizontal="right"/>
    </xf>
    <xf numFmtId="4" fontId="25" fillId="0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7" xfId="13" applyFont="1" applyBorder="1" applyAlignment="1">
      <alignment horizontal="right"/>
    </xf>
    <xf numFmtId="10" fontId="5" fillId="0" borderId="27" xfId="14" applyNumberFormat="1" applyFont="1" applyBorder="1" applyAlignment="1">
      <alignment horizontal="center"/>
    </xf>
    <xf numFmtId="2" fontId="5" fillId="0" borderId="27" xfId="7" applyNumberFormat="1" applyFont="1" applyBorder="1" applyAlignment="1">
      <alignment horizontal="right"/>
    </xf>
    <xf numFmtId="168" fontId="5" fillId="0" borderId="27" xfId="7" applyNumberFormat="1" applyFont="1" applyBorder="1" applyAlignment="1">
      <alignment horizontal="center"/>
    </xf>
    <xf numFmtId="2" fontId="27" fillId="0" borderId="0" xfId="0" applyNumberFormat="1" applyFont="1" applyFill="1"/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4" fontId="26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198120</xdr:colOff>
      <xdr:row>50</xdr:row>
      <xdr:rowOff>0</xdr:rowOff>
    </xdr:from>
    <xdr:to>
      <xdr:col>26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U66"/>
  <sheetViews>
    <sheetView rightToLeft="1" tabSelected="1" workbookViewId="0">
      <selection activeCell="I18" sqref="I18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1" width="6.7109375" style="9" customWidth="1"/>
    <col min="22" max="24" width="7.7109375" style="9" customWidth="1"/>
    <col min="25" max="25" width="7.140625" style="9" customWidth="1"/>
    <col min="26" max="26" width="6" style="9" customWidth="1"/>
    <col min="27" max="27" width="8.140625" style="9" customWidth="1"/>
    <col min="28" max="28" width="6.28515625" style="9" customWidth="1"/>
    <col min="29" max="29" width="8" style="9" customWidth="1"/>
    <col min="30" max="30" width="8.7109375" style="9" customWidth="1"/>
    <col min="31" max="31" width="10" style="9" customWidth="1"/>
    <col min="32" max="32" width="9.5703125" style="9" customWidth="1"/>
    <col min="33" max="33" width="6.140625" style="9" customWidth="1"/>
    <col min="34" max="35" width="5.7109375" style="9" customWidth="1"/>
    <col min="36" max="36" width="6.85546875" style="9" customWidth="1"/>
    <col min="37" max="37" width="6.42578125" style="9" customWidth="1"/>
    <col min="38" max="38" width="6.7109375" style="9" customWidth="1"/>
    <col min="39" max="39" width="7.28515625" style="9" customWidth="1"/>
    <col min="40" max="51" width="5.7109375" style="9" customWidth="1"/>
    <col min="52" max="16384" width="9.140625" style="9"/>
  </cols>
  <sheetData>
    <row r="1" spans="1:21">
      <c r="B1" s="47" t="s">
        <v>172</v>
      </c>
      <c r="C1" s="68" t="s" vm="1">
        <v>252</v>
      </c>
    </row>
    <row r="2" spans="1:21">
      <c r="B2" s="47" t="s">
        <v>171</v>
      </c>
      <c r="C2" s="68" t="s">
        <v>253</v>
      </c>
    </row>
    <row r="3" spans="1:21">
      <c r="B3" s="47" t="s">
        <v>173</v>
      </c>
      <c r="C3" s="68" t="s">
        <v>254</v>
      </c>
    </row>
    <row r="4" spans="1:21">
      <c r="B4" s="47" t="s">
        <v>174</v>
      </c>
      <c r="C4" s="68">
        <v>8602</v>
      </c>
    </row>
    <row r="6" spans="1:21" ht="26.25" customHeight="1">
      <c r="B6" s="120" t="s">
        <v>188</v>
      </c>
      <c r="C6" s="121"/>
      <c r="D6" s="122"/>
    </row>
    <row r="7" spans="1:21" s="10" customFormat="1">
      <c r="B7" s="22"/>
      <c r="C7" s="23" t="s">
        <v>104</v>
      </c>
      <c r="D7" s="24" t="s">
        <v>102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>
      <c r="B8" s="22"/>
      <c r="C8" s="25" t="s">
        <v>232</v>
      </c>
      <c r="D8" s="26" t="s">
        <v>19</v>
      </c>
    </row>
    <row r="9" spans="1:21" s="11" customFormat="1" ht="18" customHeight="1">
      <c r="B9" s="36"/>
      <c r="C9" s="19" t="s">
        <v>0</v>
      </c>
      <c r="D9" s="27" t="s">
        <v>1</v>
      </c>
    </row>
    <row r="10" spans="1:21" s="11" customFormat="1" ht="18" customHeight="1">
      <c r="B10" s="55" t="s">
        <v>187</v>
      </c>
      <c r="C10" s="109">
        <f>C11+C12+C23+C33+C37</f>
        <v>80851.463464650617</v>
      </c>
      <c r="D10" s="110">
        <f>C10/$C$42</f>
        <v>1</v>
      </c>
    </row>
    <row r="11" spans="1:21">
      <c r="A11" s="43" t="s">
        <v>134</v>
      </c>
      <c r="B11" s="28" t="s">
        <v>189</v>
      </c>
      <c r="C11" s="109">
        <f>מזומנים!J10</f>
        <v>1774.3577666389995</v>
      </c>
      <c r="D11" s="110">
        <f>C11/$C$42</f>
        <v>2.1945895480479129E-2</v>
      </c>
    </row>
    <row r="12" spans="1:21">
      <c r="B12" s="28" t="s">
        <v>190</v>
      </c>
      <c r="C12" s="109">
        <f>C13+C15+C16+C17+C18+C19+C21+C20</f>
        <v>17184.931764927609</v>
      </c>
      <c r="D12" s="110">
        <f>C12/$C$42</f>
        <v>0.21254942122898121</v>
      </c>
    </row>
    <row r="13" spans="1:21">
      <c r="A13" s="45" t="s">
        <v>134</v>
      </c>
      <c r="B13" s="29" t="s">
        <v>65</v>
      </c>
      <c r="C13" s="109">
        <f>'תעודות התחייבות ממשלתיות'!O11</f>
        <v>14615.912408305998</v>
      </c>
      <c r="D13" s="110">
        <f>C13/$C$42</f>
        <v>0.1807748651908605</v>
      </c>
    </row>
    <row r="14" spans="1:21">
      <c r="A14" s="45" t="s">
        <v>134</v>
      </c>
      <c r="B14" s="29" t="s">
        <v>66</v>
      </c>
      <c r="C14" s="109" t="s" vm="2">
        <v>2045</v>
      </c>
      <c r="D14" s="110" t="s" vm="3">
        <v>2045</v>
      </c>
    </row>
    <row r="15" spans="1:21">
      <c r="A15" s="45" t="s">
        <v>134</v>
      </c>
      <c r="B15" s="29" t="s">
        <v>67</v>
      </c>
      <c r="C15" s="109">
        <f>'אג"ח קונצרני'!R11</f>
        <v>1312.6474573876126</v>
      </c>
      <c r="D15" s="110">
        <f t="shared" ref="D15:D21" si="0">C15/$C$42</f>
        <v>1.6235296197965796E-2</v>
      </c>
    </row>
    <row r="16" spans="1:21">
      <c r="A16" s="45" t="s">
        <v>134</v>
      </c>
      <c r="B16" s="29" t="s">
        <v>68</v>
      </c>
      <c r="C16" s="109">
        <f>מניות!L11</f>
        <v>774.17262431799998</v>
      </c>
      <c r="D16" s="110">
        <f t="shared" si="0"/>
        <v>9.5752456559611808E-3</v>
      </c>
    </row>
    <row r="17" spans="1:4">
      <c r="A17" s="45" t="s">
        <v>134</v>
      </c>
      <c r="B17" s="29" t="s">
        <v>245</v>
      </c>
      <c r="C17" s="109">
        <f>'קרנות סל'!K11</f>
        <v>440.78892524899999</v>
      </c>
      <c r="D17" s="110">
        <f t="shared" si="0"/>
        <v>5.4518360751963264E-3</v>
      </c>
    </row>
    <row r="18" spans="1:4">
      <c r="A18" s="45" t="s">
        <v>134</v>
      </c>
      <c r="B18" s="29" t="s">
        <v>69</v>
      </c>
      <c r="C18" s="109">
        <f>'קרנות נאמנות'!L11</f>
        <v>46.289185412000009</v>
      </c>
      <c r="D18" s="110">
        <f t="shared" si="0"/>
        <v>5.7252130547072021E-4</v>
      </c>
    </row>
    <row r="19" spans="1:4">
      <c r="A19" s="45" t="s">
        <v>134</v>
      </c>
      <c r="B19" s="29" t="s">
        <v>70</v>
      </c>
      <c r="C19" s="109">
        <f>'כתבי אופציה'!I11</f>
        <v>0.146717297</v>
      </c>
      <c r="D19" s="110">
        <f t="shared" si="0"/>
        <v>1.8146523354416069E-6</v>
      </c>
    </row>
    <row r="20" spans="1:4">
      <c r="A20" s="45" t="s">
        <v>134</v>
      </c>
      <c r="B20" s="29" t="s">
        <v>71</v>
      </c>
      <c r="C20" s="109">
        <f>אופציות!I11</f>
        <v>-3.5778931089999997</v>
      </c>
      <c r="D20" s="110">
        <f t="shared" si="0"/>
        <v>-4.4252669719012624E-5</v>
      </c>
    </row>
    <row r="21" spans="1:4">
      <c r="A21" s="45" t="s">
        <v>134</v>
      </c>
      <c r="B21" s="29" t="s">
        <v>72</v>
      </c>
      <c r="C21" s="109">
        <f>'חוזים עתידיים'!I11</f>
        <v>-1.447659933</v>
      </c>
      <c r="D21" s="110">
        <f t="shared" si="0"/>
        <v>-1.7905179089713534E-5</v>
      </c>
    </row>
    <row r="22" spans="1:4">
      <c r="A22" s="45" t="s">
        <v>134</v>
      </c>
      <c r="B22" s="29" t="s">
        <v>73</v>
      </c>
      <c r="C22" s="109" t="s" vm="4">
        <v>2045</v>
      </c>
      <c r="D22" s="110" t="s" vm="5">
        <v>2045</v>
      </c>
    </row>
    <row r="23" spans="1:4">
      <c r="B23" s="28" t="s">
        <v>191</v>
      </c>
      <c r="C23" s="109">
        <f>C24+C26+C27+C29+C31</f>
        <v>60599.343051962009</v>
      </c>
      <c r="D23" s="110">
        <f>C23/$C$42</f>
        <v>0.74951448564016265</v>
      </c>
    </row>
    <row r="24" spans="1:4">
      <c r="A24" s="45" t="s">
        <v>134</v>
      </c>
      <c r="B24" s="29" t="s">
        <v>74</v>
      </c>
      <c r="C24" s="109">
        <f>'לא סחיר- תעודות התחייבות ממשלתי'!M11</f>
        <v>58699.140920000005</v>
      </c>
      <c r="D24" s="110">
        <f>C24/$C$42</f>
        <v>0.72601210175575959</v>
      </c>
    </row>
    <row r="25" spans="1:4">
      <c r="A25" s="45" t="s">
        <v>134</v>
      </c>
      <c r="B25" s="29" t="s">
        <v>75</v>
      </c>
      <c r="C25" s="109" t="s" vm="6">
        <v>2045</v>
      </c>
      <c r="D25" s="110" t="s" vm="7">
        <v>2045</v>
      </c>
    </row>
    <row r="26" spans="1:4">
      <c r="A26" s="45" t="s">
        <v>134</v>
      </c>
      <c r="B26" s="29" t="s">
        <v>67</v>
      </c>
      <c r="C26" s="109">
        <f>'לא סחיר - אג"ח קונצרני'!P11</f>
        <v>1897.1173999999999</v>
      </c>
      <c r="D26" s="110">
        <f>C26/$C$42</f>
        <v>2.3464230809247453E-2</v>
      </c>
    </row>
    <row r="27" spans="1:4">
      <c r="A27" s="45" t="s">
        <v>134</v>
      </c>
      <c r="B27" s="29" t="s">
        <v>76</v>
      </c>
      <c r="C27" s="109">
        <f>'לא סחיר - מניות'!J11</f>
        <v>8.6795599999999986</v>
      </c>
      <c r="D27" s="110">
        <f>C27/$C$42</f>
        <v>1.0735192200688888E-4</v>
      </c>
    </row>
    <row r="28" spans="1:4">
      <c r="A28" s="45" t="s">
        <v>134</v>
      </c>
      <c r="B28" s="29" t="s">
        <v>77</v>
      </c>
      <c r="C28" s="109" t="s" vm="8">
        <v>2045</v>
      </c>
      <c r="D28" s="110" t="s" vm="9">
        <v>2045</v>
      </c>
    </row>
    <row r="29" spans="1:4">
      <c r="A29" s="45" t="s">
        <v>134</v>
      </c>
      <c r="B29" s="29" t="s">
        <v>78</v>
      </c>
      <c r="C29" s="109">
        <f>'לא סחיר - כתבי אופציה'!I11</f>
        <v>3.5208404999999998E-2</v>
      </c>
      <c r="D29" s="110">
        <f>C29/$C$42</f>
        <v>4.3547022516659332E-7</v>
      </c>
    </row>
    <row r="30" spans="1:4">
      <c r="A30" s="45" t="s">
        <v>134</v>
      </c>
      <c r="B30" s="29" t="s">
        <v>214</v>
      </c>
      <c r="C30" s="109" t="s" vm="10">
        <v>2045</v>
      </c>
      <c r="D30" s="110" t="s" vm="11">
        <v>2045</v>
      </c>
    </row>
    <row r="31" spans="1:4">
      <c r="A31" s="45" t="s">
        <v>134</v>
      </c>
      <c r="B31" s="29" t="s">
        <v>99</v>
      </c>
      <c r="C31" s="109">
        <f>'לא סחיר - חוזים עתידיים'!I11</f>
        <v>-5.6300364430000007</v>
      </c>
      <c r="D31" s="110">
        <f>C31/$C$42</f>
        <v>-6.9634317076542856E-5</v>
      </c>
    </row>
    <row r="32" spans="1:4">
      <c r="A32" s="45" t="s">
        <v>134</v>
      </c>
      <c r="B32" s="29" t="s">
        <v>79</v>
      </c>
      <c r="C32" s="109" t="s" vm="12">
        <v>2045</v>
      </c>
      <c r="D32" s="110" t="s" vm="13">
        <v>2045</v>
      </c>
    </row>
    <row r="33" spans="1:4">
      <c r="A33" s="45" t="s">
        <v>134</v>
      </c>
      <c r="B33" s="28" t="s">
        <v>192</v>
      </c>
      <c r="C33" s="109">
        <f>הלוואות!P10</f>
        <v>1293.8344699999996</v>
      </c>
      <c r="D33" s="110">
        <f>C33/$C$42</f>
        <v>1.6002610398829477E-2</v>
      </c>
    </row>
    <row r="34" spans="1:4">
      <c r="A34" s="45" t="s">
        <v>134</v>
      </c>
      <c r="B34" s="28" t="s">
        <v>193</v>
      </c>
      <c r="C34" s="109" t="s" vm="14">
        <v>2045</v>
      </c>
      <c r="D34" s="110" t="s" vm="15">
        <v>2045</v>
      </c>
    </row>
    <row r="35" spans="1:4">
      <c r="A35" s="45" t="s">
        <v>134</v>
      </c>
      <c r="B35" s="28" t="s">
        <v>194</v>
      </c>
      <c r="C35" s="109" t="s" vm="16">
        <v>2045</v>
      </c>
      <c r="D35" s="110" t="s" vm="17">
        <v>2045</v>
      </c>
    </row>
    <row r="36" spans="1:4">
      <c r="A36" s="45" t="s">
        <v>134</v>
      </c>
      <c r="B36" s="46" t="s">
        <v>195</v>
      </c>
      <c r="C36" s="109" t="s" vm="18">
        <v>2045</v>
      </c>
      <c r="D36" s="110" t="s" vm="19">
        <v>2045</v>
      </c>
    </row>
    <row r="37" spans="1:4">
      <c r="A37" s="45" t="s">
        <v>134</v>
      </c>
      <c r="B37" s="28" t="s">
        <v>196</v>
      </c>
      <c r="C37" s="109">
        <f>'השקעות אחרות '!I10</f>
        <v>-1.003588878</v>
      </c>
      <c r="D37" s="110">
        <f>C37/$C$42</f>
        <v>-1.2412748452460393E-5</v>
      </c>
    </row>
    <row r="38" spans="1:4">
      <c r="A38" s="45"/>
      <c r="B38" s="56" t="s">
        <v>198</v>
      </c>
      <c r="C38" s="109">
        <v>0</v>
      </c>
      <c r="D38" s="110">
        <f>C38/$C$42</f>
        <v>0</v>
      </c>
    </row>
    <row r="39" spans="1:4">
      <c r="A39" s="45" t="s">
        <v>134</v>
      </c>
      <c r="B39" s="57" t="s">
        <v>199</v>
      </c>
      <c r="C39" s="109" t="s" vm="20">
        <v>2045</v>
      </c>
      <c r="D39" s="110" t="s" vm="21">
        <v>2045</v>
      </c>
    </row>
    <row r="40" spans="1:4">
      <c r="A40" s="45" t="s">
        <v>134</v>
      </c>
      <c r="B40" s="57" t="s">
        <v>230</v>
      </c>
      <c r="C40" s="109" t="s" vm="22">
        <v>2045</v>
      </c>
      <c r="D40" s="110" t="s" vm="23">
        <v>2045</v>
      </c>
    </row>
    <row r="41" spans="1:4">
      <c r="A41" s="45" t="s">
        <v>134</v>
      </c>
      <c r="B41" s="57" t="s">
        <v>200</v>
      </c>
      <c r="C41" s="109" t="s" vm="24">
        <v>2045</v>
      </c>
      <c r="D41" s="110" t="s" vm="25">
        <v>2045</v>
      </c>
    </row>
    <row r="42" spans="1:4">
      <c r="B42" s="57" t="s">
        <v>80</v>
      </c>
      <c r="C42" s="109">
        <f>C38+C10</f>
        <v>80851.463464650617</v>
      </c>
      <c r="D42" s="110">
        <f>C42/$C$42</f>
        <v>1</v>
      </c>
    </row>
    <row r="43" spans="1:4">
      <c r="A43" s="45" t="s">
        <v>134</v>
      </c>
      <c r="B43" s="57" t="s">
        <v>197</v>
      </c>
      <c r="C43" s="109">
        <f>'יתרת התחייבות להשקעה'!C10</f>
        <v>24.54626</v>
      </c>
      <c r="D43" s="110"/>
    </row>
    <row r="44" spans="1:4">
      <c r="B44" s="6" t="s">
        <v>103</v>
      </c>
    </row>
    <row r="45" spans="1:4">
      <c r="C45" s="63" t="s">
        <v>179</v>
      </c>
      <c r="D45" s="35" t="s">
        <v>98</v>
      </c>
    </row>
    <row r="46" spans="1:4">
      <c r="C46" s="64" t="s">
        <v>0</v>
      </c>
      <c r="D46" s="24" t="s">
        <v>1</v>
      </c>
    </row>
    <row r="47" spans="1:4">
      <c r="C47" s="111" t="s">
        <v>160</v>
      </c>
      <c r="D47" s="112" vm="26">
        <v>2.3723000000000001</v>
      </c>
    </row>
    <row r="48" spans="1:4">
      <c r="C48" s="111" t="s">
        <v>169</v>
      </c>
      <c r="D48" s="112">
        <v>0.6384585628235121</v>
      </c>
    </row>
    <row r="49" spans="2:4">
      <c r="C49" s="111" t="s">
        <v>165</v>
      </c>
      <c r="D49" s="112" vm="27">
        <v>2.5308000000000002</v>
      </c>
    </row>
    <row r="50" spans="2:4">
      <c r="B50" s="12"/>
      <c r="C50" s="111" t="s">
        <v>1258</v>
      </c>
      <c r="D50" s="112" vm="28">
        <v>3.6429</v>
      </c>
    </row>
    <row r="51" spans="2:4">
      <c r="C51" s="111" t="s">
        <v>158</v>
      </c>
      <c r="D51" s="112" vm="29">
        <v>3.8828</v>
      </c>
    </row>
    <row r="52" spans="2:4">
      <c r="C52" s="111" t="s">
        <v>159</v>
      </c>
      <c r="D52" s="112" vm="30">
        <v>4.2541000000000002</v>
      </c>
    </row>
    <row r="53" spans="2:4">
      <c r="C53" s="111" t="s">
        <v>161</v>
      </c>
      <c r="D53" s="112">
        <v>0.44719118519856527</v>
      </c>
    </row>
    <row r="54" spans="2:4">
      <c r="C54" s="111" t="s">
        <v>166</v>
      </c>
      <c r="D54" s="112" vm="31">
        <v>3.2172999999999998</v>
      </c>
    </row>
    <row r="55" spans="2:4">
      <c r="C55" s="111" t="s">
        <v>167</v>
      </c>
      <c r="D55" s="112">
        <v>0.1506151058347058</v>
      </c>
    </row>
    <row r="56" spans="2:4">
      <c r="C56" s="111" t="s">
        <v>164</v>
      </c>
      <c r="D56" s="112" vm="32">
        <v>0.52090000000000003</v>
      </c>
    </row>
    <row r="57" spans="2:4">
      <c r="C57" s="111" t="s">
        <v>2046</v>
      </c>
      <c r="D57" s="112">
        <v>2.2366098000000001</v>
      </c>
    </row>
    <row r="58" spans="2:4">
      <c r="C58" s="111" t="s">
        <v>163</v>
      </c>
      <c r="D58" s="112" vm="33">
        <v>0.36959999999999998</v>
      </c>
    </row>
    <row r="59" spans="2:4">
      <c r="C59" s="111" t="s">
        <v>156</v>
      </c>
      <c r="D59" s="112" vm="34">
        <v>3.4660000000000002</v>
      </c>
    </row>
    <row r="60" spans="2:4">
      <c r="C60" s="111" t="s">
        <v>170</v>
      </c>
      <c r="D60" s="112" vm="35">
        <v>0.19980000000000001</v>
      </c>
    </row>
    <row r="61" spans="2:4">
      <c r="C61" s="111" t="s">
        <v>2047</v>
      </c>
      <c r="D61" s="112" vm="36">
        <v>0.35580000000000001</v>
      </c>
    </row>
    <row r="62" spans="2:4">
      <c r="C62" s="111" t="s">
        <v>2048</v>
      </c>
      <c r="D62" s="112">
        <v>4.8688665065250679E-2</v>
      </c>
    </row>
    <row r="63" spans="2:4">
      <c r="C63" s="111" t="s">
        <v>2049</v>
      </c>
      <c r="D63" s="112">
        <v>0.49055962861267588</v>
      </c>
    </row>
    <row r="64" spans="2:4">
      <c r="C64" s="111" t="s">
        <v>157</v>
      </c>
      <c r="D64" s="112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K17" activeCellId="1" sqref="K12:K15 K17:K21"/>
    </sheetView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64.8554687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172</v>
      </c>
      <c r="C1" s="68" t="s" vm="1">
        <v>252</v>
      </c>
    </row>
    <row r="2" spans="2:61">
      <c r="B2" s="47" t="s">
        <v>171</v>
      </c>
      <c r="C2" s="68" t="s">
        <v>253</v>
      </c>
    </row>
    <row r="3" spans="2:61">
      <c r="B3" s="47" t="s">
        <v>173</v>
      </c>
      <c r="C3" s="68" t="s">
        <v>254</v>
      </c>
    </row>
    <row r="4" spans="2:61">
      <c r="B4" s="47" t="s">
        <v>174</v>
      </c>
      <c r="C4" s="68">
        <v>8602</v>
      </c>
    </row>
    <row r="6" spans="2:61" ht="26.25" customHeight="1">
      <c r="B6" s="123" t="s">
        <v>202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1" ht="26.25" customHeight="1">
      <c r="B7" s="123" t="s">
        <v>88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I7" s="3"/>
    </row>
    <row r="8" spans="2:61" s="3" customFormat="1" ht="78.75">
      <c r="B8" s="22" t="s">
        <v>109</v>
      </c>
      <c r="C8" s="30" t="s">
        <v>41</v>
      </c>
      <c r="D8" s="30" t="s">
        <v>112</v>
      </c>
      <c r="E8" s="30" t="s">
        <v>61</v>
      </c>
      <c r="F8" s="30" t="s">
        <v>96</v>
      </c>
      <c r="G8" s="30" t="s">
        <v>229</v>
      </c>
      <c r="H8" s="30" t="s">
        <v>228</v>
      </c>
      <c r="I8" s="30" t="s">
        <v>58</v>
      </c>
      <c r="J8" s="30" t="s">
        <v>55</v>
      </c>
      <c r="K8" s="30" t="s">
        <v>175</v>
      </c>
      <c r="L8" s="31" t="s">
        <v>177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236</v>
      </c>
      <c r="H9" s="16"/>
      <c r="I9" s="16" t="s">
        <v>232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6" t="s">
        <v>46</v>
      </c>
      <c r="C11" s="72"/>
      <c r="D11" s="72"/>
      <c r="E11" s="72"/>
      <c r="F11" s="72"/>
      <c r="G11" s="80"/>
      <c r="H11" s="82"/>
      <c r="I11" s="80">
        <v>-3.5778931089999997</v>
      </c>
      <c r="J11" s="72"/>
      <c r="K11" s="81">
        <f>I11/$I$11</f>
        <v>1</v>
      </c>
      <c r="L11" s="81">
        <f>I11/'סכום נכסי הקרן'!$C$42</f>
        <v>-4.4252669719012624E-5</v>
      </c>
      <c r="BD11" s="1"/>
      <c r="BE11" s="3"/>
      <c r="BF11" s="1"/>
      <c r="BH11" s="1"/>
    </row>
    <row r="12" spans="2:61">
      <c r="B12" s="95" t="s">
        <v>223</v>
      </c>
      <c r="C12" s="70"/>
      <c r="D12" s="70"/>
      <c r="E12" s="70"/>
      <c r="F12" s="70"/>
      <c r="G12" s="77"/>
      <c r="H12" s="79"/>
      <c r="I12" s="77">
        <v>-0.27374172099999999</v>
      </c>
      <c r="J12" s="70"/>
      <c r="K12" s="78">
        <f t="shared" ref="K12:K15" si="0">I12/$I$11</f>
        <v>7.6509194841907727E-2</v>
      </c>
      <c r="L12" s="78">
        <f>I12/'סכום נכסי הקרן'!$C$42</f>
        <v>-3.3857361298065271E-6</v>
      </c>
      <c r="BE12" s="3"/>
    </row>
    <row r="13" spans="2:61" ht="20.25">
      <c r="B13" s="89" t="s">
        <v>220</v>
      </c>
      <c r="C13" s="72"/>
      <c r="D13" s="72"/>
      <c r="E13" s="72"/>
      <c r="F13" s="72"/>
      <c r="G13" s="80"/>
      <c r="H13" s="82"/>
      <c r="I13" s="80">
        <v>-0.27374172099999999</v>
      </c>
      <c r="J13" s="72"/>
      <c r="K13" s="81">
        <f t="shared" si="0"/>
        <v>7.6509194841907727E-2</v>
      </c>
      <c r="L13" s="81">
        <f>I13/'סכום נכסי הקרן'!$C$42</f>
        <v>-3.3857361298065271E-6</v>
      </c>
      <c r="BE13" s="4"/>
    </row>
    <row r="14" spans="2:61">
      <c r="B14" s="76" t="s">
        <v>1596</v>
      </c>
      <c r="C14" s="70" t="s">
        <v>1597</v>
      </c>
      <c r="D14" s="83" t="s">
        <v>113</v>
      </c>
      <c r="E14" s="83" t="s">
        <v>639</v>
      </c>
      <c r="F14" s="83" t="s">
        <v>157</v>
      </c>
      <c r="G14" s="77">
        <v>4.6264E-2</v>
      </c>
      <c r="H14" s="79">
        <v>168000</v>
      </c>
      <c r="I14" s="77">
        <v>7.7722847999999997E-2</v>
      </c>
      <c r="J14" s="70"/>
      <c r="K14" s="78">
        <f t="shared" si="0"/>
        <v>-2.1723077138467974E-2</v>
      </c>
      <c r="L14" s="78">
        <f>I14/'סכום נכסי הקרן'!$C$42</f>
        <v>9.6130415788925707E-7</v>
      </c>
    </row>
    <row r="15" spans="2:61">
      <c r="B15" s="76" t="s">
        <v>1598</v>
      </c>
      <c r="C15" s="70" t="s">
        <v>1599</v>
      </c>
      <c r="D15" s="83" t="s">
        <v>113</v>
      </c>
      <c r="E15" s="83" t="s">
        <v>639</v>
      </c>
      <c r="F15" s="83" t="s">
        <v>157</v>
      </c>
      <c r="G15" s="77">
        <v>-4.6264E-2</v>
      </c>
      <c r="H15" s="79">
        <v>759700</v>
      </c>
      <c r="I15" s="77">
        <v>-0.351464569</v>
      </c>
      <c r="J15" s="70"/>
      <c r="K15" s="78">
        <f t="shared" si="0"/>
        <v>9.8232271980375707E-2</v>
      </c>
      <c r="L15" s="78">
        <f>I15/'סכום נכסי הקרן'!$C$42</f>
        <v>-4.3470402876957844E-6</v>
      </c>
    </row>
    <row r="16" spans="2:61">
      <c r="B16" s="73"/>
      <c r="C16" s="70"/>
      <c r="D16" s="70"/>
      <c r="E16" s="70"/>
      <c r="F16" s="70"/>
      <c r="G16" s="77"/>
      <c r="H16" s="79"/>
      <c r="I16" s="70"/>
      <c r="J16" s="70"/>
      <c r="K16" s="78"/>
      <c r="L16" s="70"/>
    </row>
    <row r="17" spans="2:56">
      <c r="B17" s="95" t="s">
        <v>222</v>
      </c>
      <c r="C17" s="70"/>
      <c r="D17" s="70"/>
      <c r="E17" s="70"/>
      <c r="F17" s="70"/>
      <c r="G17" s="77"/>
      <c r="H17" s="79"/>
      <c r="I17" s="77">
        <v>-3.3041513879999997</v>
      </c>
      <c r="J17" s="70"/>
      <c r="K17" s="78">
        <f t="shared" ref="K17:K21" si="1">I17/$I$11</f>
        <v>0.92349080515809223</v>
      </c>
      <c r="L17" s="78">
        <f>I17/'סכום נכסי הקרן'!$C$42</f>
        <v>-4.0866933589206096E-5</v>
      </c>
    </row>
    <row r="18" spans="2:56" ht="20.25">
      <c r="B18" s="89" t="s">
        <v>220</v>
      </c>
      <c r="C18" s="72"/>
      <c r="D18" s="72"/>
      <c r="E18" s="72"/>
      <c r="F18" s="72"/>
      <c r="G18" s="80"/>
      <c r="H18" s="82"/>
      <c r="I18" s="80">
        <v>-3.3041513879999997</v>
      </c>
      <c r="J18" s="72"/>
      <c r="K18" s="81">
        <f t="shared" si="1"/>
        <v>0.92349080515809223</v>
      </c>
      <c r="L18" s="81">
        <f>I18/'סכום נכסי הקרן'!$C$42</f>
        <v>-4.0866933589206096E-5</v>
      </c>
      <c r="BD18" s="4"/>
    </row>
    <row r="19" spans="2:56">
      <c r="B19" s="76" t="s">
        <v>1600</v>
      </c>
      <c r="C19" s="70" t="s">
        <v>1601</v>
      </c>
      <c r="D19" s="83" t="s">
        <v>26</v>
      </c>
      <c r="E19" s="83" t="s">
        <v>639</v>
      </c>
      <c r="F19" s="83" t="s">
        <v>156</v>
      </c>
      <c r="G19" s="77">
        <v>-7.4526999999999996E-2</v>
      </c>
      <c r="H19" s="79">
        <v>16900</v>
      </c>
      <c r="I19" s="77">
        <v>-4.3654511789999999</v>
      </c>
      <c r="J19" s="70"/>
      <c r="K19" s="78">
        <f t="shared" si="1"/>
        <v>1.2201178308035363</v>
      </c>
      <c r="L19" s="78">
        <f>I19/'סכום נכסי הקרן'!$C$42</f>
        <v>-5.3993471384827015E-5</v>
      </c>
    </row>
    <row r="20" spans="2:56">
      <c r="B20" s="76" t="s">
        <v>1602</v>
      </c>
      <c r="C20" s="70" t="s">
        <v>1603</v>
      </c>
      <c r="D20" s="83" t="s">
        <v>26</v>
      </c>
      <c r="E20" s="83" t="s">
        <v>639</v>
      </c>
      <c r="F20" s="83" t="s">
        <v>158</v>
      </c>
      <c r="G20" s="77">
        <v>0.19202100000000002</v>
      </c>
      <c r="H20" s="79">
        <v>4490</v>
      </c>
      <c r="I20" s="77">
        <v>0.33476538199999994</v>
      </c>
      <c r="J20" s="70"/>
      <c r="K20" s="78">
        <f t="shared" si="1"/>
        <v>-9.3564947806270518E-2</v>
      </c>
      <c r="L20" s="78">
        <f>I20/'סכום נכסי הקרן'!$C$42</f>
        <v>4.1404987325475438E-6</v>
      </c>
    </row>
    <row r="21" spans="2:56">
      <c r="B21" s="76" t="s">
        <v>1604</v>
      </c>
      <c r="C21" s="70" t="s">
        <v>1605</v>
      </c>
      <c r="D21" s="83" t="s">
        <v>26</v>
      </c>
      <c r="E21" s="83" t="s">
        <v>639</v>
      </c>
      <c r="F21" s="83" t="s">
        <v>158</v>
      </c>
      <c r="G21" s="77">
        <v>0.26616800000000002</v>
      </c>
      <c r="H21" s="79">
        <v>7030</v>
      </c>
      <c r="I21" s="77">
        <v>0.72653440899999999</v>
      </c>
      <c r="J21" s="70"/>
      <c r="K21" s="78">
        <f t="shared" si="1"/>
        <v>-0.20306207783917338</v>
      </c>
      <c r="L21" s="78">
        <f>I21/'סכום נכסי הקרן'!$C$42</f>
        <v>8.9860390630733716E-6</v>
      </c>
      <c r="BD21" s="3"/>
    </row>
    <row r="22" spans="2:56">
      <c r="B22" s="73"/>
      <c r="C22" s="70"/>
      <c r="D22" s="70"/>
      <c r="E22" s="70"/>
      <c r="F22" s="70"/>
      <c r="G22" s="77"/>
      <c r="H22" s="79"/>
      <c r="I22" s="70"/>
      <c r="J22" s="70"/>
      <c r="K22" s="78"/>
      <c r="L22" s="70"/>
    </row>
    <row r="23" spans="2:5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85" t="s">
        <v>244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85" t="s">
        <v>105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85" t="s">
        <v>227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85" t="s">
        <v>235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2:12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2:12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2:12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2:12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2:12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2:12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6"/>
    </sheetView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64.855468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172</v>
      </c>
      <c r="C1" s="68" t="s" vm="1">
        <v>252</v>
      </c>
    </row>
    <row r="2" spans="1:60">
      <c r="B2" s="47" t="s">
        <v>171</v>
      </c>
      <c r="C2" s="68" t="s">
        <v>253</v>
      </c>
    </row>
    <row r="3" spans="1:60">
      <c r="B3" s="47" t="s">
        <v>173</v>
      </c>
      <c r="C3" s="68" t="s">
        <v>254</v>
      </c>
    </row>
    <row r="4" spans="1:60">
      <c r="B4" s="47" t="s">
        <v>174</v>
      </c>
      <c r="C4" s="68">
        <v>8602</v>
      </c>
    </row>
    <row r="6" spans="1:60" ht="26.25" customHeight="1">
      <c r="B6" s="123" t="s">
        <v>202</v>
      </c>
      <c r="C6" s="124"/>
      <c r="D6" s="124"/>
      <c r="E6" s="124"/>
      <c r="F6" s="124"/>
      <c r="G6" s="124"/>
      <c r="H6" s="124"/>
      <c r="I6" s="124"/>
      <c r="J6" s="124"/>
      <c r="K6" s="125"/>
      <c r="BD6" s="1" t="s">
        <v>113</v>
      </c>
      <c r="BF6" s="1" t="s">
        <v>180</v>
      </c>
      <c r="BH6" s="3" t="s">
        <v>157</v>
      </c>
    </row>
    <row r="7" spans="1:60" ht="26.25" customHeight="1">
      <c r="B7" s="123" t="s">
        <v>89</v>
      </c>
      <c r="C7" s="124"/>
      <c r="D7" s="124"/>
      <c r="E7" s="124"/>
      <c r="F7" s="124"/>
      <c r="G7" s="124"/>
      <c r="H7" s="124"/>
      <c r="I7" s="124"/>
      <c r="J7" s="124"/>
      <c r="K7" s="125"/>
      <c r="BD7" s="3" t="s">
        <v>115</v>
      </c>
      <c r="BF7" s="1" t="s">
        <v>135</v>
      </c>
      <c r="BH7" s="3" t="s">
        <v>156</v>
      </c>
    </row>
    <row r="8" spans="1:60" s="3" customFormat="1" ht="78.75">
      <c r="A8" s="2"/>
      <c r="B8" s="22" t="s">
        <v>109</v>
      </c>
      <c r="C8" s="30" t="s">
        <v>41</v>
      </c>
      <c r="D8" s="30" t="s">
        <v>112</v>
      </c>
      <c r="E8" s="30" t="s">
        <v>61</v>
      </c>
      <c r="F8" s="30" t="s">
        <v>96</v>
      </c>
      <c r="G8" s="30" t="s">
        <v>229</v>
      </c>
      <c r="H8" s="30" t="s">
        <v>228</v>
      </c>
      <c r="I8" s="30" t="s">
        <v>58</v>
      </c>
      <c r="J8" s="30" t="s">
        <v>175</v>
      </c>
      <c r="K8" s="31" t="s">
        <v>177</v>
      </c>
      <c r="BC8" s="1" t="s">
        <v>128</v>
      </c>
      <c r="BD8" s="1" t="s">
        <v>129</v>
      </c>
      <c r="BE8" s="1" t="s">
        <v>136</v>
      </c>
      <c r="BG8" s="4" t="s">
        <v>158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236</v>
      </c>
      <c r="H9" s="16"/>
      <c r="I9" s="16" t="s">
        <v>232</v>
      </c>
      <c r="J9" s="32" t="s">
        <v>19</v>
      </c>
      <c r="K9" s="33" t="s">
        <v>19</v>
      </c>
      <c r="BC9" s="1" t="s">
        <v>125</v>
      </c>
      <c r="BE9" s="1" t="s">
        <v>137</v>
      </c>
      <c r="BG9" s="4" t="s">
        <v>159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121</v>
      </c>
      <c r="BD10" s="3"/>
      <c r="BE10" s="1" t="s">
        <v>181</v>
      </c>
      <c r="BG10" s="1" t="s">
        <v>165</v>
      </c>
    </row>
    <row r="11" spans="1:60" s="4" customFormat="1" ht="18" customHeight="1">
      <c r="A11" s="2"/>
      <c r="B11" s="69" t="s">
        <v>45</v>
      </c>
      <c r="C11" s="70"/>
      <c r="D11" s="70"/>
      <c r="E11" s="70"/>
      <c r="F11" s="70"/>
      <c r="G11" s="77"/>
      <c r="H11" s="79"/>
      <c r="I11" s="77">
        <v>-1.447659933</v>
      </c>
      <c r="J11" s="78">
        <f>I11/$I$11</f>
        <v>1</v>
      </c>
      <c r="K11" s="78">
        <f>I11/'סכום נכסי הקרן'!$C$42</f>
        <v>-1.7905179089713534E-5</v>
      </c>
      <c r="L11" s="3"/>
      <c r="M11" s="3"/>
      <c r="N11" s="3"/>
      <c r="O11" s="3"/>
      <c r="BC11" s="1" t="s">
        <v>120</v>
      </c>
      <c r="BD11" s="3"/>
      <c r="BE11" s="1" t="s">
        <v>138</v>
      </c>
      <c r="BG11" s="1" t="s">
        <v>160</v>
      </c>
    </row>
    <row r="12" spans="1:60" ht="20.25">
      <c r="B12" s="95" t="s">
        <v>225</v>
      </c>
      <c r="C12" s="70"/>
      <c r="D12" s="70"/>
      <c r="E12" s="70"/>
      <c r="F12" s="70"/>
      <c r="G12" s="77"/>
      <c r="H12" s="79"/>
      <c r="I12" s="77">
        <v>-1.447659933</v>
      </c>
      <c r="J12" s="78">
        <f t="shared" ref="J12:J16" si="0">I12/$I$11</f>
        <v>1</v>
      </c>
      <c r="K12" s="78">
        <f>I12/'סכום נכסי הקרן'!$C$42</f>
        <v>-1.7905179089713534E-5</v>
      </c>
      <c r="P12" s="1"/>
      <c r="BC12" s="1" t="s">
        <v>118</v>
      </c>
      <c r="BD12" s="4"/>
      <c r="BE12" s="1" t="s">
        <v>139</v>
      </c>
      <c r="BG12" s="1" t="s">
        <v>161</v>
      </c>
    </row>
    <row r="13" spans="1:60">
      <c r="B13" s="73" t="s">
        <v>1606</v>
      </c>
      <c r="C13" s="70" t="s">
        <v>1607</v>
      </c>
      <c r="D13" s="83" t="s">
        <v>26</v>
      </c>
      <c r="E13" s="83" t="s">
        <v>639</v>
      </c>
      <c r="F13" s="83" t="s">
        <v>158</v>
      </c>
      <c r="G13" s="77">
        <v>0.14068900000000001</v>
      </c>
      <c r="H13" s="79">
        <v>322300</v>
      </c>
      <c r="I13" s="77">
        <v>-0.341444935</v>
      </c>
      <c r="J13" s="78">
        <f t="shared" si="0"/>
        <v>0.23585990550447875</v>
      </c>
      <c r="K13" s="78">
        <f>I13/'סכום נכסי הקרן'!$C$42</f>
        <v>-4.2231138481406029E-6</v>
      </c>
      <c r="P13" s="1"/>
      <c r="BC13" s="1" t="s">
        <v>122</v>
      </c>
      <c r="BE13" s="1" t="s">
        <v>140</v>
      </c>
      <c r="BG13" s="1" t="s">
        <v>162</v>
      </c>
    </row>
    <row r="14" spans="1:60">
      <c r="B14" s="73" t="s">
        <v>1608</v>
      </c>
      <c r="C14" s="70" t="s">
        <v>1609</v>
      </c>
      <c r="D14" s="83" t="s">
        <v>26</v>
      </c>
      <c r="E14" s="83" t="s">
        <v>639</v>
      </c>
      <c r="F14" s="83" t="s">
        <v>156</v>
      </c>
      <c r="G14" s="77">
        <v>0.107988</v>
      </c>
      <c r="H14" s="79">
        <v>5050</v>
      </c>
      <c r="I14" s="77">
        <v>-1.0790402999999999E-2</v>
      </c>
      <c r="J14" s="78">
        <f t="shared" si="0"/>
        <v>7.4536862933264588E-3</v>
      </c>
      <c r="K14" s="78">
        <f>I14/'סכום נכסי הקרן'!$C$42</f>
        <v>-1.3345958796055327E-7</v>
      </c>
      <c r="P14" s="1"/>
      <c r="BC14" s="1" t="s">
        <v>119</v>
      </c>
      <c r="BE14" s="1" t="s">
        <v>141</v>
      </c>
      <c r="BG14" s="1" t="s">
        <v>164</v>
      </c>
    </row>
    <row r="15" spans="1:60">
      <c r="B15" s="73" t="s">
        <v>1610</v>
      </c>
      <c r="C15" s="70" t="s">
        <v>1611</v>
      </c>
      <c r="D15" s="83" t="s">
        <v>26</v>
      </c>
      <c r="E15" s="83" t="s">
        <v>639</v>
      </c>
      <c r="F15" s="83" t="s">
        <v>156</v>
      </c>
      <c r="G15" s="77">
        <v>0.36449799999999999</v>
      </c>
      <c r="H15" s="79">
        <v>309025</v>
      </c>
      <c r="I15" s="77">
        <v>-1.4368940139999999</v>
      </c>
      <c r="J15" s="78">
        <f t="shared" si="0"/>
        <v>0.99256322651847539</v>
      </c>
      <c r="K15" s="78">
        <f>I15/'סכום נכסי הקרן'!$C$42</f>
        <v>-1.7772022328677205E-5</v>
      </c>
      <c r="P15" s="1"/>
      <c r="BC15" s="1" t="s">
        <v>130</v>
      </c>
      <c r="BE15" s="1" t="s">
        <v>182</v>
      </c>
      <c r="BG15" s="1" t="s">
        <v>166</v>
      </c>
    </row>
    <row r="16" spans="1:60" ht="20.25">
      <c r="B16" s="73" t="s">
        <v>1612</v>
      </c>
      <c r="C16" s="70" t="s">
        <v>1613</v>
      </c>
      <c r="D16" s="83" t="s">
        <v>26</v>
      </c>
      <c r="E16" s="83" t="s">
        <v>639</v>
      </c>
      <c r="F16" s="83" t="s">
        <v>158</v>
      </c>
      <c r="G16" s="77">
        <v>0.180614</v>
      </c>
      <c r="H16" s="79">
        <v>35890</v>
      </c>
      <c r="I16" s="77">
        <v>0.34146941900000005</v>
      </c>
      <c r="J16" s="78">
        <f t="shared" si="0"/>
        <v>-0.23587681831628068</v>
      </c>
      <c r="K16" s="78">
        <f>I16/'סכום נכסי הקרן'!$C$42</f>
        <v>4.2234166750648274E-6</v>
      </c>
      <c r="P16" s="1"/>
      <c r="BC16" s="4" t="s">
        <v>116</v>
      </c>
      <c r="BD16" s="1" t="s">
        <v>131</v>
      </c>
      <c r="BE16" s="1" t="s">
        <v>142</v>
      </c>
      <c r="BG16" s="1" t="s">
        <v>167</v>
      </c>
    </row>
    <row r="17" spans="2:60">
      <c r="B17" s="95"/>
      <c r="C17" s="70"/>
      <c r="D17" s="70"/>
      <c r="E17" s="70"/>
      <c r="F17" s="70"/>
      <c r="G17" s="77"/>
      <c r="H17" s="79"/>
      <c r="I17" s="70"/>
      <c r="J17" s="78"/>
      <c r="K17" s="70"/>
      <c r="P17" s="1"/>
      <c r="BC17" s="1" t="s">
        <v>126</v>
      </c>
      <c r="BE17" s="1" t="s">
        <v>143</v>
      </c>
      <c r="BG17" s="1" t="s">
        <v>168</v>
      </c>
    </row>
    <row r="18" spans="2:60">
      <c r="B18" s="69"/>
      <c r="C18" s="69"/>
      <c r="D18" s="69"/>
      <c r="E18" s="69"/>
      <c r="F18" s="69"/>
      <c r="G18" s="69"/>
      <c r="H18" s="69"/>
      <c r="I18" s="69"/>
      <c r="J18" s="69"/>
      <c r="K18" s="69"/>
      <c r="BD18" s="1" t="s">
        <v>114</v>
      </c>
      <c r="BF18" s="1" t="s">
        <v>144</v>
      </c>
      <c r="BH18" s="1" t="s">
        <v>26</v>
      </c>
    </row>
    <row r="19" spans="2:60">
      <c r="B19" s="69"/>
      <c r="C19" s="69"/>
      <c r="D19" s="69"/>
      <c r="E19" s="69"/>
      <c r="F19" s="69"/>
      <c r="G19" s="69"/>
      <c r="H19" s="69"/>
      <c r="I19" s="69"/>
      <c r="J19" s="69"/>
      <c r="K19" s="69"/>
      <c r="BD19" s="1" t="s">
        <v>127</v>
      </c>
      <c r="BF19" s="1" t="s">
        <v>145</v>
      </c>
    </row>
    <row r="20" spans="2:60">
      <c r="B20" s="85" t="s">
        <v>244</v>
      </c>
      <c r="C20" s="69"/>
      <c r="D20" s="69"/>
      <c r="E20" s="69"/>
      <c r="F20" s="69"/>
      <c r="G20" s="69"/>
      <c r="H20" s="69"/>
      <c r="I20" s="69"/>
      <c r="J20" s="69"/>
      <c r="K20" s="69"/>
      <c r="BD20" s="1" t="s">
        <v>132</v>
      </c>
      <c r="BF20" s="1" t="s">
        <v>146</v>
      </c>
    </row>
    <row r="21" spans="2:60">
      <c r="B21" s="85" t="s">
        <v>105</v>
      </c>
      <c r="C21" s="69"/>
      <c r="D21" s="69"/>
      <c r="E21" s="69"/>
      <c r="F21" s="69"/>
      <c r="G21" s="69"/>
      <c r="H21" s="69"/>
      <c r="I21" s="69"/>
      <c r="J21" s="69"/>
      <c r="K21" s="69"/>
      <c r="BD21" s="1" t="s">
        <v>117</v>
      </c>
      <c r="BE21" s="1" t="s">
        <v>133</v>
      </c>
      <c r="BF21" s="1" t="s">
        <v>147</v>
      </c>
    </row>
    <row r="22" spans="2:60">
      <c r="B22" s="85" t="s">
        <v>227</v>
      </c>
      <c r="C22" s="69"/>
      <c r="D22" s="69"/>
      <c r="E22" s="69"/>
      <c r="F22" s="69"/>
      <c r="G22" s="69"/>
      <c r="H22" s="69"/>
      <c r="I22" s="69"/>
      <c r="J22" s="69"/>
      <c r="K22" s="69"/>
      <c r="BD22" s="1" t="s">
        <v>123</v>
      </c>
      <c r="BF22" s="1" t="s">
        <v>148</v>
      </c>
    </row>
    <row r="23" spans="2:60">
      <c r="B23" s="85" t="s">
        <v>235</v>
      </c>
      <c r="C23" s="69"/>
      <c r="D23" s="69"/>
      <c r="E23" s="69"/>
      <c r="F23" s="69"/>
      <c r="G23" s="69"/>
      <c r="H23" s="69"/>
      <c r="I23" s="69"/>
      <c r="J23" s="69"/>
      <c r="K23" s="69"/>
      <c r="BD23" s="1" t="s">
        <v>26</v>
      </c>
      <c r="BE23" s="1" t="s">
        <v>124</v>
      </c>
      <c r="BF23" s="1" t="s">
        <v>183</v>
      </c>
    </row>
    <row r="24" spans="2:60">
      <c r="B24" s="69"/>
      <c r="C24" s="69"/>
      <c r="D24" s="69"/>
      <c r="E24" s="69"/>
      <c r="F24" s="69"/>
      <c r="G24" s="69"/>
      <c r="H24" s="69"/>
      <c r="I24" s="69"/>
      <c r="J24" s="69"/>
      <c r="K24" s="69"/>
      <c r="BF24" s="1" t="s">
        <v>186</v>
      </c>
    </row>
    <row r="25" spans="2:60">
      <c r="B25" s="69"/>
      <c r="C25" s="69"/>
      <c r="D25" s="69"/>
      <c r="E25" s="69"/>
      <c r="F25" s="69"/>
      <c r="G25" s="69"/>
      <c r="H25" s="69"/>
      <c r="I25" s="69"/>
      <c r="J25" s="69"/>
      <c r="K25" s="69"/>
      <c r="BF25" s="1" t="s">
        <v>149</v>
      </c>
    </row>
    <row r="26" spans="2:60">
      <c r="B26" s="69"/>
      <c r="C26" s="69"/>
      <c r="D26" s="69"/>
      <c r="E26" s="69"/>
      <c r="F26" s="69"/>
      <c r="G26" s="69"/>
      <c r="H26" s="69"/>
      <c r="I26" s="69"/>
      <c r="J26" s="69"/>
      <c r="K26" s="69"/>
      <c r="BF26" s="1" t="s">
        <v>150</v>
      </c>
    </row>
    <row r="27" spans="2:60">
      <c r="B27" s="69"/>
      <c r="C27" s="69"/>
      <c r="D27" s="69"/>
      <c r="E27" s="69"/>
      <c r="F27" s="69"/>
      <c r="G27" s="69"/>
      <c r="H27" s="69"/>
      <c r="I27" s="69"/>
      <c r="J27" s="69"/>
      <c r="K27" s="69"/>
      <c r="BF27" s="1" t="s">
        <v>185</v>
      </c>
    </row>
    <row r="28" spans="2:60">
      <c r="B28" s="69"/>
      <c r="C28" s="69"/>
      <c r="D28" s="69"/>
      <c r="E28" s="69"/>
      <c r="F28" s="69"/>
      <c r="G28" s="69"/>
      <c r="H28" s="69"/>
      <c r="I28" s="69"/>
      <c r="J28" s="69"/>
      <c r="K28" s="69"/>
      <c r="BF28" s="1" t="s">
        <v>151</v>
      </c>
    </row>
    <row r="29" spans="2:60">
      <c r="B29" s="69"/>
      <c r="C29" s="69"/>
      <c r="D29" s="69"/>
      <c r="E29" s="69"/>
      <c r="F29" s="69"/>
      <c r="G29" s="69"/>
      <c r="H29" s="69"/>
      <c r="I29" s="69"/>
      <c r="J29" s="69"/>
      <c r="K29" s="69"/>
      <c r="BF29" s="1" t="s">
        <v>152</v>
      </c>
    </row>
    <row r="30" spans="2:60">
      <c r="B30" s="69"/>
      <c r="C30" s="69"/>
      <c r="D30" s="69"/>
      <c r="E30" s="69"/>
      <c r="F30" s="69"/>
      <c r="G30" s="69"/>
      <c r="H30" s="69"/>
      <c r="I30" s="69"/>
      <c r="J30" s="69"/>
      <c r="K30" s="69"/>
      <c r="BF30" s="1" t="s">
        <v>184</v>
      </c>
    </row>
    <row r="31" spans="2:60">
      <c r="B31" s="69"/>
      <c r="C31" s="69"/>
      <c r="D31" s="69"/>
      <c r="E31" s="69"/>
      <c r="F31" s="69"/>
      <c r="G31" s="69"/>
      <c r="H31" s="69"/>
      <c r="I31" s="69"/>
      <c r="J31" s="69"/>
      <c r="K31" s="69"/>
      <c r="BF31" s="1" t="s">
        <v>26</v>
      </c>
    </row>
    <row r="32" spans="2:60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2:11">
      <c r="B112" s="69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2:11"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2:11"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2:11"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2:11"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172</v>
      </c>
      <c r="C1" s="68" t="s" vm="1">
        <v>252</v>
      </c>
    </row>
    <row r="2" spans="2:81">
      <c r="B2" s="47" t="s">
        <v>171</v>
      </c>
      <c r="C2" s="68" t="s">
        <v>253</v>
      </c>
    </row>
    <row r="3" spans="2:81">
      <c r="B3" s="47" t="s">
        <v>173</v>
      </c>
      <c r="C3" s="68" t="s">
        <v>254</v>
      </c>
      <c r="E3" s="2"/>
    </row>
    <row r="4" spans="2:81">
      <c r="B4" s="47" t="s">
        <v>174</v>
      </c>
      <c r="C4" s="68">
        <v>8602</v>
      </c>
    </row>
    <row r="6" spans="2:81" ht="26.25" customHeight="1">
      <c r="B6" s="123" t="s">
        <v>202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81" ht="26.25" customHeight="1">
      <c r="B7" s="123" t="s">
        <v>90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81" s="3" customFormat="1" ht="47.25">
      <c r="B8" s="22" t="s">
        <v>109</v>
      </c>
      <c r="C8" s="30" t="s">
        <v>41</v>
      </c>
      <c r="D8" s="13" t="s">
        <v>47</v>
      </c>
      <c r="E8" s="30" t="s">
        <v>14</v>
      </c>
      <c r="F8" s="30" t="s">
        <v>62</v>
      </c>
      <c r="G8" s="30" t="s">
        <v>97</v>
      </c>
      <c r="H8" s="30" t="s">
        <v>17</v>
      </c>
      <c r="I8" s="30" t="s">
        <v>96</v>
      </c>
      <c r="J8" s="30" t="s">
        <v>16</v>
      </c>
      <c r="K8" s="30" t="s">
        <v>18</v>
      </c>
      <c r="L8" s="30" t="s">
        <v>229</v>
      </c>
      <c r="M8" s="30" t="s">
        <v>228</v>
      </c>
      <c r="N8" s="30" t="s">
        <v>58</v>
      </c>
      <c r="O8" s="30" t="s">
        <v>55</v>
      </c>
      <c r="P8" s="30" t="s">
        <v>175</v>
      </c>
      <c r="Q8" s="31" t="s">
        <v>177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236</v>
      </c>
      <c r="M9" s="32"/>
      <c r="N9" s="32" t="s">
        <v>232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106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13">
        <v>0</v>
      </c>
      <c r="O11" s="69"/>
      <c r="P11" s="69"/>
      <c r="Q11" s="69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5" t="s">
        <v>244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81">
      <c r="B13" s="85" t="s">
        <v>105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81">
      <c r="B14" s="85" t="s">
        <v>227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81">
      <c r="B15" s="85" t="s">
        <v>235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8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AH36:XFD39 D40:XFD1048576 D36:AF39 D1:M35 O1:XFD35 N1:N10 N12:N35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92"/>
  <sheetViews>
    <sheetView rightToLeft="1" topLeftCell="A91" workbookViewId="0"/>
  </sheetViews>
  <sheetFormatPr defaultColWidth="9.140625" defaultRowHeight="18"/>
  <cols>
    <col min="1" max="1" width="3" style="1" customWidth="1"/>
    <col min="2" max="2" width="33.5703125" style="2" bestFit="1" customWidth="1"/>
    <col min="3" max="3" width="64.855468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172</v>
      </c>
      <c r="C1" s="68" t="s" vm="1">
        <v>252</v>
      </c>
    </row>
    <row r="2" spans="2:72">
      <c r="B2" s="47" t="s">
        <v>171</v>
      </c>
      <c r="C2" s="68" t="s">
        <v>253</v>
      </c>
    </row>
    <row r="3" spans="2:72">
      <c r="B3" s="47" t="s">
        <v>173</v>
      </c>
      <c r="C3" s="68" t="s">
        <v>254</v>
      </c>
    </row>
    <row r="4" spans="2:72">
      <c r="B4" s="47" t="s">
        <v>174</v>
      </c>
      <c r="C4" s="68">
        <v>8602</v>
      </c>
    </row>
    <row r="6" spans="2:72" ht="26.25" customHeight="1">
      <c r="B6" s="123" t="s">
        <v>203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72" ht="26.25" customHeight="1">
      <c r="B7" s="123" t="s">
        <v>82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72" s="3" customFormat="1" ht="78.75">
      <c r="B8" s="22" t="s">
        <v>109</v>
      </c>
      <c r="C8" s="30" t="s">
        <v>41</v>
      </c>
      <c r="D8" s="30" t="s">
        <v>14</v>
      </c>
      <c r="E8" s="30" t="s">
        <v>62</v>
      </c>
      <c r="F8" s="30" t="s">
        <v>97</v>
      </c>
      <c r="G8" s="30" t="s">
        <v>17</v>
      </c>
      <c r="H8" s="30" t="s">
        <v>96</v>
      </c>
      <c r="I8" s="30" t="s">
        <v>16</v>
      </c>
      <c r="J8" s="30" t="s">
        <v>18</v>
      </c>
      <c r="K8" s="30" t="s">
        <v>229</v>
      </c>
      <c r="L8" s="30" t="s">
        <v>228</v>
      </c>
      <c r="M8" s="30" t="s">
        <v>104</v>
      </c>
      <c r="N8" s="30" t="s">
        <v>55</v>
      </c>
      <c r="O8" s="30" t="s">
        <v>175</v>
      </c>
      <c r="P8" s="31" t="s">
        <v>177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236</v>
      </c>
      <c r="L9" s="32"/>
      <c r="M9" s="32" t="s">
        <v>232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87" t="s">
        <v>25</v>
      </c>
      <c r="C11" s="88"/>
      <c r="D11" s="88"/>
      <c r="E11" s="88"/>
      <c r="F11" s="88"/>
      <c r="G11" s="90">
        <v>5.967047464269772</v>
      </c>
      <c r="H11" s="88"/>
      <c r="I11" s="88"/>
      <c r="J11" s="91">
        <v>4.8539518280704665E-2</v>
      </c>
      <c r="K11" s="90"/>
      <c r="L11" s="92"/>
      <c r="M11" s="90">
        <v>58699.140920000005</v>
      </c>
      <c r="N11" s="88"/>
      <c r="O11" s="93">
        <f>M11/$M$11</f>
        <v>1</v>
      </c>
      <c r="P11" s="93">
        <f>M11/'סכום נכסי הקרן'!$C$42</f>
        <v>0.72601210175575959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1" t="s">
        <v>223</v>
      </c>
      <c r="C12" s="72"/>
      <c r="D12" s="72"/>
      <c r="E12" s="72"/>
      <c r="F12" s="72"/>
      <c r="G12" s="80">
        <v>5.9670474642697684</v>
      </c>
      <c r="H12" s="72"/>
      <c r="I12" s="72"/>
      <c r="J12" s="94">
        <v>4.8539518280704658E-2</v>
      </c>
      <c r="K12" s="80"/>
      <c r="L12" s="82"/>
      <c r="M12" s="80">
        <v>58699.14092000002</v>
      </c>
      <c r="N12" s="72"/>
      <c r="O12" s="81">
        <f t="shared" ref="O12:O75" si="0">M12/$M$11</f>
        <v>1.0000000000000002</v>
      </c>
      <c r="P12" s="81">
        <f>M12/'סכום נכסי הקרן'!$C$42</f>
        <v>0.72601210175575981</v>
      </c>
    </row>
    <row r="13" spans="2:72">
      <c r="B13" s="89" t="s">
        <v>63</v>
      </c>
      <c r="C13" s="72"/>
      <c r="D13" s="72"/>
      <c r="E13" s="72"/>
      <c r="F13" s="72"/>
      <c r="G13" s="80">
        <v>5.9670474642697684</v>
      </c>
      <c r="H13" s="72"/>
      <c r="I13" s="72"/>
      <c r="J13" s="94">
        <v>4.8539518280704658E-2</v>
      </c>
      <c r="K13" s="80"/>
      <c r="L13" s="82"/>
      <c r="M13" s="80">
        <v>58699.14092000002</v>
      </c>
      <c r="N13" s="72"/>
      <c r="O13" s="81">
        <f t="shared" si="0"/>
        <v>1.0000000000000002</v>
      </c>
      <c r="P13" s="81">
        <f>M13/'סכום נכסי הקרן'!$C$42</f>
        <v>0.72601210175575981</v>
      </c>
    </row>
    <row r="14" spans="2:72">
      <c r="B14" s="76" t="s">
        <v>1614</v>
      </c>
      <c r="C14" s="70" t="s">
        <v>1615</v>
      </c>
      <c r="D14" s="70" t="s">
        <v>257</v>
      </c>
      <c r="E14" s="70"/>
      <c r="F14" s="97">
        <v>39203</v>
      </c>
      <c r="G14" s="77">
        <v>1.77</v>
      </c>
      <c r="H14" s="83" t="s">
        <v>157</v>
      </c>
      <c r="I14" s="84">
        <v>4.8000000000000001E-2</v>
      </c>
      <c r="J14" s="84">
        <v>4.8499999999999995E-2</v>
      </c>
      <c r="K14" s="77">
        <v>2023550</v>
      </c>
      <c r="L14" s="79">
        <v>121.9289</v>
      </c>
      <c r="M14" s="77">
        <v>2467.3469799999998</v>
      </c>
      <c r="N14" s="70"/>
      <c r="O14" s="78">
        <f t="shared" si="0"/>
        <v>4.2033783481817938E-2</v>
      </c>
      <c r="P14" s="78">
        <f>M14/'סכום נכסי הקרן'!$C$42</f>
        <v>3.0517035490381175E-2</v>
      </c>
    </row>
    <row r="15" spans="2:72">
      <c r="B15" s="76" t="s">
        <v>1616</v>
      </c>
      <c r="C15" s="70" t="s">
        <v>1617</v>
      </c>
      <c r="D15" s="70" t="s">
        <v>257</v>
      </c>
      <c r="E15" s="70"/>
      <c r="F15" s="97">
        <v>39234</v>
      </c>
      <c r="G15" s="77">
        <v>1.8499999999999999</v>
      </c>
      <c r="H15" s="83" t="s">
        <v>157</v>
      </c>
      <c r="I15" s="84">
        <v>4.8000000000000001E-2</v>
      </c>
      <c r="J15" s="84">
        <v>4.8500000000000008E-2</v>
      </c>
      <c r="K15" s="77">
        <v>2041774</v>
      </c>
      <c r="L15" s="79">
        <v>120.8369</v>
      </c>
      <c r="M15" s="77">
        <v>2467.2496700000002</v>
      </c>
      <c r="N15" s="70"/>
      <c r="O15" s="78">
        <f t="shared" si="0"/>
        <v>4.2032125706278567E-2</v>
      </c>
      <c r="P15" s="78">
        <f>M15/'סכום נכסי הקרן'!$C$42</f>
        <v>3.0515831925277591E-2</v>
      </c>
    </row>
    <row r="16" spans="2:72">
      <c r="B16" s="76" t="s">
        <v>1618</v>
      </c>
      <c r="C16" s="70" t="s">
        <v>1619</v>
      </c>
      <c r="D16" s="70" t="s">
        <v>257</v>
      </c>
      <c r="E16" s="70"/>
      <c r="F16" s="97">
        <v>39295</v>
      </c>
      <c r="G16" s="77">
        <v>1.97</v>
      </c>
      <c r="H16" s="83" t="s">
        <v>157</v>
      </c>
      <c r="I16" s="84">
        <v>4.8000000000000001E-2</v>
      </c>
      <c r="J16" s="84">
        <v>4.8499999999999995E-2</v>
      </c>
      <c r="K16" s="77">
        <v>1102103</v>
      </c>
      <c r="L16" s="79">
        <v>121.90600000000001</v>
      </c>
      <c r="M16" s="77">
        <v>1343.5592300000001</v>
      </c>
      <c r="N16" s="70"/>
      <c r="O16" s="78">
        <f t="shared" si="0"/>
        <v>2.2888907894429197E-2</v>
      </c>
      <c r="P16" s="78">
        <f>M16/'סכום נכסי הקרן'!$C$42</f>
        <v>1.6617624127328541E-2</v>
      </c>
    </row>
    <row r="17" spans="2:16">
      <c r="B17" s="76" t="s">
        <v>1620</v>
      </c>
      <c r="C17" s="70" t="s">
        <v>1621</v>
      </c>
      <c r="D17" s="70" t="s">
        <v>257</v>
      </c>
      <c r="E17" s="70"/>
      <c r="F17" s="97">
        <v>40148</v>
      </c>
      <c r="G17" s="77">
        <v>4.03</v>
      </c>
      <c r="H17" s="83" t="s">
        <v>157</v>
      </c>
      <c r="I17" s="84">
        <v>4.8000000000000001E-2</v>
      </c>
      <c r="J17" s="84">
        <v>4.8500000000000008E-2</v>
      </c>
      <c r="K17" s="77">
        <v>17000</v>
      </c>
      <c r="L17" s="79">
        <v>108.9432</v>
      </c>
      <c r="M17" s="77">
        <v>18.520419999999998</v>
      </c>
      <c r="N17" s="70"/>
      <c r="O17" s="78">
        <f t="shared" si="0"/>
        <v>3.155143279735753E-4</v>
      </c>
      <c r="P17" s="78">
        <f>M17/'סכום נכסי הקרן'!$C$42</f>
        <v>2.2906722038615147E-4</v>
      </c>
    </row>
    <row r="18" spans="2:16">
      <c r="B18" s="76" t="s">
        <v>1622</v>
      </c>
      <c r="C18" s="70" t="s">
        <v>1623</v>
      </c>
      <c r="D18" s="70" t="s">
        <v>257</v>
      </c>
      <c r="E18" s="70"/>
      <c r="F18" s="97">
        <v>40269</v>
      </c>
      <c r="G18" s="77">
        <v>4.2600000000000007</v>
      </c>
      <c r="H18" s="83" t="s">
        <v>157</v>
      </c>
      <c r="I18" s="84">
        <v>4.8000000000000001E-2</v>
      </c>
      <c r="J18" s="84">
        <v>4.8499999999999995E-2</v>
      </c>
      <c r="K18" s="77">
        <v>30000</v>
      </c>
      <c r="L18" s="79">
        <v>110.54340000000001</v>
      </c>
      <c r="M18" s="77">
        <v>33.16375</v>
      </c>
      <c r="N18" s="70"/>
      <c r="O18" s="78">
        <f t="shared" si="0"/>
        <v>5.6497845590616519E-4</v>
      </c>
      <c r="P18" s="78">
        <f>M18/'סכום נכסי הקרן'!$C$42</f>
        <v>4.1018119621915878E-4</v>
      </c>
    </row>
    <row r="19" spans="2:16">
      <c r="B19" s="76" t="s">
        <v>1624</v>
      </c>
      <c r="C19" s="70" t="s">
        <v>1625</v>
      </c>
      <c r="D19" s="70" t="s">
        <v>257</v>
      </c>
      <c r="E19" s="70"/>
      <c r="F19" s="97">
        <v>40391</v>
      </c>
      <c r="G19" s="77">
        <v>4.4899999999999993</v>
      </c>
      <c r="H19" s="83" t="s">
        <v>157</v>
      </c>
      <c r="I19" s="84">
        <v>4.8000000000000001E-2</v>
      </c>
      <c r="J19" s="84">
        <v>4.8499999999999995E-2</v>
      </c>
      <c r="K19" s="77">
        <v>123000</v>
      </c>
      <c r="L19" s="79">
        <v>109.6347</v>
      </c>
      <c r="M19" s="77">
        <v>134.85091</v>
      </c>
      <c r="N19" s="70"/>
      <c r="O19" s="78">
        <f t="shared" si="0"/>
        <v>2.2973234000781351E-3</v>
      </c>
      <c r="P19" s="78">
        <f>M19/'סכום נכסי הקרן'!$C$42</f>
        <v>1.6678845901034146E-3</v>
      </c>
    </row>
    <row r="20" spans="2:16">
      <c r="B20" s="76" t="s">
        <v>1626</v>
      </c>
      <c r="C20" s="70" t="s">
        <v>1627</v>
      </c>
      <c r="D20" s="70" t="s">
        <v>257</v>
      </c>
      <c r="E20" s="70"/>
      <c r="F20" s="97">
        <v>40909</v>
      </c>
      <c r="G20" s="77">
        <v>5.5400000000000009</v>
      </c>
      <c r="H20" s="83" t="s">
        <v>157</v>
      </c>
      <c r="I20" s="84">
        <v>4.8000000000000001E-2</v>
      </c>
      <c r="J20" s="84">
        <v>4.8500000000000008E-2</v>
      </c>
      <c r="K20" s="77">
        <v>1026000</v>
      </c>
      <c r="L20" s="79">
        <v>105.64</v>
      </c>
      <c r="M20" s="77">
        <v>1083.6978899999999</v>
      </c>
      <c r="N20" s="70"/>
      <c r="O20" s="78">
        <f t="shared" si="0"/>
        <v>1.8461903752168232E-2</v>
      </c>
      <c r="P20" s="78">
        <f>M20/'סכום נכסי הקרן'!$C$42</f>
        <v>1.3403565545524203E-2</v>
      </c>
    </row>
    <row r="21" spans="2:16">
      <c r="B21" s="76" t="s">
        <v>1628</v>
      </c>
      <c r="C21" s="70" t="s">
        <v>1629</v>
      </c>
      <c r="D21" s="70" t="s">
        <v>257</v>
      </c>
      <c r="E21" s="70"/>
      <c r="F21" s="97">
        <v>41214</v>
      </c>
      <c r="G21" s="77">
        <v>6.23</v>
      </c>
      <c r="H21" s="83" t="s">
        <v>157</v>
      </c>
      <c r="I21" s="84">
        <v>4.8000000000000001E-2</v>
      </c>
      <c r="J21" s="84">
        <v>4.8499999999999995E-2</v>
      </c>
      <c r="K21" s="77">
        <v>870000</v>
      </c>
      <c r="L21" s="79">
        <v>101.82210000000001</v>
      </c>
      <c r="M21" s="77">
        <v>885.8525699999999</v>
      </c>
      <c r="N21" s="70"/>
      <c r="O21" s="78">
        <f t="shared" si="0"/>
        <v>1.5091406043017092E-2</v>
      </c>
      <c r="P21" s="78">
        <f>M21/'סכום נכסי הקרן'!$C$42</f>
        <v>1.095654341974041E-2</v>
      </c>
    </row>
    <row r="22" spans="2:16">
      <c r="B22" s="76" t="s">
        <v>1630</v>
      </c>
      <c r="C22" s="70" t="s">
        <v>1631</v>
      </c>
      <c r="D22" s="70" t="s">
        <v>257</v>
      </c>
      <c r="E22" s="70"/>
      <c r="F22" s="97">
        <v>41275</v>
      </c>
      <c r="G22" s="77">
        <v>6.25</v>
      </c>
      <c r="H22" s="83" t="s">
        <v>157</v>
      </c>
      <c r="I22" s="84">
        <v>4.8000000000000001E-2</v>
      </c>
      <c r="J22" s="84">
        <v>4.8499999999999995E-2</v>
      </c>
      <c r="K22" s="77">
        <v>189000</v>
      </c>
      <c r="L22" s="79">
        <v>104.12520000000001</v>
      </c>
      <c r="M22" s="77">
        <v>196.79764</v>
      </c>
      <c r="N22" s="70"/>
      <c r="O22" s="78">
        <f t="shared" si="0"/>
        <v>3.3526494070537068E-3</v>
      </c>
      <c r="P22" s="78">
        <f>M22/'סכום נכסי הקרן'!$C$42</f>
        <v>2.4340640424652632E-3</v>
      </c>
    </row>
    <row r="23" spans="2:16">
      <c r="B23" s="76" t="s">
        <v>1632</v>
      </c>
      <c r="C23" s="70" t="s">
        <v>1633</v>
      </c>
      <c r="D23" s="70" t="s">
        <v>257</v>
      </c>
      <c r="E23" s="70"/>
      <c r="F23" s="97">
        <v>41334</v>
      </c>
      <c r="G23" s="77">
        <v>6.4099999999999993</v>
      </c>
      <c r="H23" s="83" t="s">
        <v>157</v>
      </c>
      <c r="I23" s="84">
        <v>4.8000000000000001E-2</v>
      </c>
      <c r="J23" s="84">
        <v>4.8499999999999995E-2</v>
      </c>
      <c r="K23" s="77">
        <v>320000</v>
      </c>
      <c r="L23" s="79">
        <v>103.2906</v>
      </c>
      <c r="M23" s="77">
        <v>330.53</v>
      </c>
      <c r="N23" s="70"/>
      <c r="O23" s="78">
        <f t="shared" si="0"/>
        <v>5.6309171619815237E-3</v>
      </c>
      <c r="P23" s="78">
        <f>M23/'סכום נכסי הקרן'!$C$42</f>
        <v>4.0881140035827837E-3</v>
      </c>
    </row>
    <row r="24" spans="2:16">
      <c r="B24" s="76" t="s">
        <v>1634</v>
      </c>
      <c r="C24" s="70">
        <v>2704</v>
      </c>
      <c r="D24" s="70" t="s">
        <v>257</v>
      </c>
      <c r="E24" s="70"/>
      <c r="F24" s="97">
        <v>41395</v>
      </c>
      <c r="G24" s="77">
        <v>6.58</v>
      </c>
      <c r="H24" s="83" t="s">
        <v>157</v>
      </c>
      <c r="I24" s="84">
        <v>4.8000000000000001E-2</v>
      </c>
      <c r="J24" s="84">
        <v>4.8500000000000008E-2</v>
      </c>
      <c r="K24" s="77">
        <v>377000</v>
      </c>
      <c r="L24" s="79">
        <v>102.2728</v>
      </c>
      <c r="M24" s="77">
        <v>385.56855000000002</v>
      </c>
      <c r="N24" s="70"/>
      <c r="O24" s="78">
        <f t="shared" si="0"/>
        <v>6.5685552455611645E-3</v>
      </c>
      <c r="P24" s="78">
        <f>M24/'סכום נכסי הקרן'!$C$42</f>
        <v>4.7688505993286803E-3</v>
      </c>
    </row>
    <row r="25" spans="2:16">
      <c r="B25" s="76" t="s">
        <v>1635</v>
      </c>
      <c r="C25" s="70" t="s">
        <v>1636</v>
      </c>
      <c r="D25" s="70" t="s">
        <v>257</v>
      </c>
      <c r="E25" s="70"/>
      <c r="F25" s="97">
        <v>41427</v>
      </c>
      <c r="G25" s="77">
        <v>6.6599999999999984</v>
      </c>
      <c r="H25" s="83" t="s">
        <v>157</v>
      </c>
      <c r="I25" s="84">
        <v>4.8000000000000001E-2</v>
      </c>
      <c r="J25" s="84">
        <v>4.8499999999999995E-2</v>
      </c>
      <c r="K25" s="77">
        <v>528000</v>
      </c>
      <c r="L25" s="79">
        <v>101.4572</v>
      </c>
      <c r="M25" s="77">
        <v>535.69505000000004</v>
      </c>
      <c r="N25" s="70"/>
      <c r="O25" s="78">
        <f t="shared" si="0"/>
        <v>9.1261139703916472E-3</v>
      </c>
      <c r="P25" s="78">
        <f>M25/'סכום נכסי הקרן'!$C$42</f>
        <v>6.6256691845066398E-3</v>
      </c>
    </row>
    <row r="26" spans="2:16">
      <c r="B26" s="76" t="s">
        <v>1637</v>
      </c>
      <c r="C26" s="70">
        <v>8805</v>
      </c>
      <c r="D26" s="70" t="s">
        <v>257</v>
      </c>
      <c r="E26" s="70"/>
      <c r="F26" s="97">
        <v>41487</v>
      </c>
      <c r="G26" s="77">
        <v>6.67</v>
      </c>
      <c r="H26" s="83" t="s">
        <v>157</v>
      </c>
      <c r="I26" s="84">
        <v>4.8000000000000001E-2</v>
      </c>
      <c r="J26" s="84">
        <v>4.8500000000000008E-2</v>
      </c>
      <c r="K26" s="77">
        <v>511000</v>
      </c>
      <c r="L26" s="79">
        <v>102.1712</v>
      </c>
      <c r="M26" s="77">
        <v>522.09726999999998</v>
      </c>
      <c r="N26" s="70"/>
      <c r="O26" s="78">
        <f t="shared" si="0"/>
        <v>8.8944618578244081E-3</v>
      </c>
      <c r="P26" s="78">
        <f>M26/'סכום נכסי הקרן'!$C$42</f>
        <v>6.4574869473855373E-3</v>
      </c>
    </row>
    <row r="27" spans="2:16">
      <c r="B27" s="76" t="s">
        <v>1638</v>
      </c>
      <c r="C27" s="70" t="s">
        <v>1639</v>
      </c>
      <c r="D27" s="70" t="s">
        <v>257</v>
      </c>
      <c r="E27" s="70"/>
      <c r="F27" s="97">
        <v>41548</v>
      </c>
      <c r="G27" s="77">
        <v>6.84</v>
      </c>
      <c r="H27" s="83" t="s">
        <v>157</v>
      </c>
      <c r="I27" s="84">
        <v>4.8000000000000001E-2</v>
      </c>
      <c r="J27" s="84">
        <v>4.8500000000000008E-2</v>
      </c>
      <c r="K27" s="77">
        <v>587000</v>
      </c>
      <c r="L27" s="79">
        <v>101.17740000000001</v>
      </c>
      <c r="M27" s="77">
        <v>593.94821000000002</v>
      </c>
      <c r="N27" s="70"/>
      <c r="O27" s="78">
        <f t="shared" si="0"/>
        <v>1.0118516228533587E-2</v>
      </c>
      <c r="P27" s="78">
        <f>M27/'סכום נכסי הקרן'!$C$42</f>
        <v>7.3461652337274315E-3</v>
      </c>
    </row>
    <row r="28" spans="2:16">
      <c r="B28" s="76" t="s">
        <v>1640</v>
      </c>
      <c r="C28" s="70" t="s">
        <v>1641</v>
      </c>
      <c r="D28" s="70" t="s">
        <v>257</v>
      </c>
      <c r="E28" s="70"/>
      <c r="F28" s="97">
        <v>41579</v>
      </c>
      <c r="G28" s="77">
        <v>6.919999999999999</v>
      </c>
      <c r="H28" s="83" t="s">
        <v>157</v>
      </c>
      <c r="I28" s="84">
        <v>4.8000000000000001E-2</v>
      </c>
      <c r="J28" s="84">
        <v>4.8500000000000008E-2</v>
      </c>
      <c r="K28" s="77">
        <v>513000</v>
      </c>
      <c r="L28" s="79">
        <v>100.77630000000001</v>
      </c>
      <c r="M28" s="77">
        <v>517.02462000000003</v>
      </c>
      <c r="N28" s="70"/>
      <c r="O28" s="78">
        <f t="shared" si="0"/>
        <v>8.8080440683900897E-3</v>
      </c>
      <c r="P28" s="78">
        <f>M28/'סכום נכסי הקרן'!$C$42</f>
        <v>6.3947465864492405E-3</v>
      </c>
    </row>
    <row r="29" spans="2:16">
      <c r="B29" s="76" t="s">
        <v>1642</v>
      </c>
      <c r="C29" s="70" t="s">
        <v>1643</v>
      </c>
      <c r="D29" s="70" t="s">
        <v>257</v>
      </c>
      <c r="E29" s="70"/>
      <c r="F29" s="97">
        <v>41609</v>
      </c>
      <c r="G29" s="77">
        <v>7</v>
      </c>
      <c r="H29" s="83" t="s">
        <v>157</v>
      </c>
      <c r="I29" s="84">
        <v>4.8000000000000001E-2</v>
      </c>
      <c r="J29" s="84">
        <v>4.8500000000000008E-2</v>
      </c>
      <c r="K29" s="77">
        <v>227000</v>
      </c>
      <c r="L29" s="79">
        <v>100.3827</v>
      </c>
      <c r="M29" s="77">
        <v>227.87773000000001</v>
      </c>
      <c r="N29" s="70"/>
      <c r="O29" s="78">
        <f t="shared" si="0"/>
        <v>3.8821305802510882E-3</v>
      </c>
      <c r="P29" s="78">
        <f>M29/'סכום נכסי הקרן'!$C$42</f>
        <v>2.8184737818583994E-3</v>
      </c>
    </row>
    <row r="30" spans="2:16">
      <c r="B30" s="76" t="s">
        <v>1644</v>
      </c>
      <c r="C30" s="70" t="s">
        <v>1645</v>
      </c>
      <c r="D30" s="70" t="s">
        <v>257</v>
      </c>
      <c r="E30" s="70"/>
      <c r="F30" s="97">
        <v>41700</v>
      </c>
      <c r="G30" s="77">
        <v>7.0799999999999983</v>
      </c>
      <c r="H30" s="83" t="s">
        <v>157</v>
      </c>
      <c r="I30" s="84">
        <v>4.8000000000000001E-2</v>
      </c>
      <c r="J30" s="84">
        <v>4.8499999999999995E-2</v>
      </c>
      <c r="K30" s="77">
        <v>149000</v>
      </c>
      <c r="L30" s="79">
        <v>101.86369999999999</v>
      </c>
      <c r="M30" s="77">
        <v>151.77720000000002</v>
      </c>
      <c r="N30" s="70"/>
      <c r="O30" s="78">
        <f t="shared" si="0"/>
        <v>2.5856800903927097E-3</v>
      </c>
      <c r="P30" s="78">
        <f>M30/'סכום נכסי הקרן'!$C$42</f>
        <v>1.8772350368940337E-3</v>
      </c>
    </row>
    <row r="31" spans="2:16">
      <c r="B31" s="76" t="s">
        <v>1646</v>
      </c>
      <c r="C31" s="70" t="s">
        <v>1647</v>
      </c>
      <c r="D31" s="70" t="s">
        <v>257</v>
      </c>
      <c r="E31" s="70"/>
      <c r="F31" s="97">
        <v>41730</v>
      </c>
      <c r="G31" s="77">
        <v>7.17</v>
      </c>
      <c r="H31" s="83" t="s">
        <v>157</v>
      </c>
      <c r="I31" s="84">
        <v>4.8000000000000001E-2</v>
      </c>
      <c r="J31" s="84">
        <v>4.8499999999999995E-2</v>
      </c>
      <c r="K31" s="77">
        <v>236000</v>
      </c>
      <c r="L31" s="79">
        <v>101.6704</v>
      </c>
      <c r="M31" s="77">
        <v>239.94278</v>
      </c>
      <c r="N31" s="70"/>
      <c r="O31" s="78">
        <f t="shared" si="0"/>
        <v>4.0876710670606524E-3</v>
      </c>
      <c r="P31" s="78">
        <f>M31/'סכום נכסי הקרן'!$C$42</f>
        <v>2.9676986626829124E-3</v>
      </c>
    </row>
    <row r="32" spans="2:16">
      <c r="B32" s="76" t="s">
        <v>1648</v>
      </c>
      <c r="C32" s="70" t="s">
        <v>1649</v>
      </c>
      <c r="D32" s="70" t="s">
        <v>257</v>
      </c>
      <c r="E32" s="70"/>
      <c r="F32" s="97">
        <v>41791</v>
      </c>
      <c r="G32" s="77">
        <v>7.339999999999999</v>
      </c>
      <c r="H32" s="83" t="s">
        <v>157</v>
      </c>
      <c r="I32" s="84">
        <v>4.8000000000000001E-2</v>
      </c>
      <c r="J32" s="84">
        <v>4.8499999999999995E-2</v>
      </c>
      <c r="K32" s="77">
        <v>313000</v>
      </c>
      <c r="L32" s="79">
        <v>100.468</v>
      </c>
      <c r="M32" s="77">
        <v>314.48309</v>
      </c>
      <c r="N32" s="70"/>
      <c r="O32" s="78">
        <f t="shared" si="0"/>
        <v>5.3575416108491824E-3</v>
      </c>
      <c r="P32" s="78">
        <f>M32/'סכום נכסי הקרן'!$C$42</f>
        <v>3.8896400451365531E-3</v>
      </c>
    </row>
    <row r="33" spans="2:16">
      <c r="B33" s="76" t="s">
        <v>1650</v>
      </c>
      <c r="C33" s="70" t="s">
        <v>1651</v>
      </c>
      <c r="D33" s="70" t="s">
        <v>257</v>
      </c>
      <c r="E33" s="70"/>
      <c r="F33" s="97">
        <v>41945</v>
      </c>
      <c r="G33" s="77">
        <v>7.59</v>
      </c>
      <c r="H33" s="83" t="s">
        <v>157</v>
      </c>
      <c r="I33" s="84">
        <v>4.8000000000000001E-2</v>
      </c>
      <c r="J33" s="84">
        <v>4.8500000000000008E-2</v>
      </c>
      <c r="K33" s="77">
        <v>574000</v>
      </c>
      <c r="L33" s="79">
        <v>100.7705</v>
      </c>
      <c r="M33" s="77">
        <v>578.42472999999995</v>
      </c>
      <c r="N33" s="70"/>
      <c r="O33" s="78">
        <f t="shared" si="0"/>
        <v>9.8540578436799361E-3</v>
      </c>
      <c r="P33" s="78">
        <f>M33/'סכום נכסי הקרן'!$C$42</f>
        <v>7.1541652459128991E-3</v>
      </c>
    </row>
    <row r="34" spans="2:16">
      <c r="B34" s="76" t="s">
        <v>1652</v>
      </c>
      <c r="C34" s="70" t="s">
        <v>1653</v>
      </c>
      <c r="D34" s="70" t="s">
        <v>257</v>
      </c>
      <c r="E34" s="70"/>
      <c r="F34" s="97">
        <v>41974</v>
      </c>
      <c r="G34" s="77">
        <v>7.67</v>
      </c>
      <c r="H34" s="83" t="s">
        <v>157</v>
      </c>
      <c r="I34" s="84">
        <v>4.8000000000000001E-2</v>
      </c>
      <c r="J34" s="84">
        <v>4.8499999999999995E-2</v>
      </c>
      <c r="K34" s="77">
        <v>1103000</v>
      </c>
      <c r="L34" s="79">
        <v>100.3832</v>
      </c>
      <c r="M34" s="77">
        <v>1107.26064</v>
      </c>
      <c r="N34" s="70"/>
      <c r="O34" s="78">
        <f t="shared" si="0"/>
        <v>1.8863319337314756E-2</v>
      </c>
      <c r="P34" s="78">
        <f>M34/'סכום נכסי הקרן'!$C$42</f>
        <v>1.3694998118173948E-2</v>
      </c>
    </row>
    <row r="35" spans="2:16">
      <c r="B35" s="76" t="s">
        <v>1654</v>
      </c>
      <c r="C35" s="70" t="s">
        <v>1655</v>
      </c>
      <c r="D35" s="70" t="s">
        <v>257</v>
      </c>
      <c r="E35" s="70"/>
      <c r="F35" s="97">
        <v>42036</v>
      </c>
      <c r="G35" s="77">
        <v>7.6499999999999995</v>
      </c>
      <c r="H35" s="83" t="s">
        <v>157</v>
      </c>
      <c r="I35" s="84">
        <v>4.8000000000000001E-2</v>
      </c>
      <c r="J35" s="84">
        <v>4.8500000000000008E-2</v>
      </c>
      <c r="K35" s="77">
        <v>109000</v>
      </c>
      <c r="L35" s="79">
        <v>101.98099999999999</v>
      </c>
      <c r="M35" s="77">
        <v>111.16505000000001</v>
      </c>
      <c r="N35" s="70"/>
      <c r="O35" s="78">
        <f t="shared" si="0"/>
        <v>1.8938105099613781E-3</v>
      </c>
      <c r="P35" s="78">
        <f>M35/'סכום נכסי הקרן'!$C$42</f>
        <v>1.3749293486642071E-3</v>
      </c>
    </row>
    <row r="36" spans="2:16">
      <c r="B36" s="76" t="s">
        <v>1656</v>
      </c>
      <c r="C36" s="70" t="s">
        <v>1657</v>
      </c>
      <c r="D36" s="70" t="s">
        <v>257</v>
      </c>
      <c r="E36" s="70"/>
      <c r="F36" s="97">
        <v>42064</v>
      </c>
      <c r="G36" s="77">
        <v>7.7299999999999995</v>
      </c>
      <c r="H36" s="83" t="s">
        <v>157</v>
      </c>
      <c r="I36" s="84">
        <v>4.8000000000000001E-2</v>
      </c>
      <c r="J36" s="84">
        <v>4.8500000000000008E-2</v>
      </c>
      <c r="K36" s="77">
        <v>756000</v>
      </c>
      <c r="L36" s="79">
        <v>102.3651</v>
      </c>
      <c r="M36" s="77">
        <v>774.02574000000004</v>
      </c>
      <c r="N36" s="70"/>
      <c r="O36" s="78">
        <f t="shared" si="0"/>
        <v>1.3186321432794147E-2</v>
      </c>
      <c r="P36" s="78">
        <f>M36/'סכום נכסי הקרן'!$C$42</f>
        <v>9.5734289378498986E-3</v>
      </c>
    </row>
    <row r="37" spans="2:16">
      <c r="B37" s="76" t="s">
        <v>1658</v>
      </c>
      <c r="C37" s="70" t="s">
        <v>1659</v>
      </c>
      <c r="D37" s="70" t="s">
        <v>257</v>
      </c>
      <c r="E37" s="70"/>
      <c r="F37" s="97">
        <v>42095</v>
      </c>
      <c r="G37" s="77">
        <v>7.81</v>
      </c>
      <c r="H37" s="83" t="s">
        <v>157</v>
      </c>
      <c r="I37" s="84">
        <v>4.8000000000000001E-2</v>
      </c>
      <c r="J37" s="84">
        <v>4.8499999999999995E-2</v>
      </c>
      <c r="K37" s="77">
        <v>1228000</v>
      </c>
      <c r="L37" s="79">
        <v>102.71250000000001</v>
      </c>
      <c r="M37" s="77">
        <v>1261.31105</v>
      </c>
      <c r="N37" s="70"/>
      <c r="O37" s="78">
        <f t="shared" si="0"/>
        <v>2.1487725888851048E-2</v>
      </c>
      <c r="P37" s="78">
        <f>M37/'סכום נכסי הקרן'!$C$42</f>
        <v>1.5600349034516398E-2</v>
      </c>
    </row>
    <row r="38" spans="2:16">
      <c r="B38" s="76" t="s">
        <v>1660</v>
      </c>
      <c r="C38" s="70" t="s">
        <v>1661</v>
      </c>
      <c r="D38" s="70" t="s">
        <v>257</v>
      </c>
      <c r="E38" s="70"/>
      <c r="F38" s="97">
        <v>42156</v>
      </c>
      <c r="G38" s="77">
        <v>7.9800000000000013</v>
      </c>
      <c r="H38" s="83" t="s">
        <v>157</v>
      </c>
      <c r="I38" s="84">
        <v>4.8000000000000001E-2</v>
      </c>
      <c r="J38" s="84">
        <v>4.8499999999999995E-2</v>
      </c>
      <c r="K38" s="77">
        <v>152000</v>
      </c>
      <c r="L38" s="79">
        <v>100.9816</v>
      </c>
      <c r="M38" s="77">
        <v>153.49124</v>
      </c>
      <c r="N38" s="70"/>
      <c r="O38" s="78">
        <f t="shared" si="0"/>
        <v>2.6148805177436999E-3</v>
      </c>
      <c r="P38" s="78">
        <f>M38/'סכום נכסי הקרן'!$C$42</f>
        <v>1.8984349005272923E-3</v>
      </c>
    </row>
    <row r="39" spans="2:16">
      <c r="B39" s="76" t="s">
        <v>1662</v>
      </c>
      <c r="C39" s="70" t="s">
        <v>1663</v>
      </c>
      <c r="D39" s="70" t="s">
        <v>257</v>
      </c>
      <c r="E39" s="70"/>
      <c r="F39" s="97">
        <v>42339</v>
      </c>
      <c r="G39" s="77">
        <v>8.2899999999999991</v>
      </c>
      <c r="H39" s="83" t="s">
        <v>157</v>
      </c>
      <c r="I39" s="84">
        <v>4.8000000000000001E-2</v>
      </c>
      <c r="J39" s="84">
        <v>4.8500000000000008E-2</v>
      </c>
      <c r="K39" s="77">
        <v>919000</v>
      </c>
      <c r="L39" s="79">
        <v>100.77800000000001</v>
      </c>
      <c r="M39" s="77">
        <v>926.14930000000004</v>
      </c>
      <c r="N39" s="70"/>
      <c r="O39" s="78">
        <f t="shared" si="0"/>
        <v>1.5777902120615906E-2</v>
      </c>
      <c r="P39" s="78">
        <f>M39/'סכום נכסי הקרן'!$C$42</f>
        <v>1.1454947879885012E-2</v>
      </c>
    </row>
    <row r="40" spans="2:16">
      <c r="B40" s="76" t="s">
        <v>1664</v>
      </c>
      <c r="C40" s="70" t="s">
        <v>1665</v>
      </c>
      <c r="D40" s="70" t="s">
        <v>257</v>
      </c>
      <c r="E40" s="70"/>
      <c r="F40" s="97">
        <v>42370</v>
      </c>
      <c r="G40" s="77">
        <v>8.18</v>
      </c>
      <c r="H40" s="83" t="s">
        <v>157</v>
      </c>
      <c r="I40" s="84">
        <v>4.8000000000000001E-2</v>
      </c>
      <c r="J40" s="84">
        <v>4.8500000000000008E-2</v>
      </c>
      <c r="K40" s="77">
        <v>226000</v>
      </c>
      <c r="L40" s="79">
        <v>103.2041</v>
      </c>
      <c r="M40" s="77">
        <v>233.24134000000001</v>
      </c>
      <c r="N40" s="70"/>
      <c r="O40" s="78">
        <f t="shared" si="0"/>
        <v>3.97350517135984E-3</v>
      </c>
      <c r="P40" s="78">
        <f>M40/'סכום נכסי הקרן'!$C$42</f>
        <v>2.8848128407963371E-3</v>
      </c>
    </row>
    <row r="41" spans="2:16">
      <c r="B41" s="76" t="s">
        <v>1666</v>
      </c>
      <c r="C41" s="70" t="s">
        <v>1667</v>
      </c>
      <c r="D41" s="70" t="s">
        <v>257</v>
      </c>
      <c r="E41" s="70"/>
      <c r="F41" s="97">
        <v>42461</v>
      </c>
      <c r="G41" s="77">
        <v>8.43</v>
      </c>
      <c r="H41" s="83" t="s">
        <v>157</v>
      </c>
      <c r="I41" s="84">
        <v>4.8000000000000001E-2</v>
      </c>
      <c r="J41" s="84">
        <v>4.8500000000000008E-2</v>
      </c>
      <c r="K41" s="77">
        <v>1168000</v>
      </c>
      <c r="L41" s="79">
        <v>102.92100000000001</v>
      </c>
      <c r="M41" s="77">
        <v>1202.1172199999999</v>
      </c>
      <c r="N41" s="70"/>
      <c r="O41" s="78">
        <f t="shared" si="0"/>
        <v>2.0479298353588235E-2</v>
      </c>
      <c r="P41" s="78">
        <f>M41/'סכום נכסי הקרן'!$C$42</f>
        <v>1.4868218440171862E-2</v>
      </c>
    </row>
    <row r="42" spans="2:16">
      <c r="B42" s="76" t="s">
        <v>1668</v>
      </c>
      <c r="C42" s="70" t="s">
        <v>1669</v>
      </c>
      <c r="D42" s="70" t="s">
        <v>257</v>
      </c>
      <c r="E42" s="70"/>
      <c r="F42" s="97">
        <v>42522</v>
      </c>
      <c r="G42" s="77">
        <v>8.6</v>
      </c>
      <c r="H42" s="83" t="s">
        <v>157</v>
      </c>
      <c r="I42" s="84">
        <v>4.8000000000000001E-2</v>
      </c>
      <c r="J42" s="84">
        <v>4.8499999999999995E-2</v>
      </c>
      <c r="K42" s="77">
        <v>306000</v>
      </c>
      <c r="L42" s="79">
        <v>101.90300000000001</v>
      </c>
      <c r="M42" s="77">
        <v>311.82322999999997</v>
      </c>
      <c r="N42" s="70"/>
      <c r="O42" s="78">
        <f t="shared" si="0"/>
        <v>5.312228170851396E-3</v>
      </c>
      <c r="P42" s="78">
        <f>M42/'סכום נכסי הקרן'!$C$42</f>
        <v>3.8567419393259767E-3</v>
      </c>
    </row>
    <row r="43" spans="2:16">
      <c r="B43" s="76" t="s">
        <v>1670</v>
      </c>
      <c r="C43" s="70" t="s">
        <v>1671</v>
      </c>
      <c r="D43" s="70" t="s">
        <v>257</v>
      </c>
      <c r="E43" s="70"/>
      <c r="F43" s="97">
        <v>42552</v>
      </c>
      <c r="G43" s="77">
        <v>8.48</v>
      </c>
      <c r="H43" s="83" t="s">
        <v>157</v>
      </c>
      <c r="I43" s="84">
        <v>4.8000000000000001E-2</v>
      </c>
      <c r="J43" s="84">
        <v>4.8499999999999995E-2</v>
      </c>
      <c r="K43" s="77">
        <v>137000</v>
      </c>
      <c r="L43" s="79">
        <v>103.6211</v>
      </c>
      <c r="M43" s="77">
        <v>141.96163000000001</v>
      </c>
      <c r="N43" s="70"/>
      <c r="O43" s="78">
        <f t="shared" si="0"/>
        <v>2.418461799866491E-3</v>
      </c>
      <c r="P43" s="78">
        <f>M43/'סכום נכסי הקרן'!$C$42</f>
        <v>1.7558325343370886E-3</v>
      </c>
    </row>
    <row r="44" spans="2:16">
      <c r="B44" s="76" t="s">
        <v>1672</v>
      </c>
      <c r="C44" s="70" t="s">
        <v>1673</v>
      </c>
      <c r="D44" s="70" t="s">
        <v>257</v>
      </c>
      <c r="E44" s="70"/>
      <c r="F44" s="97">
        <v>42583</v>
      </c>
      <c r="G44" s="77">
        <v>8.56</v>
      </c>
      <c r="H44" s="83" t="s">
        <v>157</v>
      </c>
      <c r="I44" s="84">
        <v>4.8000000000000001E-2</v>
      </c>
      <c r="J44" s="84">
        <v>4.8500000000000015E-2</v>
      </c>
      <c r="K44" s="77">
        <v>285000</v>
      </c>
      <c r="L44" s="79">
        <v>102.9111</v>
      </c>
      <c r="M44" s="77">
        <v>293.29656</v>
      </c>
      <c r="N44" s="70"/>
      <c r="O44" s="78">
        <f t="shared" si="0"/>
        <v>4.996607367724999E-3</v>
      </c>
      <c r="P44" s="78">
        <f>M44/'סכום נכסי הקרן'!$C$42</f>
        <v>3.6275974166903404E-3</v>
      </c>
    </row>
    <row r="45" spans="2:16">
      <c r="B45" s="76" t="s">
        <v>1674</v>
      </c>
      <c r="C45" s="70" t="s">
        <v>1675</v>
      </c>
      <c r="D45" s="70" t="s">
        <v>257</v>
      </c>
      <c r="E45" s="70"/>
      <c r="F45" s="97">
        <v>42705</v>
      </c>
      <c r="G45" s="77">
        <v>8.9</v>
      </c>
      <c r="H45" s="83" t="s">
        <v>157</v>
      </c>
      <c r="I45" s="84">
        <v>4.8000000000000001E-2</v>
      </c>
      <c r="J45" s="84">
        <v>4.8499999999999995E-2</v>
      </c>
      <c r="K45" s="77">
        <v>1100000</v>
      </c>
      <c r="L45" s="79">
        <v>101.08159999999999</v>
      </c>
      <c r="M45" s="77">
        <v>1111.8985600000001</v>
      </c>
      <c r="N45" s="70"/>
      <c r="O45" s="78">
        <f t="shared" si="0"/>
        <v>1.8942331055839239E-2</v>
      </c>
      <c r="P45" s="78">
        <f>M45/'סכום נכסי הקרן'!$C$42</f>
        <v>1.3752361582003245E-2</v>
      </c>
    </row>
    <row r="46" spans="2:16">
      <c r="B46" s="76" t="s">
        <v>1676</v>
      </c>
      <c r="C46" s="70" t="s">
        <v>1677</v>
      </c>
      <c r="D46" s="70" t="s">
        <v>257</v>
      </c>
      <c r="E46" s="70"/>
      <c r="F46" s="97">
        <v>42736</v>
      </c>
      <c r="G46" s="77">
        <v>8.7700000000000014</v>
      </c>
      <c r="H46" s="83" t="s">
        <v>157</v>
      </c>
      <c r="I46" s="84">
        <v>4.8000000000000001E-2</v>
      </c>
      <c r="J46" s="84">
        <v>4.8500000000000008E-2</v>
      </c>
      <c r="K46" s="77">
        <v>287000</v>
      </c>
      <c r="L46" s="79">
        <v>103.51649999999999</v>
      </c>
      <c r="M46" s="77">
        <v>297.09224</v>
      </c>
      <c r="N46" s="70"/>
      <c r="O46" s="78">
        <f t="shared" si="0"/>
        <v>5.061270665015381E-3</v>
      </c>
      <c r="P46" s="78">
        <f>M46/'סכום נכסי הקרן'!$C$42</f>
        <v>3.6745437530625881E-3</v>
      </c>
    </row>
    <row r="47" spans="2:16">
      <c r="B47" s="76" t="s">
        <v>1678</v>
      </c>
      <c r="C47" s="70" t="s">
        <v>1679</v>
      </c>
      <c r="D47" s="70" t="s">
        <v>257</v>
      </c>
      <c r="E47" s="70"/>
      <c r="F47" s="97">
        <v>42767</v>
      </c>
      <c r="G47" s="77">
        <v>8.8600000000000012</v>
      </c>
      <c r="H47" s="83" t="s">
        <v>157</v>
      </c>
      <c r="I47" s="84">
        <v>4.8000000000000001E-2</v>
      </c>
      <c r="J47" s="84">
        <v>4.8500000000000008E-2</v>
      </c>
      <c r="K47" s="77">
        <v>801000</v>
      </c>
      <c r="L47" s="79">
        <v>103.108</v>
      </c>
      <c r="M47" s="77">
        <v>825.89485000000002</v>
      </c>
      <c r="N47" s="70"/>
      <c r="O47" s="78">
        <f t="shared" si="0"/>
        <v>1.4069964859035963E-2</v>
      </c>
      <c r="P47" s="78">
        <f>M47/'סכום נכסי הקרן'!$C$42</f>
        <v>1.0214964758938379E-2</v>
      </c>
    </row>
    <row r="48" spans="2:16">
      <c r="B48" s="76" t="s">
        <v>1680</v>
      </c>
      <c r="C48" s="70" t="s">
        <v>1681</v>
      </c>
      <c r="D48" s="70" t="s">
        <v>257</v>
      </c>
      <c r="E48" s="70"/>
      <c r="F48" s="97">
        <v>42795</v>
      </c>
      <c r="G48" s="77">
        <v>8.93</v>
      </c>
      <c r="H48" s="83" t="s">
        <v>157</v>
      </c>
      <c r="I48" s="84">
        <v>4.8000000000000001E-2</v>
      </c>
      <c r="J48" s="84">
        <v>4.8500000000000008E-2</v>
      </c>
      <c r="K48" s="77">
        <v>953000</v>
      </c>
      <c r="L48" s="79">
        <v>102.907</v>
      </c>
      <c r="M48" s="77">
        <v>980.70348999999999</v>
      </c>
      <c r="N48" s="70"/>
      <c r="O48" s="78">
        <f t="shared" si="0"/>
        <v>1.6707288635392177E-2</v>
      </c>
      <c r="P48" s="78">
        <f>M48/'סכום נכסי הקרן'!$C$42</f>
        <v>1.2129693736821191E-2</v>
      </c>
    </row>
    <row r="49" spans="2:16">
      <c r="B49" s="76" t="s">
        <v>1682</v>
      </c>
      <c r="C49" s="70" t="s">
        <v>1683</v>
      </c>
      <c r="D49" s="70" t="s">
        <v>257</v>
      </c>
      <c r="E49" s="70"/>
      <c r="F49" s="97">
        <v>42826</v>
      </c>
      <c r="G49" s="77">
        <v>9.02</v>
      </c>
      <c r="H49" s="83" t="s">
        <v>157</v>
      </c>
      <c r="I49" s="84">
        <v>4.8000000000000001E-2</v>
      </c>
      <c r="J49" s="84">
        <v>4.8499999999999995E-2</v>
      </c>
      <c r="K49" s="77">
        <v>1353000</v>
      </c>
      <c r="L49" s="79">
        <v>102.5009</v>
      </c>
      <c r="M49" s="77">
        <v>1386.8374199999998</v>
      </c>
      <c r="N49" s="70"/>
      <c r="O49" s="78">
        <f t="shared" si="0"/>
        <v>2.3626196197489423E-2</v>
      </c>
      <c r="P49" s="78">
        <f>M49/'סכום נכסי הקרן'!$C$42</f>
        <v>1.7152904357833232E-2</v>
      </c>
    </row>
    <row r="50" spans="2:16">
      <c r="B50" s="76" t="s">
        <v>1684</v>
      </c>
      <c r="C50" s="70" t="s">
        <v>1685</v>
      </c>
      <c r="D50" s="70" t="s">
        <v>257</v>
      </c>
      <c r="E50" s="70"/>
      <c r="F50" s="97">
        <v>42856</v>
      </c>
      <c r="G50" s="77">
        <v>9.1</v>
      </c>
      <c r="H50" s="83" t="s">
        <v>157</v>
      </c>
      <c r="I50" s="84">
        <v>4.8000000000000001E-2</v>
      </c>
      <c r="J50" s="84">
        <v>4.8500000000000008E-2</v>
      </c>
      <c r="K50" s="77">
        <v>1169000</v>
      </c>
      <c r="L50" s="79">
        <v>101.7869</v>
      </c>
      <c r="M50" s="77">
        <v>1189.92968</v>
      </c>
      <c r="N50" s="70"/>
      <c r="O50" s="78">
        <f t="shared" si="0"/>
        <v>2.0271671124143596E-2</v>
      </c>
      <c r="P50" s="78">
        <f>M50/'סכום נכסי הקרן'!$C$42</f>
        <v>1.4717478558941037E-2</v>
      </c>
    </row>
    <row r="51" spans="2:16">
      <c r="B51" s="76" t="s">
        <v>1686</v>
      </c>
      <c r="C51" s="70" t="s">
        <v>1687</v>
      </c>
      <c r="D51" s="70" t="s">
        <v>257</v>
      </c>
      <c r="E51" s="70"/>
      <c r="F51" s="97">
        <v>42918</v>
      </c>
      <c r="G51" s="77">
        <v>9.0500000000000007</v>
      </c>
      <c r="H51" s="83" t="s">
        <v>157</v>
      </c>
      <c r="I51" s="84">
        <v>4.8000000000000001E-2</v>
      </c>
      <c r="J51" s="84">
        <v>4.8500000000000008E-2</v>
      </c>
      <c r="K51" s="77">
        <v>1186000</v>
      </c>
      <c r="L51" s="79">
        <v>102.7812</v>
      </c>
      <c r="M51" s="77">
        <v>1218.9832099999999</v>
      </c>
      <c r="N51" s="70"/>
      <c r="O51" s="78">
        <f t="shared" si="0"/>
        <v>2.0766627771628379E-2</v>
      </c>
      <c r="P51" s="78">
        <f>M51/'סכום נכסי הקרן'!$C$42</f>
        <v>1.5076823074859446E-2</v>
      </c>
    </row>
    <row r="52" spans="2:16">
      <c r="B52" s="76" t="s">
        <v>1688</v>
      </c>
      <c r="C52" s="70" t="s">
        <v>1689</v>
      </c>
      <c r="D52" s="70" t="s">
        <v>257</v>
      </c>
      <c r="E52" s="70"/>
      <c r="F52" s="97">
        <v>42949</v>
      </c>
      <c r="G52" s="77">
        <v>9.14</v>
      </c>
      <c r="H52" s="83" t="s">
        <v>157</v>
      </c>
      <c r="I52" s="84">
        <v>4.8000000000000001E-2</v>
      </c>
      <c r="J52" s="84">
        <v>4.8499999999999995E-2</v>
      </c>
      <c r="K52" s="77">
        <v>545000</v>
      </c>
      <c r="L52" s="79">
        <v>103.1056</v>
      </c>
      <c r="M52" s="77">
        <v>561.92552999999998</v>
      </c>
      <c r="N52" s="70"/>
      <c r="O52" s="78">
        <f t="shared" si="0"/>
        <v>9.5729770690483884E-3</v>
      </c>
      <c r="P52" s="78">
        <f>M52/'סכום נכסי הקרן'!$C$42</f>
        <v>6.9500972019595122E-3</v>
      </c>
    </row>
    <row r="53" spans="2:16">
      <c r="B53" s="76" t="s">
        <v>1690</v>
      </c>
      <c r="C53" s="70" t="s">
        <v>1691</v>
      </c>
      <c r="D53" s="70" t="s">
        <v>257</v>
      </c>
      <c r="E53" s="70"/>
      <c r="F53" s="97">
        <v>43221</v>
      </c>
      <c r="G53" s="77">
        <v>9.66</v>
      </c>
      <c r="H53" s="83" t="s">
        <v>157</v>
      </c>
      <c r="I53" s="84">
        <v>4.8000000000000001E-2</v>
      </c>
      <c r="J53" s="84">
        <v>4.8499999999999995E-2</v>
      </c>
      <c r="K53" s="77">
        <v>370000</v>
      </c>
      <c r="L53" s="79">
        <v>101.58799999999999</v>
      </c>
      <c r="M53" s="77">
        <v>375.91566999999998</v>
      </c>
      <c r="N53" s="70"/>
      <c r="O53" s="78">
        <f t="shared" si="0"/>
        <v>6.4041085458529726E-3</v>
      </c>
      <c r="P53" s="78">
        <f>M53/'סכום נכסי הקרן'!$C$42</f>
        <v>4.6494603052467387E-3</v>
      </c>
    </row>
    <row r="54" spans="2:16">
      <c r="B54" s="76" t="s">
        <v>1692</v>
      </c>
      <c r="C54" s="70" t="s">
        <v>1693</v>
      </c>
      <c r="D54" s="70" t="s">
        <v>257</v>
      </c>
      <c r="E54" s="70"/>
      <c r="F54" s="97">
        <v>43252</v>
      </c>
      <c r="G54" s="77">
        <v>9.75</v>
      </c>
      <c r="H54" s="83" t="s">
        <v>157</v>
      </c>
      <c r="I54" s="84">
        <v>4.8000000000000001E-2</v>
      </c>
      <c r="J54" s="84">
        <v>4.8499999999999995E-2</v>
      </c>
      <c r="K54" s="77">
        <v>695000</v>
      </c>
      <c r="L54" s="79">
        <v>100.795</v>
      </c>
      <c r="M54" s="77">
        <v>700.53263000000004</v>
      </c>
      <c r="N54" s="70"/>
      <c r="O54" s="78">
        <f t="shared" si="0"/>
        <v>1.1934291013811315E-2</v>
      </c>
      <c r="P54" s="78">
        <f>M54/'סכום נכסי הקרן'!$C$42</f>
        <v>8.6644397019020273E-3</v>
      </c>
    </row>
    <row r="55" spans="2:16">
      <c r="B55" s="76" t="s">
        <v>1694</v>
      </c>
      <c r="C55" s="70" t="s">
        <v>1695</v>
      </c>
      <c r="D55" s="70" t="s">
        <v>257</v>
      </c>
      <c r="E55" s="70"/>
      <c r="F55" s="97">
        <v>43282</v>
      </c>
      <c r="G55" s="77">
        <v>9.6000000000000014</v>
      </c>
      <c r="H55" s="83" t="s">
        <v>157</v>
      </c>
      <c r="I55" s="84">
        <v>4.8000000000000001E-2</v>
      </c>
      <c r="J55" s="84">
        <v>4.8500000000000008E-2</v>
      </c>
      <c r="K55" s="77">
        <v>991000</v>
      </c>
      <c r="L55" s="79">
        <v>102.396</v>
      </c>
      <c r="M55" s="77">
        <v>1014.78534</v>
      </c>
      <c r="N55" s="70"/>
      <c r="O55" s="78">
        <f t="shared" si="0"/>
        <v>1.7287907865347341E-2</v>
      </c>
      <c r="P55" s="78">
        <f>M55/'סכום נכסי הקרן'!$C$42</f>
        <v>1.255123032428075E-2</v>
      </c>
    </row>
    <row r="56" spans="2:16">
      <c r="B56" s="76" t="s">
        <v>1696</v>
      </c>
      <c r="C56" s="70" t="s">
        <v>1697</v>
      </c>
      <c r="D56" s="70" t="s">
        <v>257</v>
      </c>
      <c r="E56" s="70"/>
      <c r="F56" s="97">
        <v>43313</v>
      </c>
      <c r="G56" s="77">
        <v>9.68</v>
      </c>
      <c r="H56" s="83" t="s">
        <v>157</v>
      </c>
      <c r="I56" s="84">
        <v>4.8000000000000001E-2</v>
      </c>
      <c r="J56" s="84">
        <v>4.8499999999999995E-2</v>
      </c>
      <c r="K56" s="77">
        <v>329000</v>
      </c>
      <c r="L56" s="79">
        <v>101.96259999999999</v>
      </c>
      <c r="M56" s="77">
        <v>335.56748999999996</v>
      </c>
      <c r="N56" s="70"/>
      <c r="O56" s="78">
        <f t="shared" si="0"/>
        <v>5.7167359647961255E-3</v>
      </c>
      <c r="P56" s="78">
        <f>M56/'סכום נכסי הקרן'!$C$42</f>
        <v>4.1504194929843754E-3</v>
      </c>
    </row>
    <row r="57" spans="2:16">
      <c r="B57" s="76" t="s">
        <v>1698</v>
      </c>
      <c r="C57" s="70" t="s">
        <v>1699</v>
      </c>
      <c r="D57" s="70" t="s">
        <v>257</v>
      </c>
      <c r="E57" s="70"/>
      <c r="F57" s="97">
        <v>43345</v>
      </c>
      <c r="G57" s="77">
        <v>9.77</v>
      </c>
      <c r="H57" s="83" t="s">
        <v>157</v>
      </c>
      <c r="I57" s="84">
        <v>4.8000000000000001E-2</v>
      </c>
      <c r="J57" s="84">
        <v>4.8500000000000008E-2</v>
      </c>
      <c r="K57" s="77">
        <v>106000</v>
      </c>
      <c r="L57" s="79">
        <v>101.5573</v>
      </c>
      <c r="M57" s="77">
        <v>107.67525999999999</v>
      </c>
      <c r="N57" s="70"/>
      <c r="O57" s="78">
        <f t="shared" si="0"/>
        <v>1.8343583621904902E-3</v>
      </c>
      <c r="P57" s="78">
        <f>M57/'סכום נכסי הקרן'!$C$42</f>
        <v>1.3317663699071707E-3</v>
      </c>
    </row>
    <row r="58" spans="2:16">
      <c r="B58" s="76" t="s">
        <v>1700</v>
      </c>
      <c r="C58" s="70" t="s">
        <v>1701</v>
      </c>
      <c r="D58" s="70" t="s">
        <v>257</v>
      </c>
      <c r="E58" s="70"/>
      <c r="F58" s="97">
        <v>43375</v>
      </c>
      <c r="G58" s="77">
        <v>9.85</v>
      </c>
      <c r="H58" s="83" t="s">
        <v>157</v>
      </c>
      <c r="I58" s="84">
        <v>4.8000000000000001E-2</v>
      </c>
      <c r="J58" s="84">
        <v>4.8500000000000008E-2</v>
      </c>
      <c r="K58" s="77">
        <v>115000</v>
      </c>
      <c r="L58" s="79">
        <v>101.1797</v>
      </c>
      <c r="M58" s="77">
        <v>116.35668</v>
      </c>
      <c r="N58" s="70"/>
      <c r="O58" s="78">
        <f t="shared" si="0"/>
        <v>1.9822552455849465E-3</v>
      </c>
      <c r="P58" s="78">
        <f>M58/'סכום נכסי הקרן'!$C$42</f>
        <v>1.4391412970635065E-3</v>
      </c>
    </row>
    <row r="59" spans="2:16">
      <c r="B59" s="76" t="s">
        <v>1702</v>
      </c>
      <c r="C59" s="70" t="s">
        <v>1703</v>
      </c>
      <c r="D59" s="70" t="s">
        <v>257</v>
      </c>
      <c r="E59" s="70"/>
      <c r="F59" s="97">
        <v>43405</v>
      </c>
      <c r="G59" s="77">
        <v>9.93</v>
      </c>
      <c r="H59" s="83" t="s">
        <v>157</v>
      </c>
      <c r="I59" s="84">
        <v>4.8000000000000001E-2</v>
      </c>
      <c r="J59" s="84">
        <v>4.8499999999999995E-2</v>
      </c>
      <c r="K59" s="77">
        <v>92000</v>
      </c>
      <c r="L59" s="79">
        <v>100.7938</v>
      </c>
      <c r="M59" s="77">
        <v>92.730279999999993</v>
      </c>
      <c r="N59" s="70"/>
      <c r="O59" s="78">
        <f t="shared" si="0"/>
        <v>1.5797553174820805E-3</v>
      </c>
      <c r="P59" s="78">
        <f>M59/'סכום נכסי הקרן'!$C$42</f>
        <v>1.1469214783050026E-3</v>
      </c>
    </row>
    <row r="60" spans="2:16">
      <c r="B60" s="76" t="s">
        <v>1704</v>
      </c>
      <c r="C60" s="70" t="s">
        <v>1705</v>
      </c>
      <c r="D60" s="70" t="s">
        <v>257</v>
      </c>
      <c r="E60" s="70"/>
      <c r="F60" s="97">
        <v>43435</v>
      </c>
      <c r="G60" s="77">
        <v>10.02</v>
      </c>
      <c r="H60" s="83" t="s">
        <v>157</v>
      </c>
      <c r="I60" s="84">
        <v>4.8000000000000001E-2</v>
      </c>
      <c r="J60" s="84">
        <v>4.8499999999999995E-2</v>
      </c>
      <c r="K60" s="77">
        <v>876000</v>
      </c>
      <c r="L60" s="79">
        <v>100.3961</v>
      </c>
      <c r="M60" s="77">
        <v>879.47076000000004</v>
      </c>
      <c r="N60" s="70"/>
      <c r="O60" s="78">
        <f t="shared" si="0"/>
        <v>1.498268537181174E-2</v>
      </c>
      <c r="P60" s="78">
        <f>M60/'סכום נכסי הקרן'!$C$42</f>
        <v>1.0877610896734316E-2</v>
      </c>
    </row>
    <row r="61" spans="2:16">
      <c r="B61" s="76" t="s">
        <v>1706</v>
      </c>
      <c r="C61" s="70" t="s">
        <v>1707</v>
      </c>
      <c r="D61" s="70" t="s">
        <v>257</v>
      </c>
      <c r="E61" s="70"/>
      <c r="F61" s="97">
        <v>43556</v>
      </c>
      <c r="G61" s="77">
        <v>10.11</v>
      </c>
      <c r="H61" s="83" t="s">
        <v>157</v>
      </c>
      <c r="I61" s="84">
        <v>4.8000000000000001E-2</v>
      </c>
      <c r="J61" s="84">
        <v>4.8500000000000008E-2</v>
      </c>
      <c r="K61" s="77">
        <v>11000</v>
      </c>
      <c r="L61" s="79">
        <v>101.193</v>
      </c>
      <c r="M61" s="77">
        <v>11.13124</v>
      </c>
      <c r="N61" s="70"/>
      <c r="O61" s="78">
        <f t="shared" si="0"/>
        <v>1.8963207681643187E-4</v>
      </c>
      <c r="P61" s="78">
        <f>M61/'סכום נכסי הקרן'!$C$42</f>
        <v>1.3767518264980736E-4</v>
      </c>
    </row>
    <row r="62" spans="2:16">
      <c r="B62" s="76" t="s">
        <v>1708</v>
      </c>
      <c r="C62" s="70" t="s">
        <v>1709</v>
      </c>
      <c r="D62" s="70" t="s">
        <v>257</v>
      </c>
      <c r="E62" s="70"/>
      <c r="F62" s="97">
        <v>43586</v>
      </c>
      <c r="G62" s="77">
        <v>10.200000000000001</v>
      </c>
      <c r="H62" s="83" t="s">
        <v>157</v>
      </c>
      <c r="I62" s="84">
        <v>4.8000000000000001E-2</v>
      </c>
      <c r="J62" s="84">
        <v>4.8499999999999995E-2</v>
      </c>
      <c r="K62" s="77">
        <v>230000</v>
      </c>
      <c r="L62" s="79">
        <v>100.81189999999999</v>
      </c>
      <c r="M62" s="77">
        <v>231.82579999999999</v>
      </c>
      <c r="N62" s="70"/>
      <c r="O62" s="78">
        <f t="shared" si="0"/>
        <v>3.9493899973076464E-3</v>
      </c>
      <c r="P62" s="78">
        <f>M62/'סכום נכסי הקרן'!$C$42</f>
        <v>2.8673049325984982E-3</v>
      </c>
    </row>
    <row r="63" spans="2:16">
      <c r="B63" s="76" t="s">
        <v>1710</v>
      </c>
      <c r="C63" s="70" t="s">
        <v>1711</v>
      </c>
      <c r="D63" s="70" t="s">
        <v>257</v>
      </c>
      <c r="E63" s="70"/>
      <c r="F63" s="97">
        <v>43617</v>
      </c>
      <c r="G63" s="77">
        <v>10.280000000000001</v>
      </c>
      <c r="H63" s="83" t="s">
        <v>157</v>
      </c>
      <c r="I63" s="84">
        <v>4.8000000000000001E-2</v>
      </c>
      <c r="J63" s="84">
        <v>4.8499999999999995E-2</v>
      </c>
      <c r="K63" s="77">
        <v>101000</v>
      </c>
      <c r="L63" s="79">
        <v>100.39619999999999</v>
      </c>
      <c r="M63" s="77">
        <v>101.40015</v>
      </c>
      <c r="N63" s="70"/>
      <c r="O63" s="78">
        <f t="shared" si="0"/>
        <v>1.7274554347941212E-3</v>
      </c>
      <c r="P63" s="78">
        <f>M63/'סכום נכסי הקרן'!$C$42</f>
        <v>1.2541535509042895E-3</v>
      </c>
    </row>
    <row r="64" spans="2:16">
      <c r="B64" s="76" t="s">
        <v>1712</v>
      </c>
      <c r="C64" s="70" t="s">
        <v>1713</v>
      </c>
      <c r="D64" s="70" t="s">
        <v>257</v>
      </c>
      <c r="E64" s="70"/>
      <c r="F64" s="97">
        <v>43678</v>
      </c>
      <c r="G64" s="77">
        <v>10.200000000000001</v>
      </c>
      <c r="H64" s="83" t="s">
        <v>157</v>
      </c>
      <c r="I64" s="84">
        <v>4.8000000000000001E-2</v>
      </c>
      <c r="J64" s="84">
        <v>4.8499999999999995E-2</v>
      </c>
      <c r="K64" s="77">
        <v>147000</v>
      </c>
      <c r="L64" s="79">
        <v>101.9962</v>
      </c>
      <c r="M64" s="77">
        <v>149.93434999999999</v>
      </c>
      <c r="N64" s="70"/>
      <c r="O64" s="78">
        <f t="shared" si="0"/>
        <v>2.5542852527321107E-3</v>
      </c>
      <c r="P64" s="78">
        <f>M64/'סכום נכסי הקרן'!$C$42</f>
        <v>1.8544420048197813E-3</v>
      </c>
    </row>
    <row r="65" spans="2:16">
      <c r="B65" s="76" t="s">
        <v>1714</v>
      </c>
      <c r="C65" s="70" t="s">
        <v>1715</v>
      </c>
      <c r="D65" s="70" t="s">
        <v>257</v>
      </c>
      <c r="E65" s="70"/>
      <c r="F65" s="97">
        <v>43709</v>
      </c>
      <c r="G65" s="77">
        <v>10.29</v>
      </c>
      <c r="H65" s="83" t="s">
        <v>157</v>
      </c>
      <c r="I65" s="84">
        <v>4.8000000000000001E-2</v>
      </c>
      <c r="J65" s="84">
        <v>4.8500000000000008E-2</v>
      </c>
      <c r="K65" s="77">
        <v>121000</v>
      </c>
      <c r="L65" s="79">
        <v>101.5938</v>
      </c>
      <c r="M65" s="77">
        <v>122.92852000000001</v>
      </c>
      <c r="N65" s="70"/>
      <c r="O65" s="78">
        <f t="shared" si="0"/>
        <v>2.0942132725168339E-3</v>
      </c>
      <c r="P65" s="78">
        <f>M65/'סכום נכסי הקרן'!$C$42</f>
        <v>1.520424179504754E-3</v>
      </c>
    </row>
    <row r="66" spans="2:16">
      <c r="B66" s="76" t="s">
        <v>1716</v>
      </c>
      <c r="C66" s="70" t="s">
        <v>1717</v>
      </c>
      <c r="D66" s="70" t="s">
        <v>257</v>
      </c>
      <c r="E66" s="70"/>
      <c r="F66" s="97">
        <v>43770</v>
      </c>
      <c r="G66" s="77">
        <v>10.450000000000001</v>
      </c>
      <c r="H66" s="83" t="s">
        <v>157</v>
      </c>
      <c r="I66" s="84">
        <v>4.8000000000000001E-2</v>
      </c>
      <c r="J66" s="84">
        <v>4.8500000000000008E-2</v>
      </c>
      <c r="K66" s="77">
        <v>207000</v>
      </c>
      <c r="L66" s="79">
        <v>100.7938</v>
      </c>
      <c r="M66" s="77">
        <v>208.64323999999999</v>
      </c>
      <c r="N66" s="70"/>
      <c r="O66" s="78">
        <f t="shared" si="0"/>
        <v>3.5544513382973712E-3</v>
      </c>
      <c r="P66" s="78">
        <f>M66/'סכום נכסי הקרן'!$C$42</f>
        <v>2.5805746867058471E-3</v>
      </c>
    </row>
    <row r="67" spans="2:16">
      <c r="B67" s="76" t="s">
        <v>1718</v>
      </c>
      <c r="C67" s="70" t="s">
        <v>1719</v>
      </c>
      <c r="D67" s="70" t="s">
        <v>257</v>
      </c>
      <c r="E67" s="70"/>
      <c r="F67" s="97">
        <v>43831</v>
      </c>
      <c r="G67" s="77">
        <v>10.37</v>
      </c>
      <c r="H67" s="83" t="s">
        <v>157</v>
      </c>
      <c r="I67" s="84">
        <v>4.8000000000000001E-2</v>
      </c>
      <c r="J67" s="84">
        <v>4.8499999999999995E-2</v>
      </c>
      <c r="K67" s="77">
        <v>20000</v>
      </c>
      <c r="L67" s="79">
        <v>102.4002</v>
      </c>
      <c r="M67" s="77">
        <v>20.48002</v>
      </c>
      <c r="N67" s="70"/>
      <c r="O67" s="78">
        <f t="shared" si="0"/>
        <v>3.4889812148889619E-4</v>
      </c>
      <c r="P67" s="78">
        <f>M67/'סכום נכסי הקרן'!$C$42</f>
        <v>2.5330425848078987E-4</v>
      </c>
    </row>
    <row r="68" spans="2:16">
      <c r="B68" s="76" t="s">
        <v>1720</v>
      </c>
      <c r="C68" s="70" t="s">
        <v>1721</v>
      </c>
      <c r="D68" s="70" t="s">
        <v>257</v>
      </c>
      <c r="E68" s="70"/>
      <c r="F68" s="97">
        <v>43863</v>
      </c>
      <c r="G68" s="77">
        <v>10.459999999999999</v>
      </c>
      <c r="H68" s="83" t="s">
        <v>157</v>
      </c>
      <c r="I68" s="84">
        <v>4.8000000000000001E-2</v>
      </c>
      <c r="J68" s="84">
        <v>4.8500000000000008E-2</v>
      </c>
      <c r="K68" s="77">
        <v>123000</v>
      </c>
      <c r="L68" s="79">
        <v>101.9803</v>
      </c>
      <c r="M68" s="77">
        <v>125.43883</v>
      </c>
      <c r="N68" s="70"/>
      <c r="O68" s="78">
        <f t="shared" si="0"/>
        <v>2.1369789750578854E-3</v>
      </c>
      <c r="P68" s="78">
        <f>M68/'סכום נכסי הקרן'!$C$42</f>
        <v>1.5514725970896444E-3</v>
      </c>
    </row>
    <row r="69" spans="2:16">
      <c r="B69" s="76" t="s">
        <v>1722</v>
      </c>
      <c r="C69" s="70" t="s">
        <v>1723</v>
      </c>
      <c r="D69" s="70" t="s">
        <v>257</v>
      </c>
      <c r="E69" s="70"/>
      <c r="F69" s="97">
        <v>43891</v>
      </c>
      <c r="G69" s="77">
        <v>10.54</v>
      </c>
      <c r="H69" s="83" t="s">
        <v>157</v>
      </c>
      <c r="I69" s="84">
        <v>4.8000000000000001E-2</v>
      </c>
      <c r="J69" s="84">
        <v>4.8499999999999995E-2</v>
      </c>
      <c r="K69" s="77">
        <v>152000</v>
      </c>
      <c r="L69" s="79">
        <v>101.5934</v>
      </c>
      <c r="M69" s="77">
        <v>154.422</v>
      </c>
      <c r="N69" s="70"/>
      <c r="O69" s="78">
        <f t="shared" si="0"/>
        <v>2.6307369678622546E-3</v>
      </c>
      <c r="P69" s="78">
        <f>M69/'סכום נכסי הקרן'!$C$42</f>
        <v>1.9099468752042496E-3</v>
      </c>
    </row>
    <row r="70" spans="2:16">
      <c r="B70" s="76" t="s">
        <v>1724</v>
      </c>
      <c r="C70" s="70" t="s">
        <v>1725</v>
      </c>
      <c r="D70" s="70" t="s">
        <v>257</v>
      </c>
      <c r="E70" s="70"/>
      <c r="F70" s="97">
        <v>39630</v>
      </c>
      <c r="G70" s="77">
        <v>2.77</v>
      </c>
      <c r="H70" s="83" t="s">
        <v>157</v>
      </c>
      <c r="I70" s="84">
        <v>4.8000000000000001E-2</v>
      </c>
      <c r="J70" s="84">
        <v>4.8499999999999995E-2</v>
      </c>
      <c r="K70" s="77">
        <v>1403000</v>
      </c>
      <c r="L70" s="79">
        <v>116.8989</v>
      </c>
      <c r="M70" s="77">
        <v>1640.14157</v>
      </c>
      <c r="N70" s="70"/>
      <c r="O70" s="78">
        <f t="shared" si="0"/>
        <v>2.7941491890576715E-2</v>
      </c>
      <c r="P70" s="78">
        <f>M70/'סכום נכסי הקרן'!$C$42</f>
        <v>2.0285861253669116E-2</v>
      </c>
    </row>
    <row r="71" spans="2:16">
      <c r="B71" s="76" t="s">
        <v>1726</v>
      </c>
      <c r="C71" s="70" t="s">
        <v>1727</v>
      </c>
      <c r="D71" s="70" t="s">
        <v>257</v>
      </c>
      <c r="E71" s="70"/>
      <c r="F71" s="97">
        <v>39904</v>
      </c>
      <c r="G71" s="77">
        <v>3.4400000000000004</v>
      </c>
      <c r="H71" s="83" t="s">
        <v>157</v>
      </c>
      <c r="I71" s="84">
        <v>4.8000000000000001E-2</v>
      </c>
      <c r="J71" s="84">
        <v>4.8500000000000008E-2</v>
      </c>
      <c r="K71" s="77">
        <v>110000</v>
      </c>
      <c r="L71" s="79">
        <v>114.50190000000001</v>
      </c>
      <c r="M71" s="77">
        <v>125.94153</v>
      </c>
      <c r="N71" s="70"/>
      <c r="O71" s="78">
        <f t="shared" si="0"/>
        <v>2.145542984549696E-3</v>
      </c>
      <c r="P71" s="78">
        <f>M71/'סכום נכסי הקרן'!$C$42</f>
        <v>1.5576901716202502E-3</v>
      </c>
    </row>
    <row r="72" spans="2:16">
      <c r="B72" s="76" t="s">
        <v>1728</v>
      </c>
      <c r="C72" s="70" t="s">
        <v>1729</v>
      </c>
      <c r="D72" s="70" t="s">
        <v>257</v>
      </c>
      <c r="E72" s="70"/>
      <c r="F72" s="97">
        <v>39965</v>
      </c>
      <c r="G72" s="77">
        <v>3.6100000000000003</v>
      </c>
      <c r="H72" s="83" t="s">
        <v>157</v>
      </c>
      <c r="I72" s="84">
        <v>4.8000000000000001E-2</v>
      </c>
      <c r="J72" s="84">
        <v>4.8999999999999995E-2</v>
      </c>
      <c r="K72" s="77">
        <v>2716000</v>
      </c>
      <c r="L72" s="79">
        <v>111.925</v>
      </c>
      <c r="M72" s="77">
        <v>3034.90787</v>
      </c>
      <c r="N72" s="70"/>
      <c r="O72" s="78">
        <f t="shared" si="0"/>
        <v>5.1702764681619801E-2</v>
      </c>
      <c r="P72" s="78">
        <f>M72/'סכום נכסי הקרן'!$C$42</f>
        <v>3.7536832853086254E-2</v>
      </c>
    </row>
    <row r="73" spans="2:16">
      <c r="B73" s="76" t="s">
        <v>1730</v>
      </c>
      <c r="C73" s="70" t="s">
        <v>1731</v>
      </c>
      <c r="D73" s="70" t="s">
        <v>257</v>
      </c>
      <c r="E73" s="70"/>
      <c r="F73" s="97">
        <v>40027</v>
      </c>
      <c r="G73" s="77">
        <v>3.69</v>
      </c>
      <c r="H73" s="83" t="s">
        <v>157</v>
      </c>
      <c r="I73" s="84">
        <v>4.8000000000000001E-2</v>
      </c>
      <c r="J73" s="84">
        <v>4.8500000000000008E-2</v>
      </c>
      <c r="K73" s="77">
        <v>167000</v>
      </c>
      <c r="L73" s="79">
        <v>112.27249999999999</v>
      </c>
      <c r="M73" s="77">
        <v>187.50119000000001</v>
      </c>
      <c r="N73" s="70"/>
      <c r="O73" s="78">
        <f t="shared" si="0"/>
        <v>3.194274857540794E-3</v>
      </c>
      <c r="P73" s="78">
        <f>M73/'סכום נכסי הקרן'!$C$42</f>
        <v>2.3190822029087715E-3</v>
      </c>
    </row>
    <row r="74" spans="2:16">
      <c r="B74" s="76" t="s">
        <v>1732</v>
      </c>
      <c r="C74" s="70" t="s">
        <v>1733</v>
      </c>
      <c r="D74" s="70" t="s">
        <v>257</v>
      </c>
      <c r="E74" s="70"/>
      <c r="F74" s="97">
        <v>40238</v>
      </c>
      <c r="G74" s="77">
        <v>4.17</v>
      </c>
      <c r="H74" s="83" t="s">
        <v>157</v>
      </c>
      <c r="I74" s="84">
        <v>4.8000000000000001E-2</v>
      </c>
      <c r="J74" s="84">
        <v>4.8499999999999988E-2</v>
      </c>
      <c r="K74" s="77">
        <v>37000</v>
      </c>
      <c r="L74" s="79">
        <v>110.6661</v>
      </c>
      <c r="M74" s="77">
        <v>40.946190000000001</v>
      </c>
      <c r="N74" s="70"/>
      <c r="O74" s="78">
        <f t="shared" si="0"/>
        <v>6.9756029403913805E-4</v>
      </c>
      <c r="P74" s="78">
        <f>M74/'סכום נכסי הקרן'!$C$42</f>
        <v>5.0643721517672029E-4</v>
      </c>
    </row>
    <row r="75" spans="2:16">
      <c r="B75" s="76" t="s">
        <v>1734</v>
      </c>
      <c r="C75" s="70" t="s">
        <v>1735</v>
      </c>
      <c r="D75" s="70" t="s">
        <v>257</v>
      </c>
      <c r="E75" s="70"/>
      <c r="F75" s="97">
        <v>40422</v>
      </c>
      <c r="G75" s="77">
        <v>4.57</v>
      </c>
      <c r="H75" s="83" t="s">
        <v>157</v>
      </c>
      <c r="I75" s="84">
        <v>4.8000000000000001E-2</v>
      </c>
      <c r="J75" s="84">
        <v>4.8499999999999995E-2</v>
      </c>
      <c r="K75" s="77">
        <v>34000</v>
      </c>
      <c r="L75" s="79">
        <v>108.6855</v>
      </c>
      <c r="M75" s="77">
        <v>36.954149999999998</v>
      </c>
      <c r="N75" s="70"/>
      <c r="O75" s="78">
        <f t="shared" si="0"/>
        <v>6.2955180298744304E-4</v>
      </c>
      <c r="P75" s="78">
        <f>M75/'סכום נכסי הקרן'!$C$42</f>
        <v>4.5706222765104141E-4</v>
      </c>
    </row>
    <row r="76" spans="2:16">
      <c r="B76" s="76" t="s">
        <v>1736</v>
      </c>
      <c r="C76" s="70" t="s">
        <v>1737</v>
      </c>
      <c r="D76" s="70" t="s">
        <v>257</v>
      </c>
      <c r="E76" s="70"/>
      <c r="F76" s="97">
        <v>40513</v>
      </c>
      <c r="G76" s="77">
        <v>4.8199999999999994</v>
      </c>
      <c r="H76" s="83" t="s">
        <v>157</v>
      </c>
      <c r="I76" s="84">
        <v>4.8000000000000001E-2</v>
      </c>
      <c r="J76" s="84">
        <v>4.8499999999999995E-2</v>
      </c>
      <c r="K76" s="77">
        <v>2229000</v>
      </c>
      <c r="L76" s="79">
        <v>106.3074</v>
      </c>
      <c r="M76" s="77">
        <v>2369.6052200000004</v>
      </c>
      <c r="N76" s="70"/>
      <c r="O76" s="78">
        <f t="shared" ref="O76:O86" si="1">M76/$M$11</f>
        <v>4.0368652468517251E-2</v>
      </c>
      <c r="P76" s="78">
        <f>M76/'סכום נכסי הקרן'!$C$42</f>
        <v>2.9308130223716047E-2</v>
      </c>
    </row>
    <row r="77" spans="2:16">
      <c r="B77" s="76" t="s">
        <v>1738</v>
      </c>
      <c r="C77" s="70" t="s">
        <v>1739</v>
      </c>
      <c r="D77" s="70" t="s">
        <v>257</v>
      </c>
      <c r="E77" s="70"/>
      <c r="F77" s="97">
        <v>40544</v>
      </c>
      <c r="G77" s="77">
        <v>4.79</v>
      </c>
      <c r="H77" s="83" t="s">
        <v>157</v>
      </c>
      <c r="I77" s="84">
        <v>4.8000000000000001E-2</v>
      </c>
      <c r="J77" s="84">
        <v>4.8499999999999995E-2</v>
      </c>
      <c r="K77" s="77">
        <v>260000</v>
      </c>
      <c r="L77" s="79">
        <v>108.3296</v>
      </c>
      <c r="M77" s="77">
        <v>281.65707000000003</v>
      </c>
      <c r="N77" s="70"/>
      <c r="O77" s="78">
        <f t="shared" si="1"/>
        <v>4.7983167314810506E-3</v>
      </c>
      <c r="P77" s="78">
        <f>M77/'סכום נכסי הקרן'!$C$42</f>
        <v>3.4836360151123849E-3</v>
      </c>
    </row>
    <row r="78" spans="2:16">
      <c r="B78" s="76" t="s">
        <v>1740</v>
      </c>
      <c r="C78" s="70" t="s">
        <v>1741</v>
      </c>
      <c r="D78" s="70" t="s">
        <v>257</v>
      </c>
      <c r="E78" s="70"/>
      <c r="F78" s="97">
        <v>40575</v>
      </c>
      <c r="G78" s="77">
        <v>4.88</v>
      </c>
      <c r="H78" s="83" t="s">
        <v>157</v>
      </c>
      <c r="I78" s="84">
        <v>4.8000000000000001E-2</v>
      </c>
      <c r="J78" s="84">
        <v>4.8499999999999995E-2</v>
      </c>
      <c r="K78" s="77">
        <v>3460000</v>
      </c>
      <c r="L78" s="79">
        <v>107.5038</v>
      </c>
      <c r="M78" s="77">
        <v>3719.63231</v>
      </c>
      <c r="N78" s="70"/>
      <c r="O78" s="78">
        <f t="shared" si="1"/>
        <v>6.3367746984055853E-2</v>
      </c>
      <c r="P78" s="78">
        <f>M78/'סכום נכסי הקרן'!$C$42</f>
        <v>4.600575117142159E-2</v>
      </c>
    </row>
    <row r="79" spans="2:16">
      <c r="B79" s="76" t="s">
        <v>1742</v>
      </c>
      <c r="C79" s="70" t="s">
        <v>1743</v>
      </c>
      <c r="D79" s="70" t="s">
        <v>257</v>
      </c>
      <c r="E79" s="70"/>
      <c r="F79" s="97">
        <v>40603</v>
      </c>
      <c r="G79" s="77">
        <v>4.9500000000000011</v>
      </c>
      <c r="H79" s="83" t="s">
        <v>157</v>
      </c>
      <c r="I79" s="84">
        <v>4.8000000000000001E-2</v>
      </c>
      <c r="J79" s="84">
        <v>4.8500000000000008E-2</v>
      </c>
      <c r="K79" s="77">
        <v>1093000</v>
      </c>
      <c r="L79" s="79">
        <v>106.8587</v>
      </c>
      <c r="M79" s="77">
        <v>1167.9756599999998</v>
      </c>
      <c r="N79" s="70"/>
      <c r="O79" s="78">
        <f t="shared" si="1"/>
        <v>1.9897661902613068E-2</v>
      </c>
      <c r="P79" s="78">
        <f>M79/'סכום נכסי הקרן'!$C$42</f>
        <v>1.444594333794162E-2</v>
      </c>
    </row>
    <row r="80" spans="2:16">
      <c r="B80" s="76" t="s">
        <v>1744</v>
      </c>
      <c r="C80" s="70" t="s">
        <v>1745</v>
      </c>
      <c r="D80" s="70" t="s">
        <v>257</v>
      </c>
      <c r="E80" s="70"/>
      <c r="F80" s="97">
        <v>40634</v>
      </c>
      <c r="G80" s="77">
        <v>5.04</v>
      </c>
      <c r="H80" s="83" t="s">
        <v>157</v>
      </c>
      <c r="I80" s="84">
        <v>4.8000000000000001E-2</v>
      </c>
      <c r="J80" s="84">
        <v>4.8500000000000008E-2</v>
      </c>
      <c r="K80" s="77">
        <v>3979000</v>
      </c>
      <c r="L80" s="79">
        <v>106.1245</v>
      </c>
      <c r="M80" s="77">
        <v>4222.7000099999996</v>
      </c>
      <c r="N80" s="70"/>
      <c r="O80" s="78">
        <f t="shared" si="1"/>
        <v>7.1938020622057161E-2</v>
      </c>
      <c r="P80" s="78">
        <f>M80/'סכום נכסי הקרן'!$C$42</f>
        <v>5.2227873547968894E-2</v>
      </c>
    </row>
    <row r="81" spans="2:16">
      <c r="B81" s="76" t="s">
        <v>1746</v>
      </c>
      <c r="C81" s="70" t="s">
        <v>1747</v>
      </c>
      <c r="D81" s="70" t="s">
        <v>257</v>
      </c>
      <c r="E81" s="70"/>
      <c r="F81" s="97">
        <v>40664</v>
      </c>
      <c r="G81" s="77">
        <v>5.12</v>
      </c>
      <c r="H81" s="83" t="s">
        <v>157</v>
      </c>
      <c r="I81" s="84">
        <v>4.8000000000000001E-2</v>
      </c>
      <c r="J81" s="84">
        <v>4.8600000000000004E-2</v>
      </c>
      <c r="K81" s="77">
        <v>7604684</v>
      </c>
      <c r="L81" s="79">
        <v>105.504</v>
      </c>
      <c r="M81" s="77">
        <v>8022.3519299999998</v>
      </c>
      <c r="N81" s="70"/>
      <c r="O81" s="78">
        <f t="shared" si="1"/>
        <v>0.1366689836386791</v>
      </c>
      <c r="P81" s="78">
        <f>M81/'סכום נכסי הקרן'!$C$42</f>
        <v>9.9223336056340941E-2</v>
      </c>
    </row>
    <row r="82" spans="2:16">
      <c r="B82" s="76" t="s">
        <v>1748</v>
      </c>
      <c r="C82" s="70" t="s">
        <v>1749</v>
      </c>
      <c r="D82" s="70" t="s">
        <v>257</v>
      </c>
      <c r="E82" s="70"/>
      <c r="F82" s="97">
        <v>40756</v>
      </c>
      <c r="G82" s="77">
        <v>5.25</v>
      </c>
      <c r="H82" s="83" t="s">
        <v>157</v>
      </c>
      <c r="I82" s="84">
        <v>4.8000000000000001E-2</v>
      </c>
      <c r="J82" s="84">
        <v>4.8499999999999995E-2</v>
      </c>
      <c r="K82" s="77">
        <v>603000</v>
      </c>
      <c r="L82" s="79">
        <v>105.2178</v>
      </c>
      <c r="M82" s="77">
        <v>634.47673999999995</v>
      </c>
      <c r="N82" s="70"/>
      <c r="O82" s="78">
        <f t="shared" si="1"/>
        <v>1.0808961256600276E-2</v>
      </c>
      <c r="P82" s="78">
        <f>M82/'סכום נכסי הקרן'!$C$42</f>
        <v>7.8474366797009424E-3</v>
      </c>
    </row>
    <row r="83" spans="2:16">
      <c r="B83" s="76" t="s">
        <v>1750</v>
      </c>
      <c r="C83" s="70" t="s">
        <v>1751</v>
      </c>
      <c r="D83" s="70" t="s">
        <v>257</v>
      </c>
      <c r="E83" s="70"/>
      <c r="F83" s="97">
        <v>40848</v>
      </c>
      <c r="G83" s="77">
        <v>5.5</v>
      </c>
      <c r="H83" s="83" t="s">
        <v>157</v>
      </c>
      <c r="I83" s="84">
        <v>4.8000000000000001E-2</v>
      </c>
      <c r="J83" s="84">
        <v>4.8500000000000015E-2</v>
      </c>
      <c r="K83" s="77">
        <v>677000</v>
      </c>
      <c r="L83" s="79">
        <v>103.979</v>
      </c>
      <c r="M83" s="77">
        <v>703.91671999999994</v>
      </c>
      <c r="N83" s="70"/>
      <c r="O83" s="78">
        <f t="shared" si="1"/>
        <v>1.1991942453797668E-2</v>
      </c>
      <c r="P83" s="78">
        <f>M83/'סכום נכסי הקרן'!$C$42</f>
        <v>8.7062953450157653E-3</v>
      </c>
    </row>
    <row r="84" spans="2:16">
      <c r="B84" s="76" t="s">
        <v>1752</v>
      </c>
      <c r="C84" s="70" t="s">
        <v>1753</v>
      </c>
      <c r="D84" s="70" t="s">
        <v>257</v>
      </c>
      <c r="E84" s="70"/>
      <c r="F84" s="97">
        <v>40940</v>
      </c>
      <c r="G84" s="77">
        <v>5.62</v>
      </c>
      <c r="H84" s="83" t="s">
        <v>157</v>
      </c>
      <c r="I84" s="84">
        <v>4.8000000000000001E-2</v>
      </c>
      <c r="J84" s="84">
        <v>4.8500000000000008E-2</v>
      </c>
      <c r="K84" s="77">
        <v>417000</v>
      </c>
      <c r="L84" s="79">
        <v>105.2276</v>
      </c>
      <c r="M84" s="77">
        <v>438.80104</v>
      </c>
      <c r="N84" s="70"/>
      <c r="O84" s="78">
        <f t="shared" si="1"/>
        <v>7.4754252468197781E-3</v>
      </c>
      <c r="P84" s="78">
        <f>M84/'סכום נכסי הקרן'!$C$42</f>
        <v>5.4272491949616955E-3</v>
      </c>
    </row>
    <row r="85" spans="2:16">
      <c r="B85" s="76" t="s">
        <v>1754</v>
      </c>
      <c r="C85" s="70">
        <v>8789</v>
      </c>
      <c r="D85" s="70" t="s">
        <v>257</v>
      </c>
      <c r="E85" s="70"/>
      <c r="F85" s="97">
        <v>41000</v>
      </c>
      <c r="G85" s="77">
        <v>5.7799999999999994</v>
      </c>
      <c r="H85" s="83" t="s">
        <v>157</v>
      </c>
      <c r="I85" s="84">
        <v>4.8000000000000001E-2</v>
      </c>
      <c r="J85" s="84">
        <v>4.8499999999999995E-2</v>
      </c>
      <c r="K85" s="77">
        <v>56000</v>
      </c>
      <c r="L85" s="79">
        <v>104.39149999999999</v>
      </c>
      <c r="M85" s="77">
        <v>58.45805</v>
      </c>
      <c r="N85" s="70"/>
      <c r="O85" s="78">
        <f t="shared" si="1"/>
        <v>9.9589276919182543E-4</v>
      </c>
      <c r="P85" s="78">
        <f>M85/'סכום נכסי הקרן'!$C$42</f>
        <v>7.2303020248432081E-4</v>
      </c>
    </row>
    <row r="86" spans="2:16">
      <c r="B86" s="76" t="s">
        <v>1755</v>
      </c>
      <c r="C86" s="70" t="s">
        <v>1756</v>
      </c>
      <c r="D86" s="70" t="s">
        <v>257</v>
      </c>
      <c r="E86" s="70"/>
      <c r="F86" s="97">
        <v>41640</v>
      </c>
      <c r="G86" s="77">
        <v>6.919999999999999</v>
      </c>
      <c r="H86" s="83" t="s">
        <v>157</v>
      </c>
      <c r="I86" s="84">
        <v>4.8000000000000001E-2</v>
      </c>
      <c r="J86" s="84">
        <v>4.8499999999999995E-2</v>
      </c>
      <c r="K86" s="77">
        <v>143000</v>
      </c>
      <c r="L86" s="79">
        <v>102.3909</v>
      </c>
      <c r="M86" s="77">
        <v>146.41914000000003</v>
      </c>
      <c r="N86" s="70"/>
      <c r="O86" s="78">
        <f t="shared" si="1"/>
        <v>2.4944000492196643E-3</v>
      </c>
      <c r="P86" s="78">
        <f>M86/'סכום נכסי הקרן'!$C$42</f>
        <v>1.8109646223536389E-3</v>
      </c>
    </row>
    <row r="90" spans="2:16">
      <c r="B90" s="85" t="s">
        <v>105</v>
      </c>
    </row>
    <row r="91" spans="2:16">
      <c r="B91" s="85" t="s">
        <v>227</v>
      </c>
    </row>
    <row r="92" spans="2:16">
      <c r="B92" s="85" t="s">
        <v>235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172</v>
      </c>
      <c r="C1" s="68" t="s" vm="1">
        <v>252</v>
      </c>
    </row>
    <row r="2" spans="2:65">
      <c r="B2" s="47" t="s">
        <v>171</v>
      </c>
      <c r="C2" s="68" t="s">
        <v>253</v>
      </c>
    </row>
    <row r="3" spans="2:65">
      <c r="B3" s="47" t="s">
        <v>173</v>
      </c>
      <c r="C3" s="68" t="s">
        <v>254</v>
      </c>
    </row>
    <row r="4" spans="2:65">
      <c r="B4" s="47" t="s">
        <v>174</v>
      </c>
      <c r="C4" s="68">
        <v>8602</v>
      </c>
    </row>
    <row r="6" spans="2:65" ht="26.25" customHeight="1">
      <c r="B6" s="123" t="s">
        <v>203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65" ht="26.25" customHeight="1">
      <c r="B7" s="123" t="s">
        <v>83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65" s="3" customFormat="1" ht="78.75">
      <c r="B8" s="22" t="s">
        <v>109</v>
      </c>
      <c r="C8" s="30" t="s">
        <v>41</v>
      </c>
      <c r="D8" s="30" t="s">
        <v>111</v>
      </c>
      <c r="E8" s="30" t="s">
        <v>110</v>
      </c>
      <c r="F8" s="30" t="s">
        <v>61</v>
      </c>
      <c r="G8" s="30" t="s">
        <v>14</v>
      </c>
      <c r="H8" s="30" t="s">
        <v>62</v>
      </c>
      <c r="I8" s="30" t="s">
        <v>97</v>
      </c>
      <c r="J8" s="30" t="s">
        <v>17</v>
      </c>
      <c r="K8" s="30" t="s">
        <v>96</v>
      </c>
      <c r="L8" s="30" t="s">
        <v>16</v>
      </c>
      <c r="M8" s="59" t="s">
        <v>18</v>
      </c>
      <c r="N8" s="30" t="s">
        <v>229</v>
      </c>
      <c r="O8" s="30" t="s">
        <v>228</v>
      </c>
      <c r="P8" s="30" t="s">
        <v>104</v>
      </c>
      <c r="Q8" s="30" t="s">
        <v>55</v>
      </c>
      <c r="R8" s="30" t="s">
        <v>175</v>
      </c>
      <c r="S8" s="31" t="s">
        <v>177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236</v>
      </c>
      <c r="O9" s="32"/>
      <c r="P9" s="32" t="s">
        <v>232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106</v>
      </c>
      <c r="R10" s="19" t="s">
        <v>107</v>
      </c>
      <c r="S10" s="20" t="s">
        <v>178</v>
      </c>
      <c r="T10" s="5"/>
      <c r="BJ10" s="1"/>
    </row>
    <row r="11" spans="2:65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13">
        <v>0</v>
      </c>
      <c r="Q11" s="69"/>
      <c r="R11" s="69"/>
      <c r="S11" s="69"/>
      <c r="T11" s="5"/>
      <c r="BJ11" s="1"/>
      <c r="BM11" s="1"/>
    </row>
    <row r="12" spans="2:65" ht="20.25" customHeight="1">
      <c r="B12" s="85" t="s">
        <v>244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65">
      <c r="B13" s="85" t="s">
        <v>105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2:65">
      <c r="B14" s="85" t="s">
        <v>227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2:65">
      <c r="B15" s="85" t="s">
        <v>235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6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2:19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19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19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19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19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1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2:19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2:19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2:19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2:19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19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2:1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AH32:XFD35 D36:XFD1048576 D32:AF35 D1:O31 Q1:XFD31 P1:P10 P12:P31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10" workbookViewId="0">
      <selection activeCell="H20" sqref="H20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4.8554687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172</v>
      </c>
      <c r="C1" s="68" t="s" vm="1">
        <v>252</v>
      </c>
    </row>
    <row r="2" spans="2:81">
      <c r="B2" s="47" t="s">
        <v>171</v>
      </c>
      <c r="C2" s="68" t="s">
        <v>253</v>
      </c>
    </row>
    <row r="3" spans="2:81">
      <c r="B3" s="47" t="s">
        <v>173</v>
      </c>
      <c r="C3" s="68" t="s">
        <v>254</v>
      </c>
    </row>
    <row r="4" spans="2:81">
      <c r="B4" s="47" t="s">
        <v>174</v>
      </c>
      <c r="C4" s="68">
        <v>8602</v>
      </c>
    </row>
    <row r="6" spans="2:81" ht="26.25" customHeight="1">
      <c r="B6" s="123" t="s">
        <v>203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81" ht="26.25" customHeight="1">
      <c r="B7" s="123" t="s">
        <v>84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81" s="3" customFormat="1" ht="78.75">
      <c r="B8" s="22" t="s">
        <v>109</v>
      </c>
      <c r="C8" s="30" t="s">
        <v>41</v>
      </c>
      <c r="D8" s="30" t="s">
        <v>111</v>
      </c>
      <c r="E8" s="30" t="s">
        <v>110</v>
      </c>
      <c r="F8" s="30" t="s">
        <v>61</v>
      </c>
      <c r="G8" s="30" t="s">
        <v>14</v>
      </c>
      <c r="H8" s="30" t="s">
        <v>62</v>
      </c>
      <c r="I8" s="30" t="s">
        <v>97</v>
      </c>
      <c r="J8" s="30" t="s">
        <v>17</v>
      </c>
      <c r="K8" s="30" t="s">
        <v>96</v>
      </c>
      <c r="L8" s="30" t="s">
        <v>16</v>
      </c>
      <c r="M8" s="59" t="s">
        <v>18</v>
      </c>
      <c r="N8" s="59" t="s">
        <v>229</v>
      </c>
      <c r="O8" s="30" t="s">
        <v>228</v>
      </c>
      <c r="P8" s="30" t="s">
        <v>104</v>
      </c>
      <c r="Q8" s="30" t="s">
        <v>55</v>
      </c>
      <c r="R8" s="30" t="s">
        <v>175</v>
      </c>
      <c r="S8" s="31" t="s">
        <v>177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236</v>
      </c>
      <c r="O9" s="32"/>
      <c r="P9" s="32" t="s">
        <v>232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106</v>
      </c>
      <c r="R10" s="19" t="s">
        <v>107</v>
      </c>
      <c r="S10" s="20" t="s">
        <v>178</v>
      </c>
      <c r="T10" s="5"/>
      <c r="BZ10" s="1"/>
    </row>
    <row r="11" spans="2:81" s="4" customFormat="1" ht="18" customHeight="1">
      <c r="B11" s="98" t="s">
        <v>48</v>
      </c>
      <c r="C11" s="70"/>
      <c r="D11" s="70"/>
      <c r="E11" s="70"/>
      <c r="F11" s="70"/>
      <c r="G11" s="70"/>
      <c r="H11" s="70"/>
      <c r="I11" s="70"/>
      <c r="J11" s="79">
        <v>3.775642399885216</v>
      </c>
      <c r="K11" s="70"/>
      <c r="L11" s="70"/>
      <c r="M11" s="78">
        <v>1.8963565193171498E-2</v>
      </c>
      <c r="N11" s="77"/>
      <c r="O11" s="79"/>
      <c r="P11" s="77">
        <v>1897.1173999999999</v>
      </c>
      <c r="Q11" s="70"/>
      <c r="R11" s="78">
        <f>P11/$P$11</f>
        <v>1</v>
      </c>
      <c r="S11" s="78">
        <f>P11/'סכום נכסי הקרן'!$C$42</f>
        <v>2.3464230809247453E-2</v>
      </c>
      <c r="T11" s="5"/>
      <c r="BZ11" s="1"/>
      <c r="CC11" s="1"/>
    </row>
    <row r="12" spans="2:81" ht="17.25" customHeight="1">
      <c r="B12" s="99" t="s">
        <v>223</v>
      </c>
      <c r="C12" s="70"/>
      <c r="D12" s="70"/>
      <c r="E12" s="70"/>
      <c r="F12" s="70"/>
      <c r="G12" s="70"/>
      <c r="H12" s="70"/>
      <c r="I12" s="70"/>
      <c r="J12" s="79">
        <v>3.7972300003232604</v>
      </c>
      <c r="K12" s="70"/>
      <c r="L12" s="70"/>
      <c r="M12" s="78">
        <v>1.8964168196522115E-2</v>
      </c>
      <c r="N12" s="77"/>
      <c r="O12" s="79"/>
      <c r="P12" s="77">
        <v>1879.2897499999999</v>
      </c>
      <c r="Q12" s="70"/>
      <c r="R12" s="78">
        <f t="shared" ref="R12:R20" si="0">P12/$P$11</f>
        <v>0.99060276923294255</v>
      </c>
      <c r="S12" s="78">
        <f>P12/'סכום נכסי הקרן'!$C$42</f>
        <v>2.3243732017561459E-2</v>
      </c>
    </row>
    <row r="13" spans="2:81">
      <c r="B13" s="100" t="s">
        <v>56</v>
      </c>
      <c r="C13" s="72"/>
      <c r="D13" s="72"/>
      <c r="E13" s="72"/>
      <c r="F13" s="72"/>
      <c r="G13" s="72"/>
      <c r="H13" s="72"/>
      <c r="I13" s="72"/>
      <c r="J13" s="82">
        <v>3.9308981460156378</v>
      </c>
      <c r="K13" s="72"/>
      <c r="L13" s="72"/>
      <c r="M13" s="81">
        <v>1.6274577620960826E-2</v>
      </c>
      <c r="N13" s="80"/>
      <c r="O13" s="82"/>
      <c r="P13" s="80">
        <v>1594.2777399999998</v>
      </c>
      <c r="Q13" s="72"/>
      <c r="R13" s="81">
        <f t="shared" si="0"/>
        <v>0.84036851910166444</v>
      </c>
      <c r="S13" s="81">
        <f>P13/'סכום נכסי הקרן'!$C$42</f>
        <v>1.9718600897026931E-2</v>
      </c>
    </row>
    <row r="14" spans="2:81">
      <c r="B14" s="101" t="s">
        <v>1757</v>
      </c>
      <c r="C14" s="70" t="s">
        <v>1758</v>
      </c>
      <c r="D14" s="83" t="s">
        <v>1759</v>
      </c>
      <c r="E14" s="70" t="s">
        <v>319</v>
      </c>
      <c r="F14" s="83" t="s">
        <v>149</v>
      </c>
      <c r="G14" s="70" t="s">
        <v>283</v>
      </c>
      <c r="H14" s="70" t="s">
        <v>284</v>
      </c>
      <c r="I14" s="97">
        <v>39076</v>
      </c>
      <c r="J14" s="79">
        <v>7.5</v>
      </c>
      <c r="K14" s="83" t="s">
        <v>157</v>
      </c>
      <c r="L14" s="84">
        <v>4.9000000000000002E-2</v>
      </c>
      <c r="M14" s="78">
        <v>7.3999999999999986E-3</v>
      </c>
      <c r="N14" s="77">
        <v>23771</v>
      </c>
      <c r="O14" s="79">
        <v>164.46</v>
      </c>
      <c r="P14" s="77">
        <v>39.093779999999995</v>
      </c>
      <c r="Q14" s="78">
        <v>1.2108934889997812E-5</v>
      </c>
      <c r="R14" s="78">
        <f t="shared" si="0"/>
        <v>2.0606937662371341E-2</v>
      </c>
      <c r="S14" s="78">
        <f>P14/'סכום נכסי הקרן'!$C$42</f>
        <v>4.8352594158165537E-4</v>
      </c>
    </row>
    <row r="15" spans="2:81">
      <c r="B15" s="101" t="s">
        <v>1760</v>
      </c>
      <c r="C15" s="70" t="s">
        <v>1761</v>
      </c>
      <c r="D15" s="83" t="s">
        <v>1759</v>
      </c>
      <c r="E15" s="70" t="s">
        <v>319</v>
      </c>
      <c r="F15" s="83" t="s">
        <v>149</v>
      </c>
      <c r="G15" s="70" t="s">
        <v>283</v>
      </c>
      <c r="H15" s="70" t="s">
        <v>284</v>
      </c>
      <c r="I15" s="97">
        <v>40738</v>
      </c>
      <c r="J15" s="79">
        <v>11.430000000000001</v>
      </c>
      <c r="K15" s="83" t="s">
        <v>157</v>
      </c>
      <c r="L15" s="84">
        <v>4.0999999999999995E-2</v>
      </c>
      <c r="M15" s="78">
        <v>1.2800000000000002E-2</v>
      </c>
      <c r="N15" s="77">
        <v>206236.51</v>
      </c>
      <c r="O15" s="79">
        <v>143.93</v>
      </c>
      <c r="P15" s="77">
        <v>296.83621999999997</v>
      </c>
      <c r="Q15" s="78">
        <v>4.8960691378823453E-5</v>
      </c>
      <c r="R15" s="78">
        <f t="shared" si="0"/>
        <v>0.15646697457943298</v>
      </c>
      <c r="S15" s="78">
        <f>P15/'סכום נכסי הקרן'!$C$42</f>
        <v>3.6713772055564694E-3</v>
      </c>
    </row>
    <row r="16" spans="2:81">
      <c r="B16" s="101" t="s">
        <v>1762</v>
      </c>
      <c r="C16" s="70" t="s">
        <v>1763</v>
      </c>
      <c r="D16" s="83" t="s">
        <v>1759</v>
      </c>
      <c r="E16" s="70" t="s">
        <v>1764</v>
      </c>
      <c r="F16" s="83" t="s">
        <v>149</v>
      </c>
      <c r="G16" s="70" t="s">
        <v>283</v>
      </c>
      <c r="H16" s="70" t="s">
        <v>284</v>
      </c>
      <c r="I16" s="97">
        <v>38918</v>
      </c>
      <c r="J16" s="79">
        <v>0.62000000000000011</v>
      </c>
      <c r="K16" s="83" t="s">
        <v>157</v>
      </c>
      <c r="L16" s="84">
        <v>0.05</v>
      </c>
      <c r="M16" s="78">
        <v>5.1000000000000004E-3</v>
      </c>
      <c r="N16" s="77">
        <v>2994</v>
      </c>
      <c r="O16" s="79">
        <v>122.05</v>
      </c>
      <c r="P16" s="77">
        <v>3.6541799999999998</v>
      </c>
      <c r="Q16" s="78">
        <v>3.8970740315204825E-4</v>
      </c>
      <c r="R16" s="78">
        <f t="shared" si="0"/>
        <v>1.9261749431005166E-3</v>
      </c>
      <c r="S16" s="78">
        <f>P16/'סכום נכסי הקרן'!$C$42</f>
        <v>4.5196213443899605E-5</v>
      </c>
    </row>
    <row r="17" spans="2:19">
      <c r="B17" s="101" t="s">
        <v>1765</v>
      </c>
      <c r="C17" s="70" t="s">
        <v>1766</v>
      </c>
      <c r="D17" s="83" t="s">
        <v>1759</v>
      </c>
      <c r="E17" s="70" t="s">
        <v>356</v>
      </c>
      <c r="F17" s="83" t="s">
        <v>149</v>
      </c>
      <c r="G17" s="70" t="s">
        <v>333</v>
      </c>
      <c r="H17" s="70" t="s">
        <v>153</v>
      </c>
      <c r="I17" s="97">
        <v>39084</v>
      </c>
      <c r="J17" s="79">
        <v>3.5399999999999996</v>
      </c>
      <c r="K17" s="83" t="s">
        <v>157</v>
      </c>
      <c r="L17" s="84">
        <v>5.5999999999999994E-2</v>
      </c>
      <c r="M17" s="78">
        <v>2E-3</v>
      </c>
      <c r="N17" s="77">
        <v>71961.38</v>
      </c>
      <c r="O17" s="79">
        <v>145.07</v>
      </c>
      <c r="P17" s="77">
        <v>104.39437</v>
      </c>
      <c r="Q17" s="78">
        <v>1.018266400850462E-4</v>
      </c>
      <c r="R17" s="78">
        <f t="shared" si="0"/>
        <v>5.5027891262817999E-2</v>
      </c>
      <c r="S17" s="78">
        <f>P17/'סכום נכסי הקרן'!$C$42</f>
        <v>1.2911871415369328E-3</v>
      </c>
    </row>
    <row r="18" spans="2:19">
      <c r="B18" s="101" t="s">
        <v>1767</v>
      </c>
      <c r="C18" s="70" t="s">
        <v>1768</v>
      </c>
      <c r="D18" s="83" t="s">
        <v>1759</v>
      </c>
      <c r="E18" s="70" t="s">
        <v>408</v>
      </c>
      <c r="F18" s="83" t="s">
        <v>409</v>
      </c>
      <c r="G18" s="70" t="s">
        <v>381</v>
      </c>
      <c r="H18" s="70" t="s">
        <v>153</v>
      </c>
      <c r="I18" s="97">
        <v>40561</v>
      </c>
      <c r="J18" s="79">
        <v>1.2500000000000002</v>
      </c>
      <c r="K18" s="83" t="s">
        <v>157</v>
      </c>
      <c r="L18" s="84">
        <v>0.06</v>
      </c>
      <c r="M18" s="78">
        <v>1.09E-2</v>
      </c>
      <c r="N18" s="77">
        <v>289444</v>
      </c>
      <c r="O18" s="79">
        <v>114.9</v>
      </c>
      <c r="P18" s="77">
        <v>332.57115999999996</v>
      </c>
      <c r="Q18" s="78">
        <v>7.8212279887396668E-5</v>
      </c>
      <c r="R18" s="78">
        <f t="shared" si="0"/>
        <v>0.17530341559251947</v>
      </c>
      <c r="S18" s="78">
        <f>P18/'סכום נכסי הקרן'!$C$42</f>
        <v>4.1133598051123054E-3</v>
      </c>
    </row>
    <row r="19" spans="2:19">
      <c r="B19" s="101" t="s">
        <v>1769</v>
      </c>
      <c r="C19" s="70" t="s">
        <v>1770</v>
      </c>
      <c r="D19" s="83" t="s">
        <v>1759</v>
      </c>
      <c r="E19" s="70" t="s">
        <v>914</v>
      </c>
      <c r="F19" s="83" t="s">
        <v>290</v>
      </c>
      <c r="G19" s="70" t="s">
        <v>466</v>
      </c>
      <c r="H19" s="70" t="s">
        <v>284</v>
      </c>
      <c r="I19" s="97">
        <v>39387</v>
      </c>
      <c r="J19" s="79">
        <v>2.2000000000000006</v>
      </c>
      <c r="K19" s="83" t="s">
        <v>157</v>
      </c>
      <c r="L19" s="84">
        <v>5.7500000000000002E-2</v>
      </c>
      <c r="M19" s="78">
        <v>4.5000000000000014E-3</v>
      </c>
      <c r="N19" s="77">
        <v>609006</v>
      </c>
      <c r="O19" s="79">
        <v>133.63</v>
      </c>
      <c r="P19" s="77">
        <v>813.81468999999993</v>
      </c>
      <c r="Q19" s="78">
        <v>4.6774654377880183E-4</v>
      </c>
      <c r="R19" s="78">
        <f t="shared" si="0"/>
        <v>0.42897434286354658</v>
      </c>
      <c r="S19" s="78">
        <f>P19/'סכום נכסי הקרן'!$C$42</f>
        <v>1.006555299219551E-2</v>
      </c>
    </row>
    <row r="20" spans="2:19">
      <c r="B20" s="101" t="s">
        <v>1771</v>
      </c>
      <c r="C20" s="70" t="s">
        <v>1772</v>
      </c>
      <c r="D20" s="83" t="s">
        <v>1759</v>
      </c>
      <c r="E20" s="70" t="s">
        <v>1773</v>
      </c>
      <c r="F20" s="83" t="s">
        <v>635</v>
      </c>
      <c r="G20" s="70" t="s">
        <v>640</v>
      </c>
      <c r="H20" s="70"/>
      <c r="I20" s="97">
        <v>39104</v>
      </c>
      <c r="J20" s="79">
        <v>0.7599999999999999</v>
      </c>
      <c r="K20" s="83" t="s">
        <v>157</v>
      </c>
      <c r="L20" s="84">
        <v>5.5999999999999994E-2</v>
      </c>
      <c r="M20" s="78">
        <v>3.6650999999999998</v>
      </c>
      <c r="N20" s="77">
        <v>15971.53</v>
      </c>
      <c r="O20" s="79">
        <v>24.501999999999999</v>
      </c>
      <c r="P20" s="77">
        <v>3.9133400000000003</v>
      </c>
      <c r="Q20" s="78">
        <v>2.7786137756688179E-5</v>
      </c>
      <c r="R20" s="78">
        <f t="shared" si="0"/>
        <v>2.062782197875577E-3</v>
      </c>
      <c r="S20" s="78">
        <f>P20/'סכום נכסי הקרן'!$C$42</f>
        <v>4.8401597600159299E-5</v>
      </c>
    </row>
    <row r="21" spans="2:19">
      <c r="B21" s="102"/>
      <c r="C21" s="70"/>
      <c r="D21" s="70"/>
      <c r="E21" s="70"/>
      <c r="F21" s="70"/>
      <c r="G21" s="70"/>
      <c r="H21" s="70"/>
      <c r="I21" s="70"/>
      <c r="J21" s="79"/>
      <c r="K21" s="70"/>
      <c r="L21" s="70"/>
      <c r="M21" s="78"/>
      <c r="N21" s="77"/>
      <c r="O21" s="79"/>
      <c r="P21" s="70"/>
      <c r="Q21" s="70"/>
      <c r="R21" s="78"/>
      <c r="S21" s="70"/>
    </row>
    <row r="22" spans="2:19">
      <c r="B22" s="100" t="s">
        <v>57</v>
      </c>
      <c r="C22" s="72"/>
      <c r="D22" s="72"/>
      <c r="E22" s="72"/>
      <c r="F22" s="72"/>
      <c r="G22" s="72"/>
      <c r="H22" s="72"/>
      <c r="I22" s="72"/>
      <c r="J22" s="82">
        <v>3.5961718523809898</v>
      </c>
      <c r="K22" s="72"/>
      <c r="L22" s="72"/>
      <c r="M22" s="81">
        <v>2.1567572997794094E-2</v>
      </c>
      <c r="N22" s="80"/>
      <c r="O22" s="82"/>
      <c r="P22" s="80">
        <v>197.94604999999999</v>
      </c>
      <c r="Q22" s="72"/>
      <c r="R22" s="81">
        <f t="shared" ref="R22:R27" si="1">P22/$P$11</f>
        <v>0.10434043248983958</v>
      </c>
      <c r="S22" s="81">
        <f>P22/'סכום נכסי הקרן'!$C$42</f>
        <v>2.4482679906782981E-3</v>
      </c>
    </row>
    <row r="23" spans="2:19">
      <c r="B23" s="101" t="s">
        <v>1774</v>
      </c>
      <c r="C23" s="70" t="s">
        <v>1775</v>
      </c>
      <c r="D23" s="83" t="s">
        <v>1759</v>
      </c>
      <c r="E23" s="70" t="s">
        <v>1776</v>
      </c>
      <c r="F23" s="83" t="s">
        <v>1067</v>
      </c>
      <c r="G23" s="70" t="s">
        <v>298</v>
      </c>
      <c r="H23" s="70" t="s">
        <v>153</v>
      </c>
      <c r="I23" s="97">
        <v>42795</v>
      </c>
      <c r="J23" s="79">
        <v>6.38</v>
      </c>
      <c r="K23" s="83" t="s">
        <v>157</v>
      </c>
      <c r="L23" s="84">
        <v>3.7400000000000003E-2</v>
      </c>
      <c r="M23" s="78">
        <v>1.9400000000000001E-2</v>
      </c>
      <c r="N23" s="77">
        <v>12621</v>
      </c>
      <c r="O23" s="79">
        <v>112.95</v>
      </c>
      <c r="P23" s="77">
        <v>14.255409999999999</v>
      </c>
      <c r="Q23" s="78">
        <v>2.450403643861468E-5</v>
      </c>
      <c r="R23" s="78">
        <f t="shared" si="1"/>
        <v>7.5142476685944688E-3</v>
      </c>
      <c r="S23" s="78">
        <f>P23/'סכום נכסי הקרן'!$C$42</f>
        <v>1.7631604165375018E-4</v>
      </c>
    </row>
    <row r="24" spans="2:19">
      <c r="B24" s="101" t="s">
        <v>1777</v>
      </c>
      <c r="C24" s="70" t="s">
        <v>1778</v>
      </c>
      <c r="D24" s="83" t="s">
        <v>1759</v>
      </c>
      <c r="E24" s="70" t="s">
        <v>1776</v>
      </c>
      <c r="F24" s="83" t="s">
        <v>1067</v>
      </c>
      <c r="G24" s="70" t="s">
        <v>298</v>
      </c>
      <c r="H24" s="70" t="s">
        <v>153</v>
      </c>
      <c r="I24" s="97">
        <v>42795</v>
      </c>
      <c r="J24" s="79">
        <v>3.09</v>
      </c>
      <c r="K24" s="83" t="s">
        <v>157</v>
      </c>
      <c r="L24" s="84">
        <v>2.5000000000000001E-2</v>
      </c>
      <c r="M24" s="78">
        <v>1.01E-2</v>
      </c>
      <c r="N24" s="77">
        <v>15755.21</v>
      </c>
      <c r="O24" s="79">
        <v>105.42</v>
      </c>
      <c r="P24" s="77">
        <v>16.609150000000003</v>
      </c>
      <c r="Q24" s="78">
        <v>2.5344131845407628E-5</v>
      </c>
      <c r="R24" s="78">
        <f t="shared" si="1"/>
        <v>8.7549405218675467E-3</v>
      </c>
      <c r="S24" s="78">
        <f>P24/'סכום נכסי הקרן'!$C$42</f>
        <v>2.0542794512633348E-4</v>
      </c>
    </row>
    <row r="25" spans="2:19">
      <c r="B25" s="101" t="s">
        <v>1779</v>
      </c>
      <c r="C25" s="70" t="s">
        <v>1780</v>
      </c>
      <c r="D25" s="83" t="s">
        <v>1759</v>
      </c>
      <c r="E25" s="70" t="s">
        <v>1781</v>
      </c>
      <c r="F25" s="83" t="s">
        <v>345</v>
      </c>
      <c r="G25" s="70" t="s">
        <v>381</v>
      </c>
      <c r="H25" s="70" t="s">
        <v>153</v>
      </c>
      <c r="I25" s="97">
        <v>42598</v>
      </c>
      <c r="J25" s="79">
        <v>4.76</v>
      </c>
      <c r="K25" s="83" t="s">
        <v>157</v>
      </c>
      <c r="L25" s="84">
        <v>3.1E-2</v>
      </c>
      <c r="M25" s="78">
        <v>1.9599999999999996E-2</v>
      </c>
      <c r="N25" s="77">
        <v>64309.89</v>
      </c>
      <c r="O25" s="79">
        <v>105.56</v>
      </c>
      <c r="P25" s="77">
        <v>67.88552</v>
      </c>
      <c r="Q25" s="78">
        <v>1.0189947377094978E-4</v>
      </c>
      <c r="R25" s="78">
        <f t="shared" si="1"/>
        <v>3.5783510287766065E-2</v>
      </c>
      <c r="S25" s="78">
        <f>P25/'סכום נכסי הקרן'!$C$42</f>
        <v>8.3963254455722363E-4</v>
      </c>
    </row>
    <row r="26" spans="2:19">
      <c r="B26" s="101" t="s">
        <v>1782</v>
      </c>
      <c r="C26" s="70" t="s">
        <v>1783</v>
      </c>
      <c r="D26" s="83" t="s">
        <v>1759</v>
      </c>
      <c r="E26" s="70" t="s">
        <v>1784</v>
      </c>
      <c r="F26" s="83" t="s">
        <v>150</v>
      </c>
      <c r="G26" s="70" t="s">
        <v>470</v>
      </c>
      <c r="H26" s="70" t="s">
        <v>153</v>
      </c>
      <c r="I26" s="97">
        <v>43741</v>
      </c>
      <c r="J26" s="79">
        <v>1.23</v>
      </c>
      <c r="K26" s="83" t="s">
        <v>157</v>
      </c>
      <c r="L26" s="84">
        <v>1.34E-2</v>
      </c>
      <c r="M26" s="78">
        <v>2.3799999999999998E-2</v>
      </c>
      <c r="N26" s="77">
        <v>52000</v>
      </c>
      <c r="O26" s="79">
        <v>99.08</v>
      </c>
      <c r="P26" s="77">
        <v>51.521599999999999</v>
      </c>
      <c r="Q26" s="78">
        <v>7.9755967476074756E-5</v>
      </c>
      <c r="R26" s="78">
        <f t="shared" si="1"/>
        <v>2.7157834301662093E-2</v>
      </c>
      <c r="S26" s="78">
        <f>P26/'סכום נכסי הקרן'!$C$42</f>
        <v>6.3723769233349698E-4</v>
      </c>
    </row>
    <row r="27" spans="2:19">
      <c r="B27" s="101" t="s">
        <v>1785</v>
      </c>
      <c r="C27" s="70" t="s">
        <v>1786</v>
      </c>
      <c r="D27" s="83" t="s">
        <v>1759</v>
      </c>
      <c r="E27" s="70" t="s">
        <v>1787</v>
      </c>
      <c r="F27" s="83" t="s">
        <v>345</v>
      </c>
      <c r="G27" s="70" t="s">
        <v>585</v>
      </c>
      <c r="H27" s="70" t="s">
        <v>284</v>
      </c>
      <c r="I27" s="97">
        <v>43310</v>
      </c>
      <c r="J27" s="79">
        <v>3.84</v>
      </c>
      <c r="K27" s="83" t="s">
        <v>157</v>
      </c>
      <c r="L27" s="84">
        <v>3.5499999999999997E-2</v>
      </c>
      <c r="M27" s="78">
        <v>2.6599999999999999E-2</v>
      </c>
      <c r="N27" s="77">
        <v>46080</v>
      </c>
      <c r="O27" s="79">
        <v>103.46</v>
      </c>
      <c r="P27" s="77">
        <v>47.674370000000003</v>
      </c>
      <c r="Q27" s="78">
        <v>1.4999999999999999E-4</v>
      </c>
      <c r="R27" s="78">
        <f t="shared" si="1"/>
        <v>2.5129899709949426E-2</v>
      </c>
      <c r="S27" s="78">
        <f>P27/'סכום נכסי הקרן'!$C$42</f>
        <v>5.8965376700749396E-4</v>
      </c>
    </row>
    <row r="28" spans="2:19">
      <c r="B28" s="102"/>
      <c r="C28" s="70"/>
      <c r="D28" s="70"/>
      <c r="E28" s="70"/>
      <c r="F28" s="70"/>
      <c r="G28" s="70"/>
      <c r="H28" s="70"/>
      <c r="I28" s="70"/>
      <c r="J28" s="79"/>
      <c r="K28" s="70"/>
      <c r="L28" s="70"/>
      <c r="M28" s="78"/>
      <c r="N28" s="77"/>
      <c r="O28" s="79"/>
      <c r="P28" s="70"/>
      <c r="Q28" s="70"/>
      <c r="R28" s="78"/>
      <c r="S28" s="70"/>
    </row>
    <row r="29" spans="2:19">
      <c r="B29" s="100" t="s">
        <v>43</v>
      </c>
      <c r="C29" s="72"/>
      <c r="D29" s="72"/>
      <c r="E29" s="72"/>
      <c r="F29" s="72"/>
      <c r="G29" s="72"/>
      <c r="H29" s="72"/>
      <c r="I29" s="72"/>
      <c r="J29" s="82">
        <v>1.8067220794441363</v>
      </c>
      <c r="K29" s="72"/>
      <c r="L29" s="72"/>
      <c r="M29" s="81">
        <v>6.2294772802137591E-2</v>
      </c>
      <c r="N29" s="80"/>
      <c r="O29" s="82"/>
      <c r="P29" s="80">
        <v>87.065960000000004</v>
      </c>
      <c r="Q29" s="72"/>
      <c r="R29" s="81">
        <f t="shared" ref="R29:R31" si="2">P29/$P$11</f>
        <v>4.5893817641438538E-2</v>
      </c>
      <c r="S29" s="81">
        <f>P29/'סכום נכסי הקרן'!$C$42</f>
        <v>1.0768631298562264E-3</v>
      </c>
    </row>
    <row r="30" spans="2:19">
      <c r="B30" s="101" t="s">
        <v>1788</v>
      </c>
      <c r="C30" s="70" t="s">
        <v>1789</v>
      </c>
      <c r="D30" s="83" t="s">
        <v>1759</v>
      </c>
      <c r="E30" s="70" t="s">
        <v>859</v>
      </c>
      <c r="F30" s="83" t="s">
        <v>183</v>
      </c>
      <c r="G30" s="70" t="s">
        <v>466</v>
      </c>
      <c r="H30" s="70" t="s">
        <v>284</v>
      </c>
      <c r="I30" s="97">
        <v>42799</v>
      </c>
      <c r="J30" s="79">
        <v>0.21</v>
      </c>
      <c r="K30" s="83" t="s">
        <v>156</v>
      </c>
      <c r="L30" s="84">
        <v>3.7000000000000005E-2</v>
      </c>
      <c r="M30" s="78">
        <v>1.9799999999999998E-2</v>
      </c>
      <c r="N30" s="77">
        <v>3843</v>
      </c>
      <c r="O30" s="79">
        <v>101.43</v>
      </c>
      <c r="P30" s="77">
        <v>13.51033</v>
      </c>
      <c r="Q30" s="78">
        <v>5.7184096184750906E-5</v>
      </c>
      <c r="R30" s="78">
        <f t="shared" si="2"/>
        <v>7.1215044466937053E-3</v>
      </c>
      <c r="S30" s="78">
        <f>P30/'סכום נכסי הקרן'!$C$42</f>
        <v>1.6710062404630318E-4</v>
      </c>
    </row>
    <row r="31" spans="2:19">
      <c r="B31" s="101" t="s">
        <v>1790</v>
      </c>
      <c r="C31" s="70" t="s">
        <v>1791</v>
      </c>
      <c r="D31" s="83" t="s">
        <v>1759</v>
      </c>
      <c r="E31" s="70" t="s">
        <v>859</v>
      </c>
      <c r="F31" s="83" t="s">
        <v>183</v>
      </c>
      <c r="G31" s="70" t="s">
        <v>466</v>
      </c>
      <c r="H31" s="70" t="s">
        <v>284</v>
      </c>
      <c r="I31" s="97">
        <v>42625</v>
      </c>
      <c r="J31" s="79">
        <v>2.1</v>
      </c>
      <c r="K31" s="83" t="s">
        <v>156</v>
      </c>
      <c r="L31" s="84">
        <v>4.4500000000000005E-2</v>
      </c>
      <c r="M31" s="78">
        <v>7.0099999999999996E-2</v>
      </c>
      <c r="N31" s="77">
        <v>22026</v>
      </c>
      <c r="O31" s="79">
        <v>96.35</v>
      </c>
      <c r="P31" s="77">
        <v>73.555630000000008</v>
      </c>
      <c r="Q31" s="78">
        <v>1.0102564420807336E-4</v>
      </c>
      <c r="R31" s="78">
        <f t="shared" si="2"/>
        <v>3.8772313194744834E-2</v>
      </c>
      <c r="S31" s="78">
        <f>P31/'סכום נכסי הקרן'!$C$42</f>
        <v>9.0976250580992329E-4</v>
      </c>
    </row>
    <row r="32" spans="2:19">
      <c r="B32" s="102"/>
      <c r="C32" s="70"/>
      <c r="D32" s="70"/>
      <c r="E32" s="70"/>
      <c r="F32" s="70"/>
      <c r="G32" s="70"/>
      <c r="H32" s="70"/>
      <c r="I32" s="70"/>
      <c r="J32" s="79"/>
      <c r="K32" s="70"/>
      <c r="L32" s="70"/>
      <c r="M32" s="78"/>
      <c r="N32" s="77"/>
      <c r="O32" s="79"/>
      <c r="P32" s="70"/>
      <c r="Q32" s="70"/>
      <c r="R32" s="78"/>
      <c r="S32" s="70"/>
    </row>
    <row r="33" spans="2:19">
      <c r="B33" s="99" t="s">
        <v>222</v>
      </c>
      <c r="C33" s="70"/>
      <c r="D33" s="70"/>
      <c r="E33" s="70"/>
      <c r="F33" s="70"/>
      <c r="G33" s="70"/>
      <c r="H33" s="70"/>
      <c r="I33" s="70"/>
      <c r="J33" s="79">
        <v>1.4999999999999998</v>
      </c>
      <c r="K33" s="70"/>
      <c r="L33" s="70"/>
      <c r="M33" s="78">
        <v>1.89E-2</v>
      </c>
      <c r="N33" s="77"/>
      <c r="O33" s="79"/>
      <c r="P33" s="77">
        <v>17.827650000000002</v>
      </c>
      <c r="Q33" s="70"/>
      <c r="R33" s="78">
        <f t="shared" ref="R33:R35" si="3">P33/$P$11</f>
        <v>9.3972307670574327E-3</v>
      </c>
      <c r="S33" s="78">
        <f>P33/'סכום נכסי הקרן'!$C$42</f>
        <v>2.204987916859971E-4</v>
      </c>
    </row>
    <row r="34" spans="2:19">
      <c r="B34" s="100" t="s">
        <v>64</v>
      </c>
      <c r="C34" s="72"/>
      <c r="D34" s="72"/>
      <c r="E34" s="72"/>
      <c r="F34" s="72"/>
      <c r="G34" s="72"/>
      <c r="H34" s="72"/>
      <c r="I34" s="72"/>
      <c r="J34" s="82">
        <v>1.4999999999999998</v>
      </c>
      <c r="K34" s="72"/>
      <c r="L34" s="72"/>
      <c r="M34" s="81">
        <v>1.89E-2</v>
      </c>
      <c r="N34" s="80"/>
      <c r="O34" s="82"/>
      <c r="P34" s="80">
        <v>17.827650000000002</v>
      </c>
      <c r="Q34" s="72"/>
      <c r="R34" s="81">
        <f t="shared" si="3"/>
        <v>9.3972307670574327E-3</v>
      </c>
      <c r="S34" s="81">
        <f>P34/'סכום נכסי הקרן'!$C$42</f>
        <v>2.204987916859971E-4</v>
      </c>
    </row>
    <row r="35" spans="2:19">
      <c r="B35" s="101" t="s">
        <v>1792</v>
      </c>
      <c r="C35" s="70">
        <v>4279</v>
      </c>
      <c r="D35" s="83" t="s">
        <v>1759</v>
      </c>
      <c r="E35" s="70"/>
      <c r="F35" s="83" t="s">
        <v>1793</v>
      </c>
      <c r="G35" s="70" t="s">
        <v>1794</v>
      </c>
      <c r="H35" s="70" t="s">
        <v>1795</v>
      </c>
      <c r="I35" s="97">
        <v>40949</v>
      </c>
      <c r="J35" s="79">
        <v>1.4999999999999998</v>
      </c>
      <c r="K35" s="83" t="s">
        <v>156</v>
      </c>
      <c r="L35" s="84">
        <v>0.06</v>
      </c>
      <c r="M35" s="78">
        <v>1.89E-2</v>
      </c>
      <c r="N35" s="77">
        <v>4772.74</v>
      </c>
      <c r="O35" s="79">
        <v>107.77</v>
      </c>
      <c r="P35" s="77">
        <v>17.827650000000002</v>
      </c>
      <c r="Q35" s="78">
        <v>5.7851393939393934E-6</v>
      </c>
      <c r="R35" s="78">
        <f t="shared" si="3"/>
        <v>9.3972307670574327E-3</v>
      </c>
      <c r="S35" s="78">
        <f>P35/'סכום נכסי הקרן'!$C$42</f>
        <v>2.204987916859971E-4</v>
      </c>
    </row>
    <row r="36" spans="2:19">
      <c r="B36" s="103"/>
      <c r="C36" s="104"/>
      <c r="D36" s="104"/>
      <c r="E36" s="104"/>
      <c r="F36" s="104"/>
      <c r="G36" s="104"/>
      <c r="H36" s="104"/>
      <c r="I36" s="104"/>
      <c r="J36" s="105"/>
      <c r="K36" s="104"/>
      <c r="L36" s="104"/>
      <c r="M36" s="106"/>
      <c r="N36" s="107"/>
      <c r="O36" s="105"/>
      <c r="P36" s="104"/>
      <c r="Q36" s="104"/>
      <c r="R36" s="106"/>
      <c r="S36" s="104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85" t="s">
        <v>244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85" t="s">
        <v>105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85" t="s">
        <v>227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85" t="s">
        <v>235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</row>
    <row r="112" spans="2:19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</row>
    <row r="113" spans="2:19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</row>
    <row r="114" spans="2:19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</row>
    <row r="115" spans="2:19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</row>
    <row r="116" spans="2:19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</row>
    <row r="117" spans="2:19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</row>
    <row r="118" spans="2:19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</row>
    <row r="119" spans="2:19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</row>
    <row r="120" spans="2:19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</row>
    <row r="121" spans="2:19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</row>
    <row r="122" spans="2:19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</row>
    <row r="123" spans="2:19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2:19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</row>
    <row r="125" spans="2:19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</row>
    <row r="126" spans="2:19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</row>
    <row r="127" spans="2:19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</row>
    <row r="128" spans="2:19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</row>
    <row r="129" spans="2:19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</row>
    <row r="130" spans="2:19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</row>
    <row r="131" spans="2:19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</row>
    <row r="132" spans="2:19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</row>
    <row r="133" spans="2:19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</row>
    <row r="134" spans="2:19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</row>
    <row r="135" spans="2:19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8 B43:B135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5"/>
  <sheetViews>
    <sheetView rightToLeft="1" workbookViewId="0">
      <selection activeCell="I17" sqref="I17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4.85546875" style="2" bestFit="1" customWidth="1"/>
    <col min="4" max="4" width="5.7109375" style="2" bestFit="1" customWidth="1"/>
    <col min="5" max="5" width="11.28515625" style="2" bestFit="1" customWidth="1"/>
    <col min="6" max="6" width="14.7109375" style="1" bestFit="1" customWidth="1"/>
    <col min="7" max="7" width="12" style="1" bestFit="1" customWidth="1"/>
    <col min="8" max="8" width="7.28515625" style="1" bestFit="1" customWidth="1"/>
    <col min="9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172</v>
      </c>
      <c r="C1" s="68" t="s" vm="1">
        <v>252</v>
      </c>
    </row>
    <row r="2" spans="2:98">
      <c r="B2" s="47" t="s">
        <v>171</v>
      </c>
      <c r="C2" s="68" t="s">
        <v>253</v>
      </c>
    </row>
    <row r="3" spans="2:98">
      <c r="B3" s="47" t="s">
        <v>173</v>
      </c>
      <c r="C3" s="68" t="s">
        <v>254</v>
      </c>
    </row>
    <row r="4" spans="2:98">
      <c r="B4" s="47" t="s">
        <v>174</v>
      </c>
      <c r="C4" s="68">
        <v>8602</v>
      </c>
    </row>
    <row r="6" spans="2:98" ht="26.25" customHeight="1">
      <c r="B6" s="123" t="s">
        <v>203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98" ht="26.25" customHeight="1">
      <c r="B7" s="123" t="s">
        <v>85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98" s="3" customFormat="1" ht="63">
      <c r="B8" s="22" t="s">
        <v>109</v>
      </c>
      <c r="C8" s="30" t="s">
        <v>41</v>
      </c>
      <c r="D8" s="30" t="s">
        <v>111</v>
      </c>
      <c r="E8" s="30" t="s">
        <v>110</v>
      </c>
      <c r="F8" s="30" t="s">
        <v>61</v>
      </c>
      <c r="G8" s="30" t="s">
        <v>96</v>
      </c>
      <c r="H8" s="30" t="s">
        <v>229</v>
      </c>
      <c r="I8" s="30" t="s">
        <v>228</v>
      </c>
      <c r="J8" s="30" t="s">
        <v>104</v>
      </c>
      <c r="K8" s="30" t="s">
        <v>55</v>
      </c>
      <c r="L8" s="30" t="s">
        <v>175</v>
      </c>
      <c r="M8" s="31" t="s">
        <v>177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236</v>
      </c>
      <c r="I9" s="32"/>
      <c r="J9" s="32" t="s">
        <v>232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14" t="s">
        <v>28</v>
      </c>
      <c r="C11" s="115"/>
      <c r="D11" s="115"/>
      <c r="E11" s="115"/>
      <c r="F11" s="115"/>
      <c r="G11" s="115"/>
      <c r="H11" s="116"/>
      <c r="I11" s="116"/>
      <c r="J11" s="116">
        <v>8.6795599999999986</v>
      </c>
      <c r="K11" s="115"/>
      <c r="L11" s="117">
        <f>J11/$J$11</f>
        <v>1</v>
      </c>
      <c r="M11" s="117">
        <f>J11/'סכום נכסי הקרן'!$C$42</f>
        <v>1.0735192200688888E-4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CT11" s="86"/>
    </row>
    <row r="12" spans="2:98" s="86" customFormat="1" ht="17.25" customHeight="1">
      <c r="B12" s="118" t="s">
        <v>223</v>
      </c>
      <c r="C12" s="115"/>
      <c r="D12" s="115"/>
      <c r="E12" s="115"/>
      <c r="F12" s="115"/>
      <c r="G12" s="115"/>
      <c r="H12" s="116"/>
      <c r="I12" s="116"/>
      <c r="J12" s="116">
        <v>8.6795599999999986</v>
      </c>
      <c r="K12" s="115"/>
      <c r="L12" s="117">
        <f t="shared" ref="L12:L15" si="0">J12/$J$11</f>
        <v>1</v>
      </c>
      <c r="M12" s="117">
        <f>J12/'סכום נכסי הקרן'!$C$42</f>
        <v>1.0735192200688888E-4</v>
      </c>
    </row>
    <row r="13" spans="2:98">
      <c r="B13" s="89" t="s">
        <v>223</v>
      </c>
      <c r="C13" s="72"/>
      <c r="D13" s="72"/>
      <c r="E13" s="72"/>
      <c r="F13" s="72"/>
      <c r="G13" s="72"/>
      <c r="H13" s="80"/>
      <c r="I13" s="80"/>
      <c r="J13" s="80">
        <v>8.6795599999999986</v>
      </c>
      <c r="K13" s="72"/>
      <c r="L13" s="81">
        <f t="shared" si="0"/>
        <v>1</v>
      </c>
      <c r="M13" s="81">
        <f>J13/'סכום נכסי הקרן'!$C$42</f>
        <v>1.0735192200688888E-4</v>
      </c>
    </row>
    <row r="14" spans="2:98">
      <c r="B14" s="76" t="s">
        <v>1796</v>
      </c>
      <c r="C14" s="70">
        <v>5992</v>
      </c>
      <c r="D14" s="83" t="s">
        <v>26</v>
      </c>
      <c r="E14" s="70" t="s">
        <v>1773</v>
      </c>
      <c r="F14" s="83" t="s">
        <v>635</v>
      </c>
      <c r="G14" s="83" t="s">
        <v>157</v>
      </c>
      <c r="H14" s="77">
        <v>759</v>
      </c>
      <c r="I14" s="77">
        <v>0</v>
      </c>
      <c r="J14" s="77">
        <v>0</v>
      </c>
      <c r="K14" s="78">
        <v>2.7802197802197801E-5</v>
      </c>
      <c r="L14" s="78">
        <f t="shared" si="0"/>
        <v>0</v>
      </c>
      <c r="M14" s="78">
        <f>J14/'סכום נכסי הקרן'!$C$42</f>
        <v>0</v>
      </c>
    </row>
    <row r="15" spans="2:98">
      <c r="B15" s="76" t="s">
        <v>1797</v>
      </c>
      <c r="C15" s="70" t="s">
        <v>1798</v>
      </c>
      <c r="D15" s="83" t="s">
        <v>26</v>
      </c>
      <c r="E15" s="70" t="s">
        <v>1799</v>
      </c>
      <c r="F15" s="83" t="s">
        <v>149</v>
      </c>
      <c r="G15" s="83" t="s">
        <v>156</v>
      </c>
      <c r="H15" s="77">
        <v>154.58000000000001</v>
      </c>
      <c r="I15" s="77">
        <v>1620</v>
      </c>
      <c r="J15" s="77">
        <v>8.6795599999999986</v>
      </c>
      <c r="K15" s="78">
        <v>1.5765225526109993E-5</v>
      </c>
      <c r="L15" s="78">
        <f t="shared" si="0"/>
        <v>1</v>
      </c>
      <c r="M15" s="78">
        <f>J15/'סכום נכסי הקרן'!$C$42</f>
        <v>1.0735192200688888E-4</v>
      </c>
    </row>
    <row r="16" spans="2:98">
      <c r="B16" s="73"/>
      <c r="C16" s="70"/>
      <c r="D16" s="70"/>
      <c r="E16" s="70"/>
      <c r="F16" s="70"/>
      <c r="G16" s="70"/>
      <c r="H16" s="77"/>
      <c r="I16" s="77"/>
      <c r="J16" s="70"/>
      <c r="K16" s="70"/>
      <c r="L16" s="78"/>
      <c r="M16" s="70"/>
    </row>
    <row r="17" spans="2:1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2:1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2:13">
      <c r="B19" s="85" t="s">
        <v>244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2:13">
      <c r="B20" s="85" t="s">
        <v>105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2:13">
      <c r="B21" s="85" t="s">
        <v>227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2:13">
      <c r="B22" s="85" t="s">
        <v>235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2:1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2:1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2:1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2:1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2:1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2:1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2:13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2:13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2:13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2:13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2:13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2:13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2:13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2:13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2:13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2:13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2:13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2:13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2:13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2:13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2:13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2:13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2:13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2:13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2:13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2:13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2:13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2:13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2:13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2:13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2:13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2:13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2:13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2:13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2:13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2:13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2:13">
      <c r="C116" s="1"/>
      <c r="D116" s="1"/>
      <c r="E116" s="1"/>
    </row>
    <row r="117" spans="2:13">
      <c r="C117" s="1"/>
      <c r="D117" s="1"/>
      <c r="E117" s="1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2"/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D25:XFD1048576 D21:AF24 AH21:XFD24 C5:C1048576 A1:B1048576 D1:XFD20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>
      <selection activeCell="H11" sqref="H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172</v>
      </c>
      <c r="C1" s="68" t="s" vm="1">
        <v>252</v>
      </c>
    </row>
    <row r="2" spans="2:55">
      <c r="B2" s="47" t="s">
        <v>171</v>
      </c>
      <c r="C2" s="68" t="s">
        <v>253</v>
      </c>
    </row>
    <row r="3" spans="2:55">
      <c r="B3" s="47" t="s">
        <v>173</v>
      </c>
      <c r="C3" s="68" t="s">
        <v>254</v>
      </c>
    </row>
    <row r="4" spans="2:55">
      <c r="B4" s="47" t="s">
        <v>174</v>
      </c>
      <c r="C4" s="68">
        <v>8602</v>
      </c>
    </row>
    <row r="6" spans="2:55" ht="26.25" customHeight="1">
      <c r="B6" s="123" t="s">
        <v>203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55" ht="26.25" customHeight="1">
      <c r="B7" s="123" t="s">
        <v>91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55" s="3" customFormat="1" ht="78.75">
      <c r="B8" s="22" t="s">
        <v>109</v>
      </c>
      <c r="C8" s="30" t="s">
        <v>41</v>
      </c>
      <c r="D8" s="30" t="s">
        <v>96</v>
      </c>
      <c r="E8" s="30" t="s">
        <v>97</v>
      </c>
      <c r="F8" s="30" t="s">
        <v>229</v>
      </c>
      <c r="G8" s="30" t="s">
        <v>228</v>
      </c>
      <c r="H8" s="30" t="s">
        <v>104</v>
      </c>
      <c r="I8" s="30" t="s">
        <v>55</v>
      </c>
      <c r="J8" s="30" t="s">
        <v>175</v>
      </c>
      <c r="K8" s="31" t="s">
        <v>177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236</v>
      </c>
      <c r="G9" s="32"/>
      <c r="H9" s="32" t="s">
        <v>232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69"/>
      <c r="C11" s="69"/>
      <c r="D11" s="69"/>
      <c r="E11" s="69"/>
      <c r="F11" s="69"/>
      <c r="G11" s="69"/>
      <c r="H11" s="113">
        <v>0</v>
      </c>
      <c r="I11" s="69"/>
      <c r="J11" s="69"/>
      <c r="K11" s="69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5" t="s">
        <v>105</v>
      </c>
      <c r="C12" s="69"/>
      <c r="D12" s="69"/>
      <c r="E12" s="69"/>
      <c r="F12" s="69"/>
      <c r="G12" s="69"/>
      <c r="H12" s="69"/>
      <c r="I12" s="69"/>
      <c r="J12" s="69"/>
      <c r="K12" s="69"/>
      <c r="V12" s="1"/>
    </row>
    <row r="13" spans="2:55">
      <c r="B13" s="85" t="s">
        <v>227</v>
      </c>
      <c r="C13" s="69"/>
      <c r="D13" s="69"/>
      <c r="E13" s="69"/>
      <c r="F13" s="69"/>
      <c r="G13" s="69"/>
      <c r="H13" s="69"/>
      <c r="I13" s="69"/>
      <c r="J13" s="69"/>
      <c r="K13" s="69"/>
      <c r="V13" s="1"/>
    </row>
    <row r="14" spans="2:55">
      <c r="B14" s="85" t="s">
        <v>235</v>
      </c>
      <c r="C14" s="69"/>
      <c r="D14" s="69"/>
      <c r="E14" s="69"/>
      <c r="F14" s="69"/>
      <c r="G14" s="69"/>
      <c r="H14" s="69"/>
      <c r="I14" s="69"/>
      <c r="J14" s="69"/>
      <c r="K14" s="69"/>
      <c r="V14" s="1"/>
    </row>
    <row r="15" spans="2:55">
      <c r="B15" s="69"/>
      <c r="C15" s="69"/>
      <c r="D15" s="69"/>
      <c r="E15" s="69"/>
      <c r="F15" s="69"/>
      <c r="G15" s="69"/>
      <c r="H15" s="69"/>
      <c r="I15" s="69"/>
      <c r="J15" s="69"/>
      <c r="K15" s="69"/>
      <c r="V15" s="1"/>
    </row>
    <row r="16" spans="2:55">
      <c r="B16" s="69"/>
      <c r="C16" s="69"/>
      <c r="D16" s="69"/>
      <c r="E16" s="69"/>
      <c r="F16" s="69"/>
      <c r="G16" s="69"/>
      <c r="H16" s="69"/>
      <c r="I16" s="69"/>
      <c r="J16" s="69"/>
      <c r="K16" s="69"/>
      <c r="V16" s="1"/>
    </row>
    <row r="17" spans="2:22">
      <c r="B17" s="69"/>
      <c r="C17" s="69"/>
      <c r="D17" s="69"/>
      <c r="E17" s="69"/>
      <c r="F17" s="69"/>
      <c r="G17" s="69"/>
      <c r="H17" s="69"/>
      <c r="I17" s="69"/>
      <c r="J17" s="69"/>
      <c r="K17" s="69"/>
      <c r="V17" s="1"/>
    </row>
    <row r="18" spans="2:22">
      <c r="B18" s="69"/>
      <c r="C18" s="69"/>
      <c r="D18" s="69"/>
      <c r="E18" s="69"/>
      <c r="F18" s="69"/>
      <c r="G18" s="69"/>
      <c r="H18" s="69"/>
      <c r="I18" s="69"/>
      <c r="J18" s="69"/>
      <c r="K18" s="69"/>
      <c r="V18" s="1"/>
    </row>
    <row r="19" spans="2:22">
      <c r="B19" s="69"/>
      <c r="C19" s="69"/>
      <c r="D19" s="69"/>
      <c r="E19" s="69"/>
      <c r="F19" s="69"/>
      <c r="G19" s="69"/>
      <c r="H19" s="69"/>
      <c r="I19" s="69"/>
      <c r="J19" s="69"/>
      <c r="K19" s="69"/>
      <c r="V19" s="1"/>
    </row>
    <row r="20" spans="2:22">
      <c r="B20" s="69"/>
      <c r="C20" s="69"/>
      <c r="D20" s="69"/>
      <c r="E20" s="69"/>
      <c r="F20" s="69"/>
      <c r="G20" s="69"/>
      <c r="H20" s="69"/>
      <c r="I20" s="69"/>
      <c r="J20" s="69"/>
      <c r="K20" s="69"/>
      <c r="V20" s="1"/>
    </row>
    <row r="21" spans="2:22">
      <c r="B21" s="69"/>
      <c r="C21" s="69"/>
      <c r="D21" s="69"/>
      <c r="E21" s="69"/>
      <c r="F21" s="69"/>
      <c r="G21" s="69"/>
      <c r="H21" s="69"/>
      <c r="I21" s="69"/>
      <c r="J21" s="69"/>
      <c r="K21" s="69"/>
      <c r="V21" s="1"/>
    </row>
    <row r="22" spans="2:22" ht="16.5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V22" s="1"/>
    </row>
    <row r="23" spans="2:22" ht="16.5" customHeight="1">
      <c r="B23" s="69"/>
      <c r="C23" s="69"/>
      <c r="D23" s="69"/>
      <c r="E23" s="69"/>
      <c r="F23" s="69"/>
      <c r="G23" s="69"/>
      <c r="H23" s="69"/>
      <c r="I23" s="69"/>
      <c r="J23" s="69"/>
      <c r="K23" s="69"/>
      <c r="V23" s="1"/>
    </row>
    <row r="24" spans="2:22" ht="16.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V24" s="1"/>
    </row>
    <row r="25" spans="2:22">
      <c r="B25" s="69"/>
      <c r="C25" s="69"/>
      <c r="D25" s="69"/>
      <c r="E25" s="69"/>
      <c r="F25" s="69"/>
      <c r="G25" s="69"/>
      <c r="H25" s="69"/>
      <c r="I25" s="69"/>
      <c r="J25" s="69"/>
      <c r="K25" s="69"/>
      <c r="V25" s="1"/>
    </row>
    <row r="26" spans="2:22">
      <c r="B26" s="69"/>
      <c r="C26" s="69"/>
      <c r="D26" s="69"/>
      <c r="E26" s="69"/>
      <c r="F26" s="69"/>
      <c r="G26" s="69"/>
      <c r="H26" s="69"/>
      <c r="I26" s="69"/>
      <c r="J26" s="69"/>
      <c r="K26" s="69"/>
      <c r="V26" s="1"/>
    </row>
    <row r="27" spans="2:22">
      <c r="B27" s="69"/>
      <c r="C27" s="69"/>
      <c r="D27" s="69"/>
      <c r="E27" s="69"/>
      <c r="F27" s="69"/>
      <c r="G27" s="69"/>
      <c r="H27" s="69"/>
      <c r="I27" s="69"/>
      <c r="J27" s="69"/>
      <c r="K27" s="69"/>
      <c r="V27" s="1"/>
    </row>
    <row r="28" spans="2:22">
      <c r="B28" s="69"/>
      <c r="C28" s="69"/>
      <c r="D28" s="69"/>
      <c r="E28" s="69"/>
      <c r="F28" s="69"/>
      <c r="G28" s="69"/>
      <c r="H28" s="69"/>
      <c r="I28" s="69"/>
      <c r="J28" s="69"/>
      <c r="K28" s="69"/>
      <c r="V28" s="1"/>
    </row>
    <row r="29" spans="2:22">
      <c r="B29" s="69"/>
      <c r="C29" s="69"/>
      <c r="D29" s="69"/>
      <c r="E29" s="69"/>
      <c r="F29" s="69"/>
      <c r="G29" s="69"/>
      <c r="H29" s="69"/>
      <c r="I29" s="69"/>
      <c r="J29" s="69"/>
      <c r="K29" s="69"/>
      <c r="V29" s="1"/>
    </row>
    <row r="30" spans="2:22">
      <c r="B30" s="69"/>
      <c r="C30" s="69"/>
      <c r="D30" s="69"/>
      <c r="E30" s="69"/>
      <c r="F30" s="69"/>
      <c r="G30" s="69"/>
      <c r="H30" s="69"/>
      <c r="I30" s="69"/>
      <c r="J30" s="69"/>
      <c r="K30" s="69"/>
      <c r="V30" s="1"/>
    </row>
    <row r="31" spans="2:22">
      <c r="B31" s="69"/>
      <c r="C31" s="69"/>
      <c r="D31" s="69"/>
      <c r="E31" s="69"/>
      <c r="F31" s="69"/>
      <c r="G31" s="69"/>
      <c r="H31" s="69"/>
      <c r="I31" s="69"/>
      <c r="J31" s="69"/>
      <c r="K31" s="69"/>
      <c r="V31" s="1"/>
    </row>
    <row r="32" spans="2:22">
      <c r="B32" s="69"/>
      <c r="C32" s="69"/>
      <c r="D32" s="69"/>
      <c r="E32" s="69"/>
      <c r="F32" s="69"/>
      <c r="G32" s="69"/>
      <c r="H32" s="69"/>
      <c r="I32" s="69"/>
      <c r="J32" s="69"/>
      <c r="K32" s="69"/>
      <c r="V32" s="1"/>
    </row>
    <row r="33" spans="2:22">
      <c r="B33" s="69"/>
      <c r="C33" s="69"/>
      <c r="D33" s="69"/>
      <c r="E33" s="69"/>
      <c r="F33" s="69"/>
      <c r="G33" s="69"/>
      <c r="H33" s="69"/>
      <c r="I33" s="69"/>
      <c r="J33" s="69"/>
      <c r="K33" s="69"/>
      <c r="V33" s="1"/>
    </row>
    <row r="34" spans="2:22">
      <c r="B34" s="69"/>
      <c r="C34" s="69"/>
      <c r="D34" s="69"/>
      <c r="E34" s="69"/>
      <c r="F34" s="69"/>
      <c r="G34" s="69"/>
      <c r="H34" s="69"/>
      <c r="I34" s="69"/>
      <c r="J34" s="69"/>
      <c r="K34" s="69"/>
      <c r="V34" s="1"/>
    </row>
    <row r="35" spans="2:22">
      <c r="B35" s="69"/>
      <c r="C35" s="69"/>
      <c r="D35" s="69"/>
      <c r="E35" s="69"/>
      <c r="F35" s="69"/>
      <c r="G35" s="69"/>
      <c r="H35" s="69"/>
      <c r="I35" s="69"/>
      <c r="J35" s="69"/>
      <c r="K35" s="69"/>
      <c r="V35" s="1"/>
    </row>
    <row r="36" spans="2:22">
      <c r="B36" s="69"/>
      <c r="C36" s="69"/>
      <c r="D36" s="69"/>
      <c r="E36" s="69"/>
      <c r="F36" s="69"/>
      <c r="G36" s="69"/>
      <c r="H36" s="69"/>
      <c r="I36" s="69"/>
      <c r="J36" s="69"/>
      <c r="K36" s="69"/>
      <c r="V36" s="1"/>
    </row>
    <row r="37" spans="2:22">
      <c r="B37" s="69"/>
      <c r="C37" s="69"/>
      <c r="D37" s="69"/>
      <c r="E37" s="69"/>
      <c r="F37" s="69"/>
      <c r="G37" s="69"/>
      <c r="H37" s="69"/>
      <c r="I37" s="69"/>
      <c r="J37" s="69"/>
      <c r="K37" s="69"/>
      <c r="V37" s="1"/>
    </row>
    <row r="38" spans="2:22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22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22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22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22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22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22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22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22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22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22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H39:XFD41 D42:XFD1048576 D39:AF41 D1:G38 I1:XFD38 H1:H10 H12:H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J13" sqref="J13"/>
    </sheetView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64.8554687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172</v>
      </c>
      <c r="C1" s="68" t="s" vm="1">
        <v>252</v>
      </c>
    </row>
    <row r="2" spans="2:59">
      <c r="B2" s="47" t="s">
        <v>171</v>
      </c>
      <c r="C2" s="68" t="s">
        <v>253</v>
      </c>
    </row>
    <row r="3" spans="2:59">
      <c r="B3" s="47" t="s">
        <v>173</v>
      </c>
      <c r="C3" s="68" t="s">
        <v>254</v>
      </c>
    </row>
    <row r="4" spans="2:59">
      <c r="B4" s="47" t="s">
        <v>174</v>
      </c>
      <c r="C4" s="68">
        <v>8602</v>
      </c>
    </row>
    <row r="6" spans="2:59" ht="26.25" customHeight="1">
      <c r="B6" s="123" t="s">
        <v>203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9" ht="26.25" customHeight="1">
      <c r="B7" s="123" t="s">
        <v>92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9" s="3" customFormat="1" ht="78.75">
      <c r="B8" s="22" t="s">
        <v>109</v>
      </c>
      <c r="C8" s="30" t="s">
        <v>41</v>
      </c>
      <c r="D8" s="30" t="s">
        <v>61</v>
      </c>
      <c r="E8" s="30" t="s">
        <v>96</v>
      </c>
      <c r="F8" s="30" t="s">
        <v>97</v>
      </c>
      <c r="G8" s="30" t="s">
        <v>229</v>
      </c>
      <c r="H8" s="30" t="s">
        <v>228</v>
      </c>
      <c r="I8" s="30" t="s">
        <v>104</v>
      </c>
      <c r="J8" s="30" t="s">
        <v>55</v>
      </c>
      <c r="K8" s="30" t="s">
        <v>175</v>
      </c>
      <c r="L8" s="31" t="s">
        <v>177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236</v>
      </c>
      <c r="H9" s="16"/>
      <c r="I9" s="16" t="s">
        <v>232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69" t="s">
        <v>44</v>
      </c>
      <c r="C11" s="70"/>
      <c r="D11" s="70"/>
      <c r="E11" s="70"/>
      <c r="F11" s="70"/>
      <c r="G11" s="77"/>
      <c r="H11" s="79"/>
      <c r="I11" s="77">
        <v>3.5208404999999998E-2</v>
      </c>
      <c r="J11" s="70"/>
      <c r="K11" s="78">
        <f>I11/$I$11</f>
        <v>1</v>
      </c>
      <c r="L11" s="78">
        <f>I11/'סכום נכסי הקרן'!$C$42</f>
        <v>4.3547022516659332E-7</v>
      </c>
      <c r="M11" s="1"/>
      <c r="N11" s="1"/>
      <c r="O11" s="1"/>
      <c r="P11" s="1"/>
      <c r="BG11" s="1"/>
    </row>
    <row r="12" spans="2:59" ht="21" customHeight="1">
      <c r="B12" s="95" t="s">
        <v>224</v>
      </c>
      <c r="C12" s="70"/>
      <c r="D12" s="70"/>
      <c r="E12" s="70"/>
      <c r="F12" s="70"/>
      <c r="G12" s="77"/>
      <c r="H12" s="79"/>
      <c r="I12" s="77">
        <v>3.5208404999999998E-2</v>
      </c>
      <c r="J12" s="70"/>
      <c r="K12" s="78">
        <f t="shared" ref="K12:K13" si="0">I12/$I$11</f>
        <v>1</v>
      </c>
      <c r="L12" s="78">
        <f>I12/'סכום נכסי הקרן'!$C$42</f>
        <v>4.3547022516659332E-7</v>
      </c>
    </row>
    <row r="13" spans="2:59">
      <c r="B13" s="73" t="s">
        <v>1800</v>
      </c>
      <c r="C13" s="70" t="s">
        <v>1801</v>
      </c>
      <c r="D13" s="83" t="s">
        <v>1219</v>
      </c>
      <c r="E13" s="83" t="s">
        <v>156</v>
      </c>
      <c r="F13" s="97">
        <v>43879</v>
      </c>
      <c r="G13" s="77">
        <v>9.3461719999999993</v>
      </c>
      <c r="H13" s="79">
        <v>108.68859999999999</v>
      </c>
      <c r="I13" s="77">
        <v>3.5208404999999998E-2</v>
      </c>
      <c r="J13" s="78">
        <v>4.3546360678320146E-7</v>
      </c>
      <c r="K13" s="78">
        <f t="shared" si="0"/>
        <v>1</v>
      </c>
      <c r="L13" s="78">
        <f>I13/'סכום נכסי הקרן'!$C$42</f>
        <v>4.3547022516659332E-7</v>
      </c>
    </row>
    <row r="14" spans="2:59">
      <c r="B14" s="69"/>
      <c r="C14" s="70"/>
      <c r="D14" s="70"/>
      <c r="E14" s="70"/>
      <c r="F14" s="70"/>
      <c r="G14" s="77"/>
      <c r="H14" s="79"/>
      <c r="I14" s="70"/>
      <c r="J14" s="70"/>
      <c r="K14" s="78"/>
      <c r="L14" s="70"/>
    </row>
    <row r="15" spans="2:59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59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>
      <c r="B17" s="108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>
      <c r="B18" s="108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108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I11" sqref="I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172</v>
      </c>
      <c r="C1" s="68" t="s" vm="1">
        <v>252</v>
      </c>
    </row>
    <row r="2" spans="2:54">
      <c r="B2" s="47" t="s">
        <v>171</v>
      </c>
      <c r="C2" s="68" t="s">
        <v>253</v>
      </c>
    </row>
    <row r="3" spans="2:54">
      <c r="B3" s="47" t="s">
        <v>173</v>
      </c>
      <c r="C3" s="68" t="s">
        <v>254</v>
      </c>
    </row>
    <row r="4" spans="2:54">
      <c r="B4" s="47" t="s">
        <v>174</v>
      </c>
      <c r="C4" s="68">
        <v>8602</v>
      </c>
    </row>
    <row r="6" spans="2:54" ht="26.25" customHeight="1">
      <c r="B6" s="123" t="s">
        <v>203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4" ht="26.25" customHeight="1">
      <c r="B7" s="123" t="s">
        <v>93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4" s="3" customFormat="1" ht="78.75">
      <c r="B8" s="22" t="s">
        <v>109</v>
      </c>
      <c r="C8" s="30" t="s">
        <v>41</v>
      </c>
      <c r="D8" s="30" t="s">
        <v>61</v>
      </c>
      <c r="E8" s="30" t="s">
        <v>96</v>
      </c>
      <c r="F8" s="30" t="s">
        <v>97</v>
      </c>
      <c r="G8" s="30" t="s">
        <v>229</v>
      </c>
      <c r="H8" s="30" t="s">
        <v>228</v>
      </c>
      <c r="I8" s="30" t="s">
        <v>104</v>
      </c>
      <c r="J8" s="30" t="s">
        <v>55</v>
      </c>
      <c r="K8" s="30" t="s">
        <v>175</v>
      </c>
      <c r="L8" s="31" t="s">
        <v>177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236</v>
      </c>
      <c r="H9" s="16"/>
      <c r="I9" s="16" t="s">
        <v>232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69"/>
      <c r="C11" s="69"/>
      <c r="D11" s="69"/>
      <c r="E11" s="69"/>
      <c r="F11" s="69"/>
      <c r="G11" s="69"/>
      <c r="H11" s="69"/>
      <c r="I11" s="113">
        <v>0</v>
      </c>
      <c r="J11" s="69"/>
      <c r="K11" s="69"/>
      <c r="L11" s="69"/>
      <c r="AZ11" s="1"/>
    </row>
    <row r="12" spans="2:54" ht="19.5" customHeight="1">
      <c r="B12" s="85" t="s">
        <v>244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54">
      <c r="B13" s="85" t="s">
        <v>105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54">
      <c r="B14" s="85" t="s">
        <v>227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54">
      <c r="B15" s="85" t="s">
        <v>235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54" s="7" customForma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AZ16" s="1"/>
      <c r="BB16" s="1"/>
    </row>
    <row r="17" spans="2:54" s="7" customForma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AZ17" s="1"/>
      <c r="BB17" s="1"/>
    </row>
    <row r="18" spans="2:54" s="7" customForma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AZ18" s="1"/>
      <c r="BB18" s="1"/>
    </row>
    <row r="19" spans="2:54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54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54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4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4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4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4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4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4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4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4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4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4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44:XFD47 D48:XFD1048576 D44:AF47 D1:H43 J1:XFD43 I1:I10 I12:I43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>
      <selection activeCell="J19" sqref="J19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4.855468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172</v>
      </c>
      <c r="C1" s="68" t="s" vm="1">
        <v>252</v>
      </c>
    </row>
    <row r="2" spans="2:13">
      <c r="B2" s="47" t="s">
        <v>171</v>
      </c>
      <c r="C2" s="68" t="s">
        <v>253</v>
      </c>
    </row>
    <row r="3" spans="2:13">
      <c r="B3" s="47" t="s">
        <v>173</v>
      </c>
      <c r="C3" s="68" t="s">
        <v>254</v>
      </c>
    </row>
    <row r="4" spans="2:13">
      <c r="B4" s="47" t="s">
        <v>174</v>
      </c>
      <c r="C4" s="68">
        <v>8602</v>
      </c>
    </row>
    <row r="6" spans="2:13" ht="26.25" customHeight="1">
      <c r="B6" s="123" t="s">
        <v>201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3" s="3" customFormat="1" ht="63">
      <c r="B7" s="67" t="s">
        <v>108</v>
      </c>
      <c r="C7" s="50" t="s">
        <v>41</v>
      </c>
      <c r="D7" s="50" t="s">
        <v>110</v>
      </c>
      <c r="E7" s="50" t="s">
        <v>14</v>
      </c>
      <c r="F7" s="50" t="s">
        <v>62</v>
      </c>
      <c r="G7" s="50" t="s">
        <v>96</v>
      </c>
      <c r="H7" s="50" t="s">
        <v>16</v>
      </c>
      <c r="I7" s="50" t="s">
        <v>18</v>
      </c>
      <c r="J7" s="50" t="s">
        <v>58</v>
      </c>
      <c r="K7" s="50" t="s">
        <v>175</v>
      </c>
      <c r="L7" s="52" t="s">
        <v>176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232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87" t="s">
        <v>40</v>
      </c>
      <c r="C10" s="88"/>
      <c r="D10" s="88"/>
      <c r="E10" s="88"/>
      <c r="F10" s="88"/>
      <c r="G10" s="88"/>
      <c r="H10" s="88"/>
      <c r="I10" s="88"/>
      <c r="J10" s="90">
        <f>J11</f>
        <v>1774.3577666389995</v>
      </c>
      <c r="K10" s="93">
        <f>J10/$J$10</f>
        <v>1</v>
      </c>
      <c r="L10" s="93">
        <f>J10/'סכום נכסי הקרן'!$C$42</f>
        <v>2.1945895480479129E-2</v>
      </c>
    </row>
    <row r="11" spans="2:13">
      <c r="B11" s="71" t="s">
        <v>223</v>
      </c>
      <c r="C11" s="72"/>
      <c r="D11" s="72"/>
      <c r="E11" s="72"/>
      <c r="F11" s="72"/>
      <c r="G11" s="72"/>
      <c r="H11" s="72"/>
      <c r="I11" s="72"/>
      <c r="J11" s="80">
        <f>J12+J21</f>
        <v>1774.3577666389995</v>
      </c>
      <c r="K11" s="81">
        <f t="shared" ref="K11:K19" si="0">J11/$J$10</f>
        <v>1</v>
      </c>
      <c r="L11" s="81">
        <f>J11/'סכום נכסי הקרן'!$C$42</f>
        <v>2.1945895480479129E-2</v>
      </c>
    </row>
    <row r="12" spans="2:13">
      <c r="B12" s="89" t="s">
        <v>38</v>
      </c>
      <c r="C12" s="72"/>
      <c r="D12" s="72"/>
      <c r="E12" s="72"/>
      <c r="F12" s="72"/>
      <c r="G12" s="72"/>
      <c r="H12" s="72"/>
      <c r="I12" s="72"/>
      <c r="J12" s="80">
        <f>SUM(J13:J19)</f>
        <v>592.96051604800004</v>
      </c>
      <c r="K12" s="81">
        <f t="shared" si="0"/>
        <v>0.33418317725809599</v>
      </c>
      <c r="L12" s="81">
        <f>J12/'סכום נכסי הקרן'!$C$42</f>
        <v>7.3339490794406045E-3</v>
      </c>
    </row>
    <row r="13" spans="2:13">
      <c r="B13" s="76" t="s">
        <v>2050</v>
      </c>
      <c r="C13" s="70" t="s">
        <v>2051</v>
      </c>
      <c r="D13" s="70">
        <v>11</v>
      </c>
      <c r="E13" s="70" t="s">
        <v>283</v>
      </c>
      <c r="F13" s="70" t="s">
        <v>284</v>
      </c>
      <c r="G13" s="83" t="s">
        <v>157</v>
      </c>
      <c r="H13" s="84">
        <v>0</v>
      </c>
      <c r="I13" s="84">
        <v>0</v>
      </c>
      <c r="J13" s="77">
        <v>1.5340924930000004</v>
      </c>
      <c r="K13" s="78">
        <f t="shared" si="0"/>
        <v>8.6459028829675587E-4</v>
      </c>
      <c r="L13" s="78">
        <f>J13/'סכום נכסי הקרן'!$C$42</f>
        <v>1.8974208100397921E-5</v>
      </c>
    </row>
    <row r="14" spans="2:13">
      <c r="B14" s="76" t="s">
        <v>2052</v>
      </c>
      <c r="C14" s="70" t="s">
        <v>2053</v>
      </c>
      <c r="D14" s="70">
        <v>12</v>
      </c>
      <c r="E14" s="70" t="s">
        <v>283</v>
      </c>
      <c r="F14" s="70" t="s">
        <v>284</v>
      </c>
      <c r="G14" s="83" t="s">
        <v>157</v>
      </c>
      <c r="H14" s="84">
        <v>0</v>
      </c>
      <c r="I14" s="84">
        <v>0</v>
      </c>
      <c r="J14" s="77">
        <v>56.173462110000003</v>
      </c>
      <c r="K14" s="78">
        <f t="shared" si="0"/>
        <v>3.1658475627721998E-2</v>
      </c>
      <c r="L14" s="78">
        <f>J14/'סכום נכסי הקרן'!$C$42</f>
        <v>6.9477359719728293E-4</v>
      </c>
    </row>
    <row r="15" spans="2:13">
      <c r="B15" s="76" t="s">
        <v>2052</v>
      </c>
      <c r="C15" s="70" t="s">
        <v>2054</v>
      </c>
      <c r="D15" s="70">
        <v>12</v>
      </c>
      <c r="E15" s="70" t="s">
        <v>283</v>
      </c>
      <c r="F15" s="70" t="s">
        <v>284</v>
      </c>
      <c r="G15" s="83" t="s">
        <v>157</v>
      </c>
      <c r="H15" s="84">
        <v>0</v>
      </c>
      <c r="I15" s="84">
        <v>0</v>
      </c>
      <c r="J15" s="77">
        <v>68.012810000000002</v>
      </c>
      <c r="K15" s="78">
        <f t="shared" si="0"/>
        <v>3.8330945020648419E-2</v>
      </c>
      <c r="L15" s="78">
        <f>J15/'סכום נכסי הקרן'!$C$42</f>
        <v>8.4120691309114213E-4</v>
      </c>
    </row>
    <row r="16" spans="2:13">
      <c r="B16" s="76" t="s">
        <v>2055</v>
      </c>
      <c r="C16" s="70" t="s">
        <v>2056</v>
      </c>
      <c r="D16" s="70">
        <v>10</v>
      </c>
      <c r="E16" s="70" t="s">
        <v>283</v>
      </c>
      <c r="F16" s="70" t="s">
        <v>284</v>
      </c>
      <c r="G16" s="83" t="s">
        <v>157</v>
      </c>
      <c r="H16" s="84">
        <v>0</v>
      </c>
      <c r="I16" s="84">
        <v>0</v>
      </c>
      <c r="J16" s="77">
        <v>86.807664252000009</v>
      </c>
      <c r="K16" s="78">
        <f t="shared" si="0"/>
        <v>4.8923427892691378E-2</v>
      </c>
      <c r="L16" s="78">
        <f>J16/'סכום נכסי הקרן'!$C$42</f>
        <v>1.0736684350797624E-3</v>
      </c>
    </row>
    <row r="17" spans="2:12">
      <c r="B17" s="76" t="s">
        <v>2055</v>
      </c>
      <c r="C17" s="70" t="s">
        <v>2057</v>
      </c>
      <c r="D17" s="70">
        <v>10</v>
      </c>
      <c r="E17" s="70" t="s">
        <v>283</v>
      </c>
      <c r="F17" s="70" t="s">
        <v>284</v>
      </c>
      <c r="G17" s="83" t="s">
        <v>157</v>
      </c>
      <c r="H17" s="84">
        <v>0</v>
      </c>
      <c r="I17" s="84">
        <v>0</v>
      </c>
      <c r="J17" s="77">
        <v>356.87684999999999</v>
      </c>
      <c r="K17" s="78">
        <f t="shared" si="0"/>
        <v>0.20113015351802391</v>
      </c>
      <c r="L17" s="78">
        <f>J17/'סכום נכסי הקרן'!$C$42</f>
        <v>4.4139813270792742E-3</v>
      </c>
    </row>
    <row r="18" spans="2:12">
      <c r="B18" s="76" t="s">
        <v>2058</v>
      </c>
      <c r="C18" s="70" t="s">
        <v>2059</v>
      </c>
      <c r="D18" s="70">
        <v>20</v>
      </c>
      <c r="E18" s="70" t="s">
        <v>283</v>
      </c>
      <c r="F18" s="70" t="s">
        <v>284</v>
      </c>
      <c r="G18" s="83" t="s">
        <v>157</v>
      </c>
      <c r="H18" s="84">
        <v>0</v>
      </c>
      <c r="I18" s="84">
        <v>0</v>
      </c>
      <c r="J18" s="77">
        <v>11.375627192999998</v>
      </c>
      <c r="K18" s="78">
        <f t="shared" si="0"/>
        <v>6.4111237355180001E-3</v>
      </c>
      <c r="L18" s="78">
        <f>J18/'סכום נכסי הקרן'!$C$42</f>
        <v>1.4069785141209695E-4</v>
      </c>
    </row>
    <row r="19" spans="2:12">
      <c r="B19" s="76" t="s">
        <v>2060</v>
      </c>
      <c r="C19" s="70" t="s">
        <v>2061</v>
      </c>
      <c r="D19" s="70">
        <v>26</v>
      </c>
      <c r="E19" s="70" t="s">
        <v>283</v>
      </c>
      <c r="F19" s="70" t="s">
        <v>284</v>
      </c>
      <c r="G19" s="83" t="s">
        <v>157</v>
      </c>
      <c r="H19" s="84">
        <v>0</v>
      </c>
      <c r="I19" s="84">
        <v>0</v>
      </c>
      <c r="J19" s="77">
        <v>12.180009999999999</v>
      </c>
      <c r="K19" s="78">
        <f t="shared" si="0"/>
        <v>6.8644611751954949E-3</v>
      </c>
      <c r="L19" s="78">
        <f>J19/'סכום נכסי הקרן'!$C$42</f>
        <v>1.5064674748064725E-4</v>
      </c>
    </row>
    <row r="20" spans="2:12">
      <c r="B20" s="73"/>
      <c r="C20" s="70"/>
      <c r="D20" s="70"/>
      <c r="E20" s="70"/>
      <c r="F20" s="70"/>
      <c r="G20" s="70"/>
      <c r="H20" s="70"/>
      <c r="I20" s="70"/>
      <c r="J20" s="70"/>
      <c r="K20" s="78"/>
      <c r="L20" s="70"/>
    </row>
    <row r="21" spans="2:12">
      <c r="B21" s="89" t="s">
        <v>39</v>
      </c>
      <c r="C21" s="72"/>
      <c r="D21" s="72"/>
      <c r="E21" s="72"/>
      <c r="F21" s="72"/>
      <c r="G21" s="72"/>
      <c r="H21" s="72"/>
      <c r="I21" s="72"/>
      <c r="J21" s="80">
        <f>SUM(J22:J48)</f>
        <v>1181.3972505909994</v>
      </c>
      <c r="K21" s="81">
        <f t="shared" ref="K21:K48" si="1">J21/$J$10</f>
        <v>0.66581682274190401</v>
      </c>
      <c r="L21" s="81">
        <f>J21/'סכום נכסי הקרן'!$C$42</f>
        <v>1.4611946401038526E-2</v>
      </c>
    </row>
    <row r="22" spans="2:12">
      <c r="B22" s="76" t="s">
        <v>2052</v>
      </c>
      <c r="C22" s="70" t="s">
        <v>2062</v>
      </c>
      <c r="D22" s="70">
        <v>12</v>
      </c>
      <c r="E22" s="70" t="s">
        <v>283</v>
      </c>
      <c r="F22" s="70" t="s">
        <v>284</v>
      </c>
      <c r="G22" s="83" t="s">
        <v>158</v>
      </c>
      <c r="H22" s="84">
        <v>0</v>
      </c>
      <c r="I22" s="84">
        <v>0</v>
      </c>
      <c r="J22" s="77">
        <v>0.40950640700000002</v>
      </c>
      <c r="K22" s="78">
        <f t="shared" si="1"/>
        <v>2.3079134022429412E-4</v>
      </c>
      <c r="L22" s="78">
        <f>J22/'סכום נכסי הקרן'!$C$42</f>
        <v>5.064922630362058E-6</v>
      </c>
    </row>
    <row r="23" spans="2:12">
      <c r="B23" s="76" t="s">
        <v>2052</v>
      </c>
      <c r="C23" s="70" t="s">
        <v>2063</v>
      </c>
      <c r="D23" s="70">
        <v>12</v>
      </c>
      <c r="E23" s="70" t="s">
        <v>283</v>
      </c>
      <c r="F23" s="70" t="s">
        <v>284</v>
      </c>
      <c r="G23" s="83" t="s">
        <v>159</v>
      </c>
      <c r="H23" s="84">
        <v>0</v>
      </c>
      <c r="I23" s="84">
        <v>0</v>
      </c>
      <c r="J23" s="77">
        <v>1.8415580000000001E-3</v>
      </c>
      <c r="K23" s="78">
        <f t="shared" si="1"/>
        <v>1.0378729896667299E-6</v>
      </c>
      <c r="L23" s="78">
        <f>J23/'סכום נכסי הקרן'!$C$42</f>
        <v>2.2777052153238447E-8</v>
      </c>
    </row>
    <row r="24" spans="2:12">
      <c r="B24" s="76" t="s">
        <v>2052</v>
      </c>
      <c r="C24" s="70" t="s">
        <v>2064</v>
      </c>
      <c r="D24" s="70">
        <v>12</v>
      </c>
      <c r="E24" s="70" t="s">
        <v>283</v>
      </c>
      <c r="F24" s="70" t="s">
        <v>284</v>
      </c>
      <c r="G24" s="83" t="s">
        <v>156</v>
      </c>
      <c r="H24" s="84">
        <v>0</v>
      </c>
      <c r="I24" s="84">
        <v>0</v>
      </c>
      <c r="J24" s="77">
        <v>289.59742697899998</v>
      </c>
      <c r="K24" s="78">
        <f t="shared" si="1"/>
        <v>0.1632125338102233</v>
      </c>
      <c r="L24" s="78">
        <f>J24/'סכום נכסי הקרן'!$C$42</f>
        <v>3.5818452081033264E-3</v>
      </c>
    </row>
    <row r="25" spans="2:12">
      <c r="B25" s="76" t="s">
        <v>2052</v>
      </c>
      <c r="C25" s="70" t="s">
        <v>2065</v>
      </c>
      <c r="D25" s="70">
        <v>12</v>
      </c>
      <c r="E25" s="70" t="s">
        <v>283</v>
      </c>
      <c r="F25" s="70" t="s">
        <v>284</v>
      </c>
      <c r="G25" s="83" t="s">
        <v>166</v>
      </c>
      <c r="H25" s="84">
        <v>0</v>
      </c>
      <c r="I25" s="84">
        <v>0</v>
      </c>
      <c r="J25" s="77">
        <v>5.3489999999999999E-6</v>
      </c>
      <c r="K25" s="78">
        <f t="shared" si="1"/>
        <v>3.0146118784894841E-9</v>
      </c>
      <c r="L25" s="78">
        <f>J25/'סכום נכסי הקרן'!$C$42</f>
        <v>6.6158357199541072E-11</v>
      </c>
    </row>
    <row r="26" spans="2:12">
      <c r="B26" s="76" t="s">
        <v>2055</v>
      </c>
      <c r="C26" s="70" t="s">
        <v>2066</v>
      </c>
      <c r="D26" s="70">
        <v>10</v>
      </c>
      <c r="E26" s="70" t="s">
        <v>283</v>
      </c>
      <c r="F26" s="70" t="s">
        <v>284</v>
      </c>
      <c r="G26" s="83" t="s">
        <v>166</v>
      </c>
      <c r="H26" s="84">
        <v>0</v>
      </c>
      <c r="I26" s="84">
        <v>0</v>
      </c>
      <c r="J26" s="77">
        <v>7.4230800000000012E-3</v>
      </c>
      <c r="K26" s="78">
        <f t="shared" si="1"/>
        <v>4.1835305931908248E-6</v>
      </c>
      <c r="L26" s="78">
        <f>J26/'סכום נכסי הקרן'!$C$42</f>
        <v>9.18113251375527E-8</v>
      </c>
    </row>
    <row r="27" spans="2:12">
      <c r="B27" s="76" t="s">
        <v>2055</v>
      </c>
      <c r="C27" s="70" t="s">
        <v>2067</v>
      </c>
      <c r="D27" s="70">
        <v>10</v>
      </c>
      <c r="E27" s="70" t="s">
        <v>283</v>
      </c>
      <c r="F27" s="70" t="s">
        <v>284</v>
      </c>
      <c r="G27" s="83" t="s">
        <v>159</v>
      </c>
      <c r="H27" s="84">
        <v>0</v>
      </c>
      <c r="I27" s="84">
        <v>0</v>
      </c>
      <c r="J27" s="77">
        <v>0.11056000000000001</v>
      </c>
      <c r="K27" s="78">
        <f t="shared" si="1"/>
        <v>6.2309869000896879E-5</v>
      </c>
      <c r="L27" s="78">
        <f>J27/'סכום נכסי הקרן'!$C$42</f>
        <v>1.3674458724960295E-6</v>
      </c>
    </row>
    <row r="28" spans="2:12">
      <c r="B28" s="76" t="s">
        <v>2055</v>
      </c>
      <c r="C28" s="70" t="s">
        <v>2068</v>
      </c>
      <c r="D28" s="70">
        <v>10</v>
      </c>
      <c r="E28" s="70" t="s">
        <v>283</v>
      </c>
      <c r="F28" s="70" t="s">
        <v>284</v>
      </c>
      <c r="G28" s="83" t="s">
        <v>1258</v>
      </c>
      <c r="H28" s="84">
        <v>0</v>
      </c>
      <c r="I28" s="84">
        <v>0</v>
      </c>
      <c r="J28" s="77">
        <v>6.4404000000000002E-5</v>
      </c>
      <c r="K28" s="78">
        <f t="shared" si="1"/>
        <v>3.62970767287786E-8</v>
      </c>
      <c r="L28" s="78">
        <f>J28/'סכום נכסי הקרן'!$C$42</f>
        <v>7.9657185213670652E-10</v>
      </c>
    </row>
    <row r="29" spans="2:12">
      <c r="B29" s="76" t="s">
        <v>2055</v>
      </c>
      <c r="C29" s="70" t="s">
        <v>2069</v>
      </c>
      <c r="D29" s="70">
        <v>10</v>
      </c>
      <c r="E29" s="70" t="s">
        <v>283</v>
      </c>
      <c r="F29" s="70" t="s">
        <v>284</v>
      </c>
      <c r="G29" s="83" t="s">
        <v>159</v>
      </c>
      <c r="H29" s="84">
        <v>0</v>
      </c>
      <c r="I29" s="84">
        <v>0</v>
      </c>
      <c r="J29" s="77">
        <v>1.5559877480000002</v>
      </c>
      <c r="K29" s="78">
        <f t="shared" si="1"/>
        <v>8.7693010803980231E-4</v>
      </c>
      <c r="L29" s="78">
        <f>J29/'סכום נכסי הקרן'!$C$42</f>
        <v>1.9245016494726774E-5</v>
      </c>
    </row>
    <row r="30" spans="2:12">
      <c r="B30" s="76" t="s">
        <v>2055</v>
      </c>
      <c r="C30" s="70" t="s">
        <v>2070</v>
      </c>
      <c r="D30" s="70">
        <v>10</v>
      </c>
      <c r="E30" s="70" t="s">
        <v>283</v>
      </c>
      <c r="F30" s="70" t="s">
        <v>284</v>
      </c>
      <c r="G30" s="83" t="s">
        <v>156</v>
      </c>
      <c r="H30" s="84">
        <v>0</v>
      </c>
      <c r="I30" s="84">
        <v>0</v>
      </c>
      <c r="J30" s="77">
        <f>808.36516+38.284637089+0.060166155</f>
        <v>846.70996324400005</v>
      </c>
      <c r="K30" s="78">
        <f t="shared" si="1"/>
        <v>0.47719235610969474</v>
      </c>
      <c r="L30" s="78">
        <f>J30/'סכום נכסי הקרן'!$C$42</f>
        <v>1.0472413571266936E-2</v>
      </c>
    </row>
    <row r="31" spans="2:12">
      <c r="B31" s="76" t="s">
        <v>2055</v>
      </c>
      <c r="C31" s="70" t="s">
        <v>2071</v>
      </c>
      <c r="D31" s="70">
        <v>10</v>
      </c>
      <c r="E31" s="70" t="s">
        <v>283</v>
      </c>
      <c r="F31" s="70" t="s">
        <v>284</v>
      </c>
      <c r="G31" s="83" t="s">
        <v>161</v>
      </c>
      <c r="H31" s="84">
        <v>0</v>
      </c>
      <c r="I31" s="84">
        <v>0</v>
      </c>
      <c r="J31" s="77">
        <v>8.6569199999999994E-4</v>
      </c>
      <c r="K31" s="78">
        <f t="shared" si="1"/>
        <v>4.8789033208325264E-7</v>
      </c>
      <c r="L31" s="78">
        <f>J31/'סכום נכסי הקרן'!$C$42</f>
        <v>1.0707190233835316E-8</v>
      </c>
    </row>
    <row r="32" spans="2:12">
      <c r="B32" s="76" t="s">
        <v>2055</v>
      </c>
      <c r="C32" s="70" t="s">
        <v>2072</v>
      </c>
      <c r="D32" s="70">
        <v>10</v>
      </c>
      <c r="E32" s="70" t="s">
        <v>283</v>
      </c>
      <c r="F32" s="70" t="s">
        <v>284</v>
      </c>
      <c r="G32" s="83" t="s">
        <v>156</v>
      </c>
      <c r="H32" s="84">
        <v>0</v>
      </c>
      <c r="I32" s="84">
        <v>0</v>
      </c>
      <c r="J32" s="77">
        <v>28.527072875999998</v>
      </c>
      <c r="K32" s="78">
        <f t="shared" si="1"/>
        <v>1.6077407506174007E-2</v>
      </c>
      <c r="L32" s="78">
        <f>J32/'סכום נכסי הקרן'!$C$42</f>
        <v>3.5283310472756542E-4</v>
      </c>
    </row>
    <row r="33" spans="2:12">
      <c r="B33" s="76" t="s">
        <v>2055</v>
      </c>
      <c r="C33" s="70" t="s">
        <v>2073</v>
      </c>
      <c r="D33" s="70">
        <v>10</v>
      </c>
      <c r="E33" s="70" t="s">
        <v>283</v>
      </c>
      <c r="F33" s="70" t="s">
        <v>284</v>
      </c>
      <c r="G33" s="83" t="s">
        <v>163</v>
      </c>
      <c r="H33" s="84">
        <v>0</v>
      </c>
      <c r="I33" s="84">
        <v>0</v>
      </c>
      <c r="J33" s="77">
        <v>2.0732529999999997E-3</v>
      </c>
      <c r="K33" s="78">
        <f t="shared" si="1"/>
        <v>1.1684526305690704E-6</v>
      </c>
      <c r="L33" s="78">
        <f>J33/'סכום נכסי הקרן'!$C$42</f>
        <v>2.5642739304359713E-8</v>
      </c>
    </row>
    <row r="34" spans="2:12">
      <c r="B34" s="76" t="s">
        <v>2055</v>
      </c>
      <c r="C34" s="70" t="s">
        <v>2074</v>
      </c>
      <c r="D34" s="70">
        <v>10</v>
      </c>
      <c r="E34" s="70" t="s">
        <v>283</v>
      </c>
      <c r="F34" s="70" t="s">
        <v>284</v>
      </c>
      <c r="G34" s="83" t="s">
        <v>158</v>
      </c>
      <c r="H34" s="84">
        <v>0</v>
      </c>
      <c r="I34" s="84">
        <v>0</v>
      </c>
      <c r="J34" s="77">
        <v>2.8244699999999998</v>
      </c>
      <c r="K34" s="78">
        <f t="shared" si="1"/>
        <v>1.5918266615137769E-3</v>
      </c>
      <c r="L34" s="78">
        <f>J34/'סכום נכסי הקרן'!$C$42</f>
        <v>3.4934061536621381E-5</v>
      </c>
    </row>
    <row r="35" spans="2:12">
      <c r="B35" s="76" t="s">
        <v>2055</v>
      </c>
      <c r="C35" s="70" t="s">
        <v>2075</v>
      </c>
      <c r="D35" s="70">
        <v>10</v>
      </c>
      <c r="E35" s="70" t="s">
        <v>283</v>
      </c>
      <c r="F35" s="70" t="s">
        <v>284</v>
      </c>
      <c r="G35" s="83" t="s">
        <v>165</v>
      </c>
      <c r="H35" s="84">
        <v>0</v>
      </c>
      <c r="I35" s="84">
        <v>0</v>
      </c>
      <c r="J35" s="77">
        <v>1.55819</v>
      </c>
      <c r="K35" s="78">
        <f t="shared" si="1"/>
        <v>8.7817126246841079E-4</v>
      </c>
      <c r="L35" s="78">
        <f>J35/'סכום נכסי הקרן'!$C$42</f>
        <v>1.9272254740092147E-5</v>
      </c>
    </row>
    <row r="36" spans="2:12">
      <c r="B36" s="76" t="s">
        <v>2055</v>
      </c>
      <c r="C36" s="70" t="s">
        <v>2076</v>
      </c>
      <c r="D36" s="70">
        <v>10</v>
      </c>
      <c r="E36" s="70" t="s">
        <v>283</v>
      </c>
      <c r="F36" s="70" t="s">
        <v>284</v>
      </c>
      <c r="G36" s="83" t="s">
        <v>158</v>
      </c>
      <c r="H36" s="84">
        <v>0</v>
      </c>
      <c r="I36" s="84">
        <v>0</v>
      </c>
      <c r="J36" s="77">
        <v>2.3565657449999997</v>
      </c>
      <c r="K36" s="78">
        <f t="shared" si="1"/>
        <v>1.3281232169224939E-3</v>
      </c>
      <c r="L36" s="78">
        <f>J36/'סכום נכסי הקרן'!$C$42</f>
        <v>2.9146853303778763E-5</v>
      </c>
    </row>
    <row r="37" spans="2:12">
      <c r="B37" s="76" t="s">
        <v>2055</v>
      </c>
      <c r="C37" s="70" t="s">
        <v>2077</v>
      </c>
      <c r="D37" s="70">
        <v>10</v>
      </c>
      <c r="E37" s="70" t="s">
        <v>283</v>
      </c>
      <c r="F37" s="70" t="s">
        <v>284</v>
      </c>
      <c r="G37" s="83" t="s">
        <v>160</v>
      </c>
      <c r="H37" s="84">
        <v>0</v>
      </c>
      <c r="I37" s="84">
        <v>0</v>
      </c>
      <c r="J37" s="77">
        <v>3.6461100000000004E-4</v>
      </c>
      <c r="K37" s="78">
        <f t="shared" si="1"/>
        <v>2.054889982478836E-7</v>
      </c>
      <c r="L37" s="78">
        <f>J37/'סכום נכסי הקרן'!$C$42</f>
        <v>4.5096400779364128E-9</v>
      </c>
    </row>
    <row r="38" spans="2:12">
      <c r="B38" s="76" t="s">
        <v>2055</v>
      </c>
      <c r="C38" s="70" t="s">
        <v>2078</v>
      </c>
      <c r="D38" s="70">
        <v>10</v>
      </c>
      <c r="E38" s="70" t="s">
        <v>283</v>
      </c>
      <c r="F38" s="70" t="s">
        <v>284</v>
      </c>
      <c r="G38" s="83" t="s">
        <v>160</v>
      </c>
      <c r="H38" s="84">
        <v>0</v>
      </c>
      <c r="I38" s="84">
        <v>0</v>
      </c>
      <c r="J38" s="77">
        <v>1.9965299999999999</v>
      </c>
      <c r="K38" s="78">
        <f t="shared" si="1"/>
        <v>1.1252127600973284E-3</v>
      </c>
      <c r="L38" s="78">
        <f>J38/'סכום נכסי הקרן'!$C$42</f>
        <v>2.4693801626397405E-5</v>
      </c>
    </row>
    <row r="39" spans="2:12">
      <c r="B39" s="76" t="s">
        <v>2058</v>
      </c>
      <c r="C39" s="70" t="s">
        <v>2079</v>
      </c>
      <c r="D39" s="70">
        <v>20</v>
      </c>
      <c r="E39" s="70" t="s">
        <v>283</v>
      </c>
      <c r="F39" s="70" t="s">
        <v>284</v>
      </c>
      <c r="G39" s="83" t="s">
        <v>158</v>
      </c>
      <c r="H39" s="84">
        <v>0</v>
      </c>
      <c r="I39" s="84">
        <v>0</v>
      </c>
      <c r="J39" s="77">
        <v>3.6173096000000002E-2</v>
      </c>
      <c r="K39" s="78">
        <f t="shared" si="1"/>
        <v>2.0386585321245178E-5</v>
      </c>
      <c r="L39" s="78">
        <f>J39/'סכום נכסי הקרן'!$C$42</f>
        <v>4.4740187066391671E-7</v>
      </c>
    </row>
    <row r="40" spans="2:12">
      <c r="B40" s="76" t="s">
        <v>2058</v>
      </c>
      <c r="C40" s="70" t="s">
        <v>2080</v>
      </c>
      <c r="D40" s="70">
        <v>20</v>
      </c>
      <c r="E40" s="70" t="s">
        <v>283</v>
      </c>
      <c r="F40" s="70" t="s">
        <v>284</v>
      </c>
      <c r="G40" s="83" t="s">
        <v>163</v>
      </c>
      <c r="H40" s="84">
        <v>0</v>
      </c>
      <c r="I40" s="84">
        <v>0</v>
      </c>
      <c r="J40" s="77">
        <v>1.2890845000000001E-2</v>
      </c>
      <c r="K40" s="78">
        <f t="shared" si="1"/>
        <v>7.2650765490309926E-6</v>
      </c>
      <c r="L40" s="78">
        <f>J40/'סכום נכסי הקרן'!$C$42</f>
        <v>1.5943861060271417E-7</v>
      </c>
    </row>
    <row r="41" spans="2:12">
      <c r="B41" s="76" t="s">
        <v>2058</v>
      </c>
      <c r="C41" s="70" t="s">
        <v>2081</v>
      </c>
      <c r="D41" s="70">
        <v>20</v>
      </c>
      <c r="E41" s="70" t="s">
        <v>283</v>
      </c>
      <c r="F41" s="70" t="s">
        <v>284</v>
      </c>
      <c r="G41" s="83" t="s">
        <v>160</v>
      </c>
      <c r="H41" s="84">
        <v>0</v>
      </c>
      <c r="I41" s="84">
        <v>0</v>
      </c>
      <c r="J41" s="77">
        <v>1.6043440000000002E-3</v>
      </c>
      <c r="K41" s="78">
        <f t="shared" si="1"/>
        <v>9.0418292757213186E-7</v>
      </c>
      <c r="L41" s="78">
        <f>J41/'סכום נכסי הקרן'!$C$42</f>
        <v>1.9843104023731638E-8</v>
      </c>
    </row>
    <row r="42" spans="2:12">
      <c r="B42" s="76" t="s">
        <v>2058</v>
      </c>
      <c r="C42" s="70" t="s">
        <v>2082</v>
      </c>
      <c r="D42" s="70">
        <v>20</v>
      </c>
      <c r="E42" s="70" t="s">
        <v>283</v>
      </c>
      <c r="F42" s="70" t="s">
        <v>284</v>
      </c>
      <c r="G42" s="83" t="s">
        <v>156</v>
      </c>
      <c r="H42" s="84">
        <v>0</v>
      </c>
      <c r="I42" s="84">
        <v>0</v>
      </c>
      <c r="J42" s="77">
        <v>0.50684112000000003</v>
      </c>
      <c r="K42" s="78">
        <f t="shared" si="1"/>
        <v>2.856476464496007E-4</v>
      </c>
      <c r="L42" s="78">
        <f>J42/'סכום נכסי הקרן'!$C$42</f>
        <v>6.2687933932277927E-6</v>
      </c>
    </row>
    <row r="43" spans="2:12">
      <c r="B43" s="76" t="s">
        <v>2058</v>
      </c>
      <c r="C43" s="70" t="s">
        <v>2083</v>
      </c>
      <c r="D43" s="70">
        <v>20</v>
      </c>
      <c r="E43" s="70" t="s">
        <v>283</v>
      </c>
      <c r="F43" s="70" t="s">
        <v>284</v>
      </c>
      <c r="G43" s="83" t="s">
        <v>166</v>
      </c>
      <c r="H43" s="84">
        <v>0</v>
      </c>
      <c r="I43" s="84">
        <v>0</v>
      </c>
      <c r="J43" s="77">
        <v>6.0718000000000011E-5</v>
      </c>
      <c r="K43" s="78">
        <f t="shared" si="1"/>
        <v>3.4219705372616292E-8</v>
      </c>
      <c r="L43" s="78">
        <f>J43/'סכום נכסי הקרן'!$C$42</f>
        <v>7.5098207748022721E-10</v>
      </c>
    </row>
    <row r="44" spans="2:12">
      <c r="B44" s="76" t="s">
        <v>2050</v>
      </c>
      <c r="C44" s="70" t="s">
        <v>2084</v>
      </c>
      <c r="D44" s="70">
        <v>11</v>
      </c>
      <c r="E44" s="70" t="s">
        <v>283</v>
      </c>
      <c r="F44" s="70" t="s">
        <v>284</v>
      </c>
      <c r="G44" s="83" t="s">
        <v>158</v>
      </c>
      <c r="H44" s="84">
        <v>0</v>
      </c>
      <c r="I44" s="84">
        <v>0</v>
      </c>
      <c r="J44" s="77">
        <v>1.4856818740000004</v>
      </c>
      <c r="K44" s="78">
        <f t="shared" si="1"/>
        <v>8.3730682838229918E-4</v>
      </c>
      <c r="L44" s="78">
        <f>J44/'סכום נכסי הקרן'!$C$42</f>
        <v>1.8375448140769413E-5</v>
      </c>
    </row>
    <row r="45" spans="2:12">
      <c r="B45" s="76" t="s">
        <v>2050</v>
      </c>
      <c r="C45" s="70" t="s">
        <v>2085</v>
      </c>
      <c r="D45" s="70">
        <v>11</v>
      </c>
      <c r="E45" s="70" t="s">
        <v>283</v>
      </c>
      <c r="F45" s="70" t="s">
        <v>284</v>
      </c>
      <c r="G45" s="83" t="s">
        <v>159</v>
      </c>
      <c r="H45" s="84">
        <v>0</v>
      </c>
      <c r="I45" s="84">
        <v>0</v>
      </c>
      <c r="J45" s="77">
        <v>7.8391500000000005E-4</v>
      </c>
      <c r="K45" s="78">
        <f t="shared" si="1"/>
        <v>4.4180210707161787E-7</v>
      </c>
      <c r="L45" s="78">
        <f>J45/'סכום נכסי הקרן'!$C$42</f>
        <v>9.6957428648491753E-9</v>
      </c>
    </row>
    <row r="46" spans="2:12">
      <c r="B46" s="76" t="s">
        <v>2050</v>
      </c>
      <c r="C46" s="70" t="s">
        <v>2086</v>
      </c>
      <c r="D46" s="70">
        <v>11</v>
      </c>
      <c r="E46" s="70" t="s">
        <v>283</v>
      </c>
      <c r="F46" s="70" t="s">
        <v>284</v>
      </c>
      <c r="G46" s="83" t="s">
        <v>156</v>
      </c>
      <c r="H46" s="84">
        <v>0</v>
      </c>
      <c r="I46" s="84">
        <v>0</v>
      </c>
      <c r="J46" s="77">
        <v>3.467563733</v>
      </c>
      <c r="K46" s="78">
        <f t="shared" si="1"/>
        <v>1.9542641276726748E-3</v>
      </c>
      <c r="L46" s="78">
        <f>J46/'סכום נכסי הקרן'!$C$42</f>
        <v>4.2888076287154247E-5</v>
      </c>
    </row>
    <row r="47" spans="2:12">
      <c r="B47" s="76" t="s">
        <v>2060</v>
      </c>
      <c r="C47" s="70" t="s">
        <v>2087</v>
      </c>
      <c r="D47" s="70">
        <v>26</v>
      </c>
      <c r="E47" s="70" t="s">
        <v>283</v>
      </c>
      <c r="F47" s="70" t="s">
        <v>284</v>
      </c>
      <c r="G47" s="83" t="s">
        <v>166</v>
      </c>
      <c r="H47" s="84">
        <v>0</v>
      </c>
      <c r="I47" s="84">
        <v>0</v>
      </c>
      <c r="J47" s="77">
        <v>5.9999999999999995E-5</v>
      </c>
      <c r="K47" s="78">
        <f t="shared" si="1"/>
        <v>3.3815051917997574E-8</v>
      </c>
      <c r="L47" s="78">
        <f>J47/'סכום נכסי הקרן'!$C$42</f>
        <v>7.4210159505935013E-10</v>
      </c>
    </row>
    <row r="48" spans="2:12">
      <c r="B48" s="76" t="s">
        <v>2060</v>
      </c>
      <c r="C48" s="70" t="s">
        <v>2088</v>
      </c>
      <c r="D48" s="70">
        <v>26</v>
      </c>
      <c r="E48" s="70" t="s">
        <v>283</v>
      </c>
      <c r="F48" s="70" t="s">
        <v>284</v>
      </c>
      <c r="G48" s="83" t="s">
        <v>156</v>
      </c>
      <c r="H48" s="84">
        <v>0</v>
      </c>
      <c r="I48" s="84">
        <v>0</v>
      </c>
      <c r="J48" s="77">
        <v>0.22668000000000002</v>
      </c>
      <c r="K48" s="78">
        <f t="shared" si="1"/>
        <v>1.2775326614619485E-4</v>
      </c>
      <c r="L48" s="78">
        <f>J48/'סכום נכסי הקרן'!$C$42</f>
        <v>2.8036598261342252E-6</v>
      </c>
    </row>
    <row r="49" spans="2:12">
      <c r="B49" s="73"/>
      <c r="C49" s="70"/>
      <c r="D49" s="70"/>
      <c r="E49" s="70"/>
      <c r="F49" s="70"/>
      <c r="G49" s="70"/>
      <c r="H49" s="70"/>
      <c r="I49" s="70"/>
      <c r="J49" s="70"/>
      <c r="K49" s="78"/>
      <c r="L49" s="70"/>
    </row>
    <row r="50" spans="2:12">
      <c r="B50" s="71"/>
      <c r="C50" s="72"/>
      <c r="D50" s="72"/>
      <c r="E50" s="72"/>
      <c r="F50" s="72"/>
      <c r="G50" s="72"/>
      <c r="H50" s="72"/>
      <c r="I50" s="72"/>
      <c r="J50" s="80"/>
      <c r="K50" s="81"/>
      <c r="L50" s="81"/>
    </row>
    <row r="51" spans="2:12">
      <c r="B51" s="73"/>
      <c r="C51" s="70"/>
      <c r="D51" s="70"/>
      <c r="E51" s="70"/>
      <c r="F51" s="70"/>
      <c r="G51" s="70"/>
      <c r="H51" s="70"/>
      <c r="I51" s="70"/>
      <c r="J51" s="77"/>
      <c r="K51" s="78"/>
      <c r="L51" s="78"/>
    </row>
    <row r="52" spans="2:12">
      <c r="B52" s="76"/>
      <c r="C52" s="70"/>
      <c r="D52" s="70"/>
      <c r="E52" s="70"/>
      <c r="F52" s="70"/>
      <c r="G52" s="83"/>
      <c r="H52" s="70"/>
      <c r="I52" s="70"/>
      <c r="J52" s="77"/>
      <c r="K52" s="78"/>
      <c r="L52" s="78"/>
    </row>
    <row r="53" spans="2:12">
      <c r="B53" s="76"/>
      <c r="C53" s="70"/>
      <c r="D53" s="70"/>
      <c r="E53" s="70"/>
      <c r="F53" s="70"/>
      <c r="G53" s="83"/>
      <c r="H53" s="70"/>
      <c r="I53" s="70"/>
      <c r="J53" s="77"/>
      <c r="K53" s="78"/>
      <c r="L53" s="78"/>
    </row>
    <row r="54" spans="2:12">
      <c r="B54" s="76"/>
      <c r="C54" s="70"/>
      <c r="D54" s="70"/>
      <c r="E54" s="70"/>
      <c r="F54" s="70"/>
      <c r="G54" s="83"/>
      <c r="H54" s="70"/>
      <c r="I54" s="70"/>
      <c r="J54" s="77"/>
      <c r="K54" s="78"/>
      <c r="L54" s="78"/>
    </row>
    <row r="55" spans="2:12">
      <c r="D55" s="1"/>
    </row>
    <row r="56" spans="2:12">
      <c r="D56" s="1"/>
    </row>
    <row r="57" spans="2:12">
      <c r="D57" s="1"/>
    </row>
    <row r="58" spans="2:12">
      <c r="B58" s="85" t="s">
        <v>244</v>
      </c>
      <c r="D58" s="1"/>
    </row>
    <row r="59" spans="2:12">
      <c r="B59" s="108"/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59"/>
  <sheetViews>
    <sheetView rightToLeft="1" topLeftCell="A120" workbookViewId="0">
      <selection activeCell="J135" activeCellId="2" sqref="J12:J105 J107:J133 J135:J146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64.8554687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172</v>
      </c>
      <c r="C1" s="68" t="s" vm="1">
        <v>252</v>
      </c>
    </row>
    <row r="2" spans="2:51">
      <c r="B2" s="47" t="s">
        <v>171</v>
      </c>
      <c r="C2" s="68" t="s">
        <v>253</v>
      </c>
    </row>
    <row r="3" spans="2:51">
      <c r="B3" s="47" t="s">
        <v>173</v>
      </c>
      <c r="C3" s="68" t="s">
        <v>254</v>
      </c>
    </row>
    <row r="4" spans="2:51">
      <c r="B4" s="47" t="s">
        <v>174</v>
      </c>
      <c r="C4" s="68">
        <v>8602</v>
      </c>
    </row>
    <row r="6" spans="2:51" ht="26.25" customHeight="1">
      <c r="B6" s="123" t="s">
        <v>203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51" ht="26.25" customHeight="1">
      <c r="B7" s="123" t="s">
        <v>94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51" s="3" customFormat="1" ht="63">
      <c r="B8" s="22" t="s">
        <v>109</v>
      </c>
      <c r="C8" s="30" t="s">
        <v>41</v>
      </c>
      <c r="D8" s="30" t="s">
        <v>61</v>
      </c>
      <c r="E8" s="30" t="s">
        <v>96</v>
      </c>
      <c r="F8" s="30" t="s">
        <v>97</v>
      </c>
      <c r="G8" s="30" t="s">
        <v>229</v>
      </c>
      <c r="H8" s="30" t="s">
        <v>228</v>
      </c>
      <c r="I8" s="30" t="s">
        <v>104</v>
      </c>
      <c r="J8" s="30" t="s">
        <v>175</v>
      </c>
      <c r="K8" s="31" t="s">
        <v>177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236</v>
      </c>
      <c r="H9" s="16"/>
      <c r="I9" s="16" t="s">
        <v>232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87" t="s">
        <v>45</v>
      </c>
      <c r="C11" s="88"/>
      <c r="D11" s="88"/>
      <c r="E11" s="88"/>
      <c r="F11" s="88"/>
      <c r="G11" s="90"/>
      <c r="H11" s="92"/>
      <c r="I11" s="90">
        <v>-5.6300364430000007</v>
      </c>
      <c r="J11" s="93">
        <f>I11/$I$11</f>
        <v>1</v>
      </c>
      <c r="K11" s="93">
        <f>I11/'סכום נכסי הקרן'!$C$42</f>
        <v>-6.9634317076542856E-5</v>
      </c>
      <c r="AW11" s="1"/>
    </row>
    <row r="12" spans="2:51" ht="19.5" customHeight="1">
      <c r="B12" s="71" t="s">
        <v>32</v>
      </c>
      <c r="C12" s="72"/>
      <c r="D12" s="72"/>
      <c r="E12" s="72"/>
      <c r="F12" s="72"/>
      <c r="G12" s="80"/>
      <c r="H12" s="82"/>
      <c r="I12" s="80">
        <v>-11.905514772</v>
      </c>
      <c r="J12" s="81">
        <f t="shared" ref="J12:J75" si="0">I12/$I$11</f>
        <v>2.1146425769237243</v>
      </c>
      <c r="K12" s="81">
        <f>I12/'סכום נכסי הקרן'!$C$42</f>
        <v>-1.4725169170506428E-4</v>
      </c>
    </row>
    <row r="13" spans="2:51">
      <c r="B13" s="89" t="s">
        <v>1802</v>
      </c>
      <c r="C13" s="72"/>
      <c r="D13" s="72"/>
      <c r="E13" s="72"/>
      <c r="F13" s="72"/>
      <c r="G13" s="80"/>
      <c r="H13" s="82"/>
      <c r="I13" s="80">
        <v>-11.010191434000003</v>
      </c>
      <c r="J13" s="81">
        <f t="shared" si="0"/>
        <v>1.9556163704214236</v>
      </c>
      <c r="K13" s="81">
        <f>I13/'סכום נכסי הקרן'!$C$42</f>
        <v>-1.3617801041800328E-4</v>
      </c>
    </row>
    <row r="14" spans="2:51">
      <c r="B14" s="76" t="s">
        <v>1803</v>
      </c>
      <c r="C14" s="70" t="s">
        <v>1804</v>
      </c>
      <c r="D14" s="83" t="s">
        <v>639</v>
      </c>
      <c r="E14" s="83" t="s">
        <v>156</v>
      </c>
      <c r="F14" s="97">
        <v>43893</v>
      </c>
      <c r="G14" s="77">
        <v>4321.3999400000002</v>
      </c>
      <c r="H14" s="79">
        <v>-1.5469999999999999</v>
      </c>
      <c r="I14" s="77">
        <v>-6.6850591000000001E-2</v>
      </c>
      <c r="J14" s="78">
        <f t="shared" si="0"/>
        <v>1.1873917989130855E-2</v>
      </c>
      <c r="K14" s="78">
        <f>I14/'סכום נכסי הקרן'!$C$42</f>
        <v>-8.2683217019600404E-7</v>
      </c>
    </row>
    <row r="15" spans="2:51">
      <c r="B15" s="76" t="s">
        <v>1805</v>
      </c>
      <c r="C15" s="70" t="s">
        <v>1806</v>
      </c>
      <c r="D15" s="83" t="s">
        <v>639</v>
      </c>
      <c r="E15" s="83" t="s">
        <v>156</v>
      </c>
      <c r="F15" s="97">
        <v>44012</v>
      </c>
      <c r="G15" s="77">
        <v>7653.9678670000003</v>
      </c>
      <c r="H15" s="79">
        <v>-0.48230000000000001</v>
      </c>
      <c r="I15" s="77">
        <v>-3.6911999000000001E-2</v>
      </c>
      <c r="J15" s="78">
        <f t="shared" si="0"/>
        <v>6.5562628898954709E-3</v>
      </c>
      <c r="K15" s="78">
        <f>I15/'סכום נכסי הקרן'!$C$42</f>
        <v>-4.5654088891215234E-7</v>
      </c>
    </row>
    <row r="16" spans="2:51" s="7" customFormat="1">
      <c r="B16" s="76" t="s">
        <v>1807</v>
      </c>
      <c r="C16" s="70" t="s">
        <v>1808</v>
      </c>
      <c r="D16" s="83" t="s">
        <v>639</v>
      </c>
      <c r="E16" s="83" t="s">
        <v>156</v>
      </c>
      <c r="F16" s="97">
        <v>44012</v>
      </c>
      <c r="G16" s="77">
        <v>6569.873388</v>
      </c>
      <c r="H16" s="79">
        <v>-0.33850000000000002</v>
      </c>
      <c r="I16" s="77">
        <v>-2.2240646999999999E-2</v>
      </c>
      <c r="J16" s="78">
        <f t="shared" si="0"/>
        <v>3.9503557792512139E-3</v>
      </c>
      <c r="K16" s="78">
        <f>I16/'סכום נכסי הקרן'!$C$42</f>
        <v>-2.7508032689753254E-7</v>
      </c>
      <c r="AW16" s="1"/>
      <c r="AY16" s="1"/>
    </row>
    <row r="17" spans="2:51" s="7" customFormat="1">
      <c r="B17" s="76" t="s">
        <v>1809</v>
      </c>
      <c r="C17" s="70" t="s">
        <v>1810</v>
      </c>
      <c r="D17" s="83" t="s">
        <v>639</v>
      </c>
      <c r="E17" s="83" t="s">
        <v>156</v>
      </c>
      <c r="F17" s="97">
        <v>43963</v>
      </c>
      <c r="G17" s="77">
        <v>8873.0545280000006</v>
      </c>
      <c r="H17" s="79">
        <v>0.87980000000000003</v>
      </c>
      <c r="I17" s="77">
        <v>7.8064367000000009E-2</v>
      </c>
      <c r="J17" s="78">
        <f t="shared" si="0"/>
        <v>-1.386569479440224E-2</v>
      </c>
      <c r="K17" s="78">
        <f>I17/'סכום נכסי הקרן'!$C$42</f>
        <v>9.6552818779997516E-7</v>
      </c>
      <c r="AW17" s="1"/>
      <c r="AY17" s="1"/>
    </row>
    <row r="18" spans="2:51" s="7" customFormat="1">
      <c r="B18" s="76" t="s">
        <v>1811</v>
      </c>
      <c r="C18" s="70" t="s">
        <v>1812</v>
      </c>
      <c r="D18" s="83" t="s">
        <v>639</v>
      </c>
      <c r="E18" s="83" t="s">
        <v>156</v>
      </c>
      <c r="F18" s="97">
        <v>43962</v>
      </c>
      <c r="G18" s="77">
        <v>7785.469419</v>
      </c>
      <c r="H18" s="79">
        <v>1.1097999999999999</v>
      </c>
      <c r="I18" s="77">
        <v>8.6405112000000006E-2</v>
      </c>
      <c r="J18" s="78">
        <f t="shared" si="0"/>
        <v>-1.5347167442837812E-2</v>
      </c>
      <c r="K18" s="78">
        <f>I18/'סכום נכסי הקרן'!$C$42</f>
        <v>1.0686895239413634E-6</v>
      </c>
      <c r="AW18" s="1"/>
      <c r="AY18" s="1"/>
    </row>
    <row r="19" spans="2:51">
      <c r="B19" s="76" t="s">
        <v>1813</v>
      </c>
      <c r="C19" s="70" t="s">
        <v>1814</v>
      </c>
      <c r="D19" s="83" t="s">
        <v>639</v>
      </c>
      <c r="E19" s="83" t="s">
        <v>156</v>
      </c>
      <c r="F19" s="97">
        <v>43964</v>
      </c>
      <c r="G19" s="77">
        <v>5566.9201899999998</v>
      </c>
      <c r="H19" s="79">
        <v>1.2194</v>
      </c>
      <c r="I19" s="77">
        <v>6.7883364000000002E-2</v>
      </c>
      <c r="J19" s="78">
        <f t="shared" si="0"/>
        <v>-1.2057357831919809E-2</v>
      </c>
      <c r="K19" s="78">
        <f>I19/'סכום נכסי הקרן'!$C$42</f>
        <v>8.3960587837324117E-7</v>
      </c>
    </row>
    <row r="20" spans="2:51">
      <c r="B20" s="76" t="s">
        <v>1815</v>
      </c>
      <c r="C20" s="70" t="s">
        <v>1816</v>
      </c>
      <c r="D20" s="83" t="s">
        <v>639</v>
      </c>
      <c r="E20" s="83" t="s">
        <v>156</v>
      </c>
      <c r="F20" s="97">
        <v>43962</v>
      </c>
      <c r="G20" s="77">
        <v>6682.9697999999999</v>
      </c>
      <c r="H20" s="79">
        <v>1.2535000000000001</v>
      </c>
      <c r="I20" s="77">
        <v>8.3771795999999996E-2</v>
      </c>
      <c r="J20" s="78">
        <f t="shared" si="0"/>
        <v>-1.4879441163148432E-2</v>
      </c>
      <c r="K20" s="78">
        <f>I20/'סכום נכסי הקרן'!$C$42</f>
        <v>1.0361197238764415E-6</v>
      </c>
    </row>
    <row r="21" spans="2:51">
      <c r="B21" s="76" t="s">
        <v>1817</v>
      </c>
      <c r="C21" s="70" t="s">
        <v>1818</v>
      </c>
      <c r="D21" s="83" t="s">
        <v>639</v>
      </c>
      <c r="E21" s="83" t="s">
        <v>156</v>
      </c>
      <c r="F21" s="97">
        <v>43970</v>
      </c>
      <c r="G21" s="77">
        <v>8943.6287200000006</v>
      </c>
      <c r="H21" s="79">
        <v>1.6257999999999999</v>
      </c>
      <c r="I21" s="77">
        <v>0.145404958</v>
      </c>
      <c r="J21" s="78">
        <f t="shared" si="0"/>
        <v>-2.5826645967946888E-2</v>
      </c>
      <c r="K21" s="78">
        <f>I21/'סכום נכסי הקרן'!$C$42</f>
        <v>1.7984208543556304E-6</v>
      </c>
    </row>
    <row r="22" spans="2:51">
      <c r="B22" s="76" t="s">
        <v>1819</v>
      </c>
      <c r="C22" s="70" t="s">
        <v>1820</v>
      </c>
      <c r="D22" s="83" t="s">
        <v>639</v>
      </c>
      <c r="E22" s="83" t="s">
        <v>156</v>
      </c>
      <c r="F22" s="97">
        <v>43908</v>
      </c>
      <c r="G22" s="77">
        <v>2424.4011999999998</v>
      </c>
      <c r="H22" s="79">
        <v>9.2668999999999997</v>
      </c>
      <c r="I22" s="77">
        <v>0.224666846</v>
      </c>
      <c r="J22" s="78">
        <f t="shared" si="0"/>
        <v>-3.9905042937925433E-2</v>
      </c>
      <c r="K22" s="78">
        <f>I22/'סכום נכסי הקרן'!$C$42</f>
        <v>2.7787604128925567E-6</v>
      </c>
    </row>
    <row r="23" spans="2:51">
      <c r="B23" s="76" t="s">
        <v>1821</v>
      </c>
      <c r="C23" s="70" t="s">
        <v>1822</v>
      </c>
      <c r="D23" s="83" t="s">
        <v>639</v>
      </c>
      <c r="E23" s="83" t="s">
        <v>156</v>
      </c>
      <c r="F23" s="97">
        <v>44012</v>
      </c>
      <c r="G23" s="77">
        <v>6599.1946799999996</v>
      </c>
      <c r="H23" s="79">
        <v>2.8899999999999999E-2</v>
      </c>
      <c r="I23" s="77">
        <v>1.907069E-3</v>
      </c>
      <c r="J23" s="78">
        <f t="shared" si="0"/>
        <v>-3.3873119993230562E-4</v>
      </c>
      <c r="K23" s="78">
        <f>I23/'סכום נכסי הקרן'!$C$42</f>
        <v>2.3587315779803998E-8</v>
      </c>
    </row>
    <row r="24" spans="2:51">
      <c r="B24" s="76" t="s">
        <v>1821</v>
      </c>
      <c r="C24" s="70" t="s">
        <v>1823</v>
      </c>
      <c r="D24" s="83" t="s">
        <v>639</v>
      </c>
      <c r="E24" s="83" t="s">
        <v>156</v>
      </c>
      <c r="F24" s="97">
        <v>44012</v>
      </c>
      <c r="G24" s="77">
        <v>7699.0604599999997</v>
      </c>
      <c r="H24" s="79">
        <v>0.17319999999999999</v>
      </c>
      <c r="I24" s="77">
        <v>1.3331434E-2</v>
      </c>
      <c r="J24" s="78">
        <f t="shared" si="0"/>
        <v>-2.3679125588210686E-3</v>
      </c>
      <c r="K24" s="78">
        <f>I24/'סכום נכסי הקרן'!$C$42</f>
        <v>1.6488797393047421E-7</v>
      </c>
    </row>
    <row r="25" spans="2:51">
      <c r="B25" s="76" t="s">
        <v>1824</v>
      </c>
      <c r="C25" s="70" t="s">
        <v>1825</v>
      </c>
      <c r="D25" s="83" t="s">
        <v>639</v>
      </c>
      <c r="E25" s="83" t="s">
        <v>156</v>
      </c>
      <c r="F25" s="97">
        <v>43887</v>
      </c>
      <c r="G25" s="77">
        <v>3144.0742559999994</v>
      </c>
      <c r="H25" s="79">
        <v>-1.8695999999999999</v>
      </c>
      <c r="I25" s="77">
        <v>-5.8781122000000005E-2</v>
      </c>
      <c r="J25" s="78">
        <f t="shared" si="0"/>
        <v>1.0440629043011684E-2</v>
      </c>
      <c r="K25" s="78">
        <f>I25/'סכום נכסי הקרן'!$C$42</f>
        <v>-7.2702607325963774E-7</v>
      </c>
    </row>
    <row r="26" spans="2:51">
      <c r="B26" s="76" t="s">
        <v>1826</v>
      </c>
      <c r="C26" s="70" t="s">
        <v>1827</v>
      </c>
      <c r="D26" s="83" t="s">
        <v>639</v>
      </c>
      <c r="E26" s="83" t="s">
        <v>156</v>
      </c>
      <c r="F26" s="97">
        <v>43887</v>
      </c>
      <c r="G26" s="77">
        <v>3230.2338599999998</v>
      </c>
      <c r="H26" s="79">
        <v>-1.8666</v>
      </c>
      <c r="I26" s="77">
        <v>-6.0295136999999999E-2</v>
      </c>
      <c r="J26" s="78">
        <f t="shared" si="0"/>
        <v>1.0709546485257092E-2</v>
      </c>
      <c r="K26" s="78">
        <f>I26/'סכום נכסי הקרן'!$C$42</f>
        <v>-7.4575195570036741E-7</v>
      </c>
    </row>
    <row r="27" spans="2:51">
      <c r="B27" s="76" t="s">
        <v>1828</v>
      </c>
      <c r="C27" s="70" t="s">
        <v>1829</v>
      </c>
      <c r="D27" s="83" t="s">
        <v>639</v>
      </c>
      <c r="E27" s="83" t="s">
        <v>156</v>
      </c>
      <c r="F27" s="97">
        <v>43893</v>
      </c>
      <c r="G27" s="77">
        <v>3934.1408849999993</v>
      </c>
      <c r="H27" s="79">
        <v>-1.6365000000000001</v>
      </c>
      <c r="I27" s="77">
        <v>-6.4381877000000004E-2</v>
      </c>
      <c r="J27" s="78">
        <f t="shared" si="0"/>
        <v>1.1435428109892254E-2</v>
      </c>
      <c r="K27" s="78">
        <f>I27/'סכום נכסי הקרן'!$C$42</f>
        <v>-7.9629822691024831E-7</v>
      </c>
    </row>
    <row r="28" spans="2:51">
      <c r="B28" s="76" t="s">
        <v>1830</v>
      </c>
      <c r="C28" s="70" t="s">
        <v>1831</v>
      </c>
      <c r="D28" s="83" t="s">
        <v>639</v>
      </c>
      <c r="E28" s="83" t="s">
        <v>156</v>
      </c>
      <c r="F28" s="97">
        <v>43888</v>
      </c>
      <c r="G28" s="77">
        <v>3238.6941999999999</v>
      </c>
      <c r="H28" s="79">
        <v>-1.6006</v>
      </c>
      <c r="I28" s="77">
        <v>-5.183712E-2</v>
      </c>
      <c r="J28" s="78">
        <f t="shared" si="0"/>
        <v>9.2072441315101429E-3</v>
      </c>
      <c r="K28" s="78">
        <f>I28/'סכום נכסי הקרן'!$C$42</f>
        <v>-6.4114015725471569E-7</v>
      </c>
    </row>
    <row r="29" spans="2:51">
      <c r="B29" s="76" t="s">
        <v>1832</v>
      </c>
      <c r="C29" s="70" t="s">
        <v>1833</v>
      </c>
      <c r="D29" s="83" t="s">
        <v>639</v>
      </c>
      <c r="E29" s="83" t="s">
        <v>156</v>
      </c>
      <c r="F29" s="97">
        <v>44005</v>
      </c>
      <c r="G29" s="77">
        <v>4387.07438</v>
      </c>
      <c r="H29" s="79">
        <v>-1.3897999999999999</v>
      </c>
      <c r="I29" s="77">
        <v>-6.0973112000000003E-2</v>
      </c>
      <c r="J29" s="78">
        <f t="shared" si="0"/>
        <v>1.0829967553018198E-2</v>
      </c>
      <c r="K29" s="78">
        <f>I29/'סכום נכסי הקרן'!$C$42</f>
        <v>-7.5413739451554017E-7</v>
      </c>
    </row>
    <row r="30" spans="2:51">
      <c r="B30" s="76" t="s">
        <v>1834</v>
      </c>
      <c r="C30" s="70" t="s">
        <v>1835</v>
      </c>
      <c r="D30" s="83" t="s">
        <v>639</v>
      </c>
      <c r="E30" s="83" t="s">
        <v>156</v>
      </c>
      <c r="F30" s="97">
        <v>43992</v>
      </c>
      <c r="G30" s="77">
        <v>5197.12032</v>
      </c>
      <c r="H30" s="79">
        <v>-1.3408</v>
      </c>
      <c r="I30" s="77">
        <v>-6.9684963000000003E-2</v>
      </c>
      <c r="J30" s="78">
        <f t="shared" si="0"/>
        <v>1.2377355582953905E-2</v>
      </c>
      <c r="K30" s="78">
        <f>I30/'סכום נכסי הקרן'!$C$42</f>
        <v>-8.6188870323253008E-7</v>
      </c>
    </row>
    <row r="31" spans="2:51">
      <c r="B31" s="76" t="s">
        <v>1836</v>
      </c>
      <c r="C31" s="70" t="s">
        <v>1837</v>
      </c>
      <c r="D31" s="83" t="s">
        <v>639</v>
      </c>
      <c r="E31" s="83" t="s">
        <v>156</v>
      </c>
      <c r="F31" s="97">
        <v>44006</v>
      </c>
      <c r="G31" s="77">
        <v>3516.3934279999999</v>
      </c>
      <c r="H31" s="79">
        <v>-1.2856000000000001</v>
      </c>
      <c r="I31" s="77">
        <v>-4.5206289999999996E-2</v>
      </c>
      <c r="J31" s="78">
        <f t="shared" si="0"/>
        <v>8.0294844372111266E-3</v>
      </c>
      <c r="K31" s="78">
        <f>I31/'סכום נכסי הקרן'!$C$42</f>
        <v>-5.5912766526192583E-7</v>
      </c>
    </row>
    <row r="32" spans="2:51">
      <c r="B32" s="76" t="s">
        <v>1838</v>
      </c>
      <c r="C32" s="70" t="s">
        <v>1839</v>
      </c>
      <c r="D32" s="83" t="s">
        <v>639</v>
      </c>
      <c r="E32" s="83" t="s">
        <v>156</v>
      </c>
      <c r="F32" s="97">
        <v>43992</v>
      </c>
      <c r="G32" s="77">
        <v>5202.5957760000001</v>
      </c>
      <c r="H32" s="79">
        <v>-1.2342</v>
      </c>
      <c r="I32" s="77">
        <v>-6.4210728000000009E-2</v>
      </c>
      <c r="J32" s="78">
        <f t="shared" si="0"/>
        <v>1.1405028839526465E-2</v>
      </c>
      <c r="K32" s="78">
        <f>I32/'סכום נכסי הקרן'!$C$42</f>
        <v>-7.9418139447870142E-7</v>
      </c>
    </row>
    <row r="33" spans="2:11">
      <c r="B33" s="76" t="s">
        <v>1840</v>
      </c>
      <c r="C33" s="70" t="s">
        <v>1841</v>
      </c>
      <c r="D33" s="83" t="s">
        <v>639</v>
      </c>
      <c r="E33" s="83" t="s">
        <v>156</v>
      </c>
      <c r="F33" s="97">
        <v>43889</v>
      </c>
      <c r="G33" s="77">
        <v>6515.4124000000002</v>
      </c>
      <c r="H33" s="79">
        <v>-0.99939999999999996</v>
      </c>
      <c r="I33" s="77">
        <v>-6.511602100000001E-2</v>
      </c>
      <c r="J33" s="78">
        <f t="shared" si="0"/>
        <v>1.1565825844868337E-2</v>
      </c>
      <c r="K33" s="78">
        <f>I33/'סכום נכסי הקרן'!$C$42</f>
        <v>-8.0537838413363585E-7</v>
      </c>
    </row>
    <row r="34" spans="2:11">
      <c r="B34" s="76" t="s">
        <v>1842</v>
      </c>
      <c r="C34" s="70" t="s">
        <v>1843</v>
      </c>
      <c r="D34" s="83" t="s">
        <v>639</v>
      </c>
      <c r="E34" s="83" t="s">
        <v>156</v>
      </c>
      <c r="F34" s="97">
        <v>44005</v>
      </c>
      <c r="G34" s="77">
        <v>4404.6802500000003</v>
      </c>
      <c r="H34" s="79">
        <v>-1.081</v>
      </c>
      <c r="I34" s="77">
        <v>-4.7614206999999992E-2</v>
      </c>
      <c r="J34" s="78">
        <f t="shared" si="0"/>
        <v>8.4571756296889008E-3</v>
      </c>
      <c r="K34" s="78">
        <f>I34/'סכום נכסי הקרן'!$C$42</f>
        <v>-5.8890964936976783E-7</v>
      </c>
    </row>
    <row r="35" spans="2:11">
      <c r="B35" s="76" t="s">
        <v>1844</v>
      </c>
      <c r="C35" s="70" t="s">
        <v>1845</v>
      </c>
      <c r="D35" s="83" t="s">
        <v>639</v>
      </c>
      <c r="E35" s="83" t="s">
        <v>156</v>
      </c>
      <c r="F35" s="97">
        <v>44000</v>
      </c>
      <c r="G35" s="77">
        <v>3967.6819949999999</v>
      </c>
      <c r="H35" s="79">
        <v>-0.94210000000000005</v>
      </c>
      <c r="I35" s="77">
        <v>-3.7380344999999995E-2</v>
      </c>
      <c r="J35" s="78">
        <f t="shared" si="0"/>
        <v>6.639449918033149E-3</v>
      </c>
      <c r="K35" s="78">
        <f>I35/'סכום נכסי הקרן'!$C$42</f>
        <v>-4.623335608061467E-7</v>
      </c>
    </row>
    <row r="36" spans="2:11">
      <c r="B36" s="76" t="s">
        <v>1846</v>
      </c>
      <c r="C36" s="70" t="s">
        <v>1847</v>
      </c>
      <c r="D36" s="83" t="s">
        <v>639</v>
      </c>
      <c r="E36" s="83" t="s">
        <v>156</v>
      </c>
      <c r="F36" s="97">
        <v>43892</v>
      </c>
      <c r="G36" s="77">
        <v>6523.9678000000004</v>
      </c>
      <c r="H36" s="79">
        <v>-0.88349999999999995</v>
      </c>
      <c r="I36" s="77">
        <v>-5.7637600999999997E-2</v>
      </c>
      <c r="J36" s="78">
        <f t="shared" si="0"/>
        <v>1.0237518279595263E-2</v>
      </c>
      <c r="K36" s="78">
        <f>I36/'סכום נכסי הקרן'!$C$42</f>
        <v>-7.1288259395823995E-7</v>
      </c>
    </row>
    <row r="37" spans="2:11">
      <c r="B37" s="76" t="s">
        <v>1848</v>
      </c>
      <c r="C37" s="70" t="s">
        <v>1849</v>
      </c>
      <c r="D37" s="83" t="s">
        <v>639</v>
      </c>
      <c r="E37" s="83" t="s">
        <v>156</v>
      </c>
      <c r="F37" s="97">
        <v>44011</v>
      </c>
      <c r="G37" s="77">
        <v>3528.6275799999999</v>
      </c>
      <c r="H37" s="79">
        <v>-0.93100000000000005</v>
      </c>
      <c r="I37" s="77">
        <v>-3.2850341999999998E-2</v>
      </c>
      <c r="J37" s="78">
        <f t="shared" si="0"/>
        <v>5.8348364762085773E-3</v>
      </c>
      <c r="K37" s="78">
        <f>I37/'סכום נכסי הקרן'!$C$42</f>
        <v>-4.0630485327408605E-7</v>
      </c>
    </row>
    <row r="38" spans="2:11">
      <c r="B38" s="76" t="s">
        <v>1850</v>
      </c>
      <c r="C38" s="70" t="s">
        <v>1851</v>
      </c>
      <c r="D38" s="83" t="s">
        <v>639</v>
      </c>
      <c r="E38" s="83" t="s">
        <v>156</v>
      </c>
      <c r="F38" s="97">
        <v>44011</v>
      </c>
      <c r="G38" s="77">
        <v>6853.1605799999998</v>
      </c>
      <c r="H38" s="79">
        <v>-0.90890000000000004</v>
      </c>
      <c r="I38" s="77">
        <v>-6.228974100000001E-2</v>
      </c>
      <c r="J38" s="78">
        <f t="shared" si="0"/>
        <v>1.1063825541919321E-2</v>
      </c>
      <c r="K38" s="78">
        <f>I38/'סכום נכסי הקרן'!$C$42</f>
        <v>-7.704219358655635E-7</v>
      </c>
    </row>
    <row r="39" spans="2:11">
      <c r="B39" s="76" t="s">
        <v>1852</v>
      </c>
      <c r="C39" s="70" t="s">
        <v>1853</v>
      </c>
      <c r="D39" s="83" t="s">
        <v>639</v>
      </c>
      <c r="E39" s="83" t="s">
        <v>156</v>
      </c>
      <c r="F39" s="97">
        <v>44000</v>
      </c>
      <c r="G39" s="77">
        <v>3267.2121999999999</v>
      </c>
      <c r="H39" s="79">
        <v>-0.75929999999999997</v>
      </c>
      <c r="I39" s="77">
        <v>-2.4806955999999998E-2</v>
      </c>
      <c r="J39" s="78">
        <f t="shared" si="0"/>
        <v>4.4061803597813757E-3</v>
      </c>
      <c r="K39" s="78">
        <f>I39/'סכום נכסי הקרן'!$C$42</f>
        <v>-3.0682136026945193E-7</v>
      </c>
    </row>
    <row r="40" spans="2:11">
      <c r="B40" s="76" t="s">
        <v>1854</v>
      </c>
      <c r="C40" s="70" t="s">
        <v>1855</v>
      </c>
      <c r="D40" s="83" t="s">
        <v>639</v>
      </c>
      <c r="E40" s="83" t="s">
        <v>156</v>
      </c>
      <c r="F40" s="97">
        <v>44000</v>
      </c>
      <c r="G40" s="77">
        <v>4859.849819</v>
      </c>
      <c r="H40" s="79">
        <v>-0.72489999999999999</v>
      </c>
      <c r="I40" s="77">
        <v>-3.5228706999999998E-2</v>
      </c>
      <c r="J40" s="78">
        <f t="shared" si="0"/>
        <v>6.2572786795724823E-3</v>
      </c>
      <c r="K40" s="78">
        <f>I40/'סכום נכסי הקרן'!$C$42</f>
        <v>-4.3572132760964157E-7</v>
      </c>
    </row>
    <row r="41" spans="2:11">
      <c r="B41" s="76" t="s">
        <v>1856</v>
      </c>
      <c r="C41" s="70" t="s">
        <v>1857</v>
      </c>
      <c r="D41" s="83" t="s">
        <v>639</v>
      </c>
      <c r="E41" s="83" t="s">
        <v>156</v>
      </c>
      <c r="F41" s="97">
        <v>43991</v>
      </c>
      <c r="G41" s="77">
        <v>3092.7216600000002</v>
      </c>
      <c r="H41" s="79">
        <v>-0.77649999999999997</v>
      </c>
      <c r="I41" s="77">
        <v>-2.4014441000000001E-2</v>
      </c>
      <c r="J41" s="78">
        <f t="shared" si="0"/>
        <v>4.2654148411166862E-3</v>
      </c>
      <c r="K41" s="78">
        <f>I41/'סכום נכסי הקרן'!$C$42</f>
        <v>-2.9701924950931098E-7</v>
      </c>
    </row>
    <row r="42" spans="2:11">
      <c r="B42" s="76" t="s">
        <v>1858</v>
      </c>
      <c r="C42" s="70" t="s">
        <v>1859</v>
      </c>
      <c r="D42" s="83" t="s">
        <v>639</v>
      </c>
      <c r="E42" s="83" t="s">
        <v>156</v>
      </c>
      <c r="F42" s="97">
        <v>44000</v>
      </c>
      <c r="G42" s="77">
        <v>3095.8701549999996</v>
      </c>
      <c r="H42" s="79">
        <v>-0.66090000000000004</v>
      </c>
      <c r="I42" s="77">
        <v>-2.0460876999999999E-2</v>
      </c>
      <c r="J42" s="78">
        <f t="shared" si="0"/>
        <v>3.6342352677733807E-3</v>
      </c>
      <c r="K42" s="78">
        <f>I42/'סכום נכסי הקרן'!$C$42</f>
        <v>-2.5306749096688618E-7</v>
      </c>
    </row>
    <row r="43" spans="2:11">
      <c r="B43" s="76" t="s">
        <v>1860</v>
      </c>
      <c r="C43" s="70" t="s">
        <v>1861</v>
      </c>
      <c r="D43" s="83" t="s">
        <v>639</v>
      </c>
      <c r="E43" s="83" t="s">
        <v>156</v>
      </c>
      <c r="F43" s="97">
        <v>43991</v>
      </c>
      <c r="G43" s="77">
        <v>1326.840048</v>
      </c>
      <c r="H43" s="79">
        <v>-0.67110000000000003</v>
      </c>
      <c r="I43" s="77">
        <v>-8.9042030000000012E-3</v>
      </c>
      <c r="J43" s="78">
        <f t="shared" si="0"/>
        <v>1.5815533505242002E-3</v>
      </c>
      <c r="K43" s="78">
        <f>I43/'סכום נכסי הקרן'!$C$42</f>
        <v>-1.1013038748387087E-7</v>
      </c>
    </row>
    <row r="44" spans="2:11">
      <c r="B44" s="76" t="s">
        <v>1862</v>
      </c>
      <c r="C44" s="70" t="s">
        <v>1863</v>
      </c>
      <c r="D44" s="83" t="s">
        <v>639</v>
      </c>
      <c r="E44" s="83" t="s">
        <v>156</v>
      </c>
      <c r="F44" s="97">
        <v>43992</v>
      </c>
      <c r="G44" s="77">
        <v>3895.3437160000003</v>
      </c>
      <c r="H44" s="79">
        <v>-0.58109999999999995</v>
      </c>
      <c r="I44" s="77">
        <v>-2.2636666000000003E-2</v>
      </c>
      <c r="J44" s="78">
        <f t="shared" si="0"/>
        <v>4.0206961765131867E-3</v>
      </c>
      <c r="K44" s="78">
        <f>I44/'סכום נכסי הקרן'!$C$42</f>
        <v>-2.7997843242376272E-7</v>
      </c>
    </row>
    <row r="45" spans="2:11">
      <c r="B45" s="76" t="s">
        <v>1864</v>
      </c>
      <c r="C45" s="70" t="s">
        <v>1865</v>
      </c>
      <c r="D45" s="83" t="s">
        <v>639</v>
      </c>
      <c r="E45" s="83" t="s">
        <v>156</v>
      </c>
      <c r="F45" s="97">
        <v>43990</v>
      </c>
      <c r="G45" s="77">
        <v>5241.2281599999997</v>
      </c>
      <c r="H45" s="79">
        <v>-0.53839999999999999</v>
      </c>
      <c r="I45" s="77">
        <v>-2.8219615999999996E-2</v>
      </c>
      <c r="J45" s="78">
        <f t="shared" si="0"/>
        <v>5.012332741662147E-3</v>
      </c>
      <c r="K45" s="78">
        <f>I45/'סכום נכסי הקרן'!$C$42</f>
        <v>-3.4903036742603931E-7</v>
      </c>
    </row>
    <row r="46" spans="2:11">
      <c r="B46" s="76" t="s">
        <v>1866</v>
      </c>
      <c r="C46" s="70" t="s">
        <v>1867</v>
      </c>
      <c r="D46" s="83" t="s">
        <v>639</v>
      </c>
      <c r="E46" s="83" t="s">
        <v>156</v>
      </c>
      <c r="F46" s="97">
        <v>43991</v>
      </c>
      <c r="G46" s="77">
        <v>3986.0717759999998</v>
      </c>
      <c r="H46" s="79">
        <v>-0.53090000000000004</v>
      </c>
      <c r="I46" s="77">
        <v>-2.1161805000000002E-2</v>
      </c>
      <c r="J46" s="78">
        <f t="shared" si="0"/>
        <v>3.7587332185586705E-3</v>
      </c>
      <c r="K46" s="78">
        <f>I46/'סכום נכסי הקרן'!$C$42</f>
        <v>-2.6173682074724888E-7</v>
      </c>
    </row>
    <row r="47" spans="2:11">
      <c r="B47" s="76" t="s">
        <v>1868</v>
      </c>
      <c r="C47" s="70" t="s">
        <v>1869</v>
      </c>
      <c r="D47" s="83" t="s">
        <v>639</v>
      </c>
      <c r="E47" s="83" t="s">
        <v>156</v>
      </c>
      <c r="F47" s="97">
        <v>43991</v>
      </c>
      <c r="G47" s="77">
        <v>4075.4787530000003</v>
      </c>
      <c r="H47" s="79">
        <v>-0.51049999999999995</v>
      </c>
      <c r="I47" s="77">
        <v>-2.0804587000000003E-2</v>
      </c>
      <c r="J47" s="78">
        <f t="shared" si="0"/>
        <v>3.6952846061710652E-3</v>
      </c>
      <c r="K47" s="78">
        <f>I47/'סכום נכסי הקרן'!$C$42</f>
        <v>-2.5731861995418372E-7</v>
      </c>
    </row>
    <row r="48" spans="2:11">
      <c r="B48" s="76" t="s">
        <v>1870</v>
      </c>
      <c r="C48" s="70" t="s">
        <v>1871</v>
      </c>
      <c r="D48" s="83" t="s">
        <v>639</v>
      </c>
      <c r="E48" s="83" t="s">
        <v>156</v>
      </c>
      <c r="F48" s="97">
        <v>43895</v>
      </c>
      <c r="G48" s="77">
        <v>4915.9328400000004</v>
      </c>
      <c r="H48" s="79">
        <v>-0.49180000000000001</v>
      </c>
      <c r="I48" s="77">
        <v>-2.4174800999999999E-2</v>
      </c>
      <c r="J48" s="78">
        <f t="shared" si="0"/>
        <v>4.2938977828566776E-3</v>
      </c>
      <c r="K48" s="78">
        <f>I48/'סכום נכסי הקרן'!$C$42</f>
        <v>-2.9900263970570625E-7</v>
      </c>
    </row>
    <row r="49" spans="2:11">
      <c r="B49" s="76" t="s">
        <v>1872</v>
      </c>
      <c r="C49" s="70" t="s">
        <v>1827</v>
      </c>
      <c r="D49" s="83" t="s">
        <v>639</v>
      </c>
      <c r="E49" s="83" t="s">
        <v>156</v>
      </c>
      <c r="F49" s="97">
        <v>43999</v>
      </c>
      <c r="G49" s="77">
        <v>3987.575343</v>
      </c>
      <c r="H49" s="79">
        <v>-0.50149999999999995</v>
      </c>
      <c r="I49" s="77">
        <v>-1.9998815E-2</v>
      </c>
      <c r="J49" s="78">
        <f t="shared" si="0"/>
        <v>3.5521643958211224E-3</v>
      </c>
      <c r="K49" s="78">
        <f>I49/'סכום נכסי הקרן'!$C$42</f>
        <v>-2.4735254184661431E-7</v>
      </c>
    </row>
    <row r="50" spans="2:11">
      <c r="B50" s="76" t="s">
        <v>1873</v>
      </c>
      <c r="C50" s="70" t="s">
        <v>1874</v>
      </c>
      <c r="D50" s="83" t="s">
        <v>639</v>
      </c>
      <c r="E50" s="83" t="s">
        <v>156</v>
      </c>
      <c r="F50" s="97">
        <v>43895</v>
      </c>
      <c r="G50" s="77">
        <v>4589.0024880000001</v>
      </c>
      <c r="H50" s="79">
        <v>-0.47939999999999999</v>
      </c>
      <c r="I50" s="77">
        <v>-2.2000835999999999E-2</v>
      </c>
      <c r="J50" s="78">
        <f t="shared" si="0"/>
        <v>3.9077608507053843E-3</v>
      </c>
      <c r="K50" s="78">
        <f>I50/'סכום נכסי הקרן'!$C$42</f>
        <v>-2.7211425813731956E-7</v>
      </c>
    </row>
    <row r="51" spans="2:11">
      <c r="B51" s="76" t="s">
        <v>1875</v>
      </c>
      <c r="C51" s="70" t="s">
        <v>1831</v>
      </c>
      <c r="D51" s="83" t="s">
        <v>639</v>
      </c>
      <c r="E51" s="83" t="s">
        <v>156</v>
      </c>
      <c r="F51" s="97">
        <v>44012</v>
      </c>
      <c r="G51" s="77">
        <v>2216.6689900000001</v>
      </c>
      <c r="H51" s="79">
        <v>-0.3629</v>
      </c>
      <c r="I51" s="77">
        <v>-8.0435850000000007E-3</v>
      </c>
      <c r="J51" s="78">
        <f t="shared" si="0"/>
        <v>1.4286914625571989E-3</v>
      </c>
      <c r="K51" s="78">
        <f>I51/'סכום נכסי הקרן'!$C$42</f>
        <v>-9.9485954308257736E-8</v>
      </c>
    </row>
    <row r="52" spans="2:11">
      <c r="B52" s="76" t="s">
        <v>1876</v>
      </c>
      <c r="C52" s="70" t="s">
        <v>1877</v>
      </c>
      <c r="D52" s="83" t="s">
        <v>639</v>
      </c>
      <c r="E52" s="83" t="s">
        <v>156</v>
      </c>
      <c r="F52" s="97">
        <v>43990</v>
      </c>
      <c r="G52" s="77">
        <v>6566.7447999999995</v>
      </c>
      <c r="H52" s="79">
        <v>-0.30559999999999998</v>
      </c>
      <c r="I52" s="77">
        <v>-2.0067257999999998E-2</v>
      </c>
      <c r="J52" s="78">
        <f t="shared" si="0"/>
        <v>3.5643211554962921E-3</v>
      </c>
      <c r="K52" s="78">
        <f>I52/'סכום נכסי הקרן'!$C$42</f>
        <v>-2.4819906950445838E-7</v>
      </c>
    </row>
    <row r="53" spans="2:11">
      <c r="B53" s="76" t="s">
        <v>1878</v>
      </c>
      <c r="C53" s="70" t="s">
        <v>1879</v>
      </c>
      <c r="D53" s="83" t="s">
        <v>639</v>
      </c>
      <c r="E53" s="83" t="s">
        <v>156</v>
      </c>
      <c r="F53" s="97">
        <v>43991</v>
      </c>
      <c r="G53" s="77">
        <v>6218.0977110000003</v>
      </c>
      <c r="H53" s="79">
        <v>-0.27129999999999999</v>
      </c>
      <c r="I53" s="77">
        <v>-1.6866672000000003E-2</v>
      </c>
      <c r="J53" s="78">
        <f t="shared" si="0"/>
        <v>2.9958370910672986E-3</v>
      </c>
      <c r="K53" s="78">
        <f>I53/'סכום נכסי הקרן'!$C$42</f>
        <v>-2.0861306990904804E-7</v>
      </c>
    </row>
    <row r="54" spans="2:11">
      <c r="B54" s="76" t="s">
        <v>1880</v>
      </c>
      <c r="C54" s="70" t="s">
        <v>1881</v>
      </c>
      <c r="D54" s="83" t="s">
        <v>639</v>
      </c>
      <c r="E54" s="83" t="s">
        <v>156</v>
      </c>
      <c r="F54" s="97">
        <v>43990</v>
      </c>
      <c r="G54" s="77">
        <v>3999.4882200000006</v>
      </c>
      <c r="H54" s="79">
        <v>-0.21820000000000001</v>
      </c>
      <c r="I54" s="77">
        <v>-8.7282670000000014E-3</v>
      </c>
      <c r="J54" s="78">
        <f t="shared" si="0"/>
        <v>1.5503038192323118E-3</v>
      </c>
      <c r="K54" s="78">
        <f>I54/'סכום נכסי הקרן'!$C$42</f>
        <v>-1.0795434771339818E-7</v>
      </c>
    </row>
    <row r="55" spans="2:11">
      <c r="B55" s="76" t="s">
        <v>1882</v>
      </c>
      <c r="C55" s="70" t="s">
        <v>1883</v>
      </c>
      <c r="D55" s="83" t="s">
        <v>639</v>
      </c>
      <c r="E55" s="83" t="s">
        <v>156</v>
      </c>
      <c r="F55" s="97">
        <v>43990</v>
      </c>
      <c r="G55" s="77">
        <v>2133.2145959999998</v>
      </c>
      <c r="H55" s="79">
        <v>-0.21099999999999999</v>
      </c>
      <c r="I55" s="77">
        <v>-4.5008800000000005E-3</v>
      </c>
      <c r="J55" s="78">
        <f t="shared" si="0"/>
        <v>7.994406511517496E-4</v>
      </c>
      <c r="K55" s="78">
        <f>I55/'סכום נכסי הקרן'!$C$42</f>
        <v>-5.5668503786178809E-8</v>
      </c>
    </row>
    <row r="56" spans="2:11">
      <c r="B56" s="76" t="s">
        <v>1884</v>
      </c>
      <c r="C56" s="70" t="s">
        <v>1885</v>
      </c>
      <c r="D56" s="83" t="s">
        <v>639</v>
      </c>
      <c r="E56" s="83" t="s">
        <v>156</v>
      </c>
      <c r="F56" s="97">
        <v>43990</v>
      </c>
      <c r="G56" s="77">
        <v>1333.9338</v>
      </c>
      <c r="H56" s="79">
        <v>-0.1603</v>
      </c>
      <c r="I56" s="77">
        <v>-2.1384430000000003E-3</v>
      </c>
      <c r="J56" s="78">
        <f t="shared" si="0"/>
        <v>3.7982755913752437E-4</v>
      </c>
      <c r="K56" s="78">
        <f>I56/'סכום נכסי הקרן'!$C$42</f>
        <v>-2.6449032687391706E-8</v>
      </c>
    </row>
    <row r="57" spans="2:11">
      <c r="B57" s="76" t="s">
        <v>1884</v>
      </c>
      <c r="C57" s="70" t="s">
        <v>1886</v>
      </c>
      <c r="D57" s="83" t="s">
        <v>639</v>
      </c>
      <c r="E57" s="83" t="s">
        <v>156</v>
      </c>
      <c r="F57" s="97">
        <v>43990</v>
      </c>
      <c r="G57" s="77">
        <v>2302.3532</v>
      </c>
      <c r="H57" s="79">
        <v>-0.1603</v>
      </c>
      <c r="I57" s="77">
        <v>-3.6909249999999994E-3</v>
      </c>
      <c r="J57" s="78">
        <f t="shared" si="0"/>
        <v>6.5557746159690335E-4</v>
      </c>
      <c r="K57" s="78">
        <f>I57/'סכום נכסי הקרן'!$C$42</f>
        <v>-4.565068882907386E-8</v>
      </c>
    </row>
    <row r="58" spans="2:11">
      <c r="B58" s="76" t="s">
        <v>1887</v>
      </c>
      <c r="C58" s="70" t="s">
        <v>1888</v>
      </c>
      <c r="D58" s="83" t="s">
        <v>639</v>
      </c>
      <c r="E58" s="83" t="s">
        <v>156</v>
      </c>
      <c r="F58" s="97">
        <v>43994</v>
      </c>
      <c r="G58" s="77">
        <v>6585.1864400000013</v>
      </c>
      <c r="H58" s="79">
        <v>-6.5500000000000003E-2</v>
      </c>
      <c r="I58" s="77">
        <v>-4.31256E-3</v>
      </c>
      <c r="J58" s="78">
        <f t="shared" si="0"/>
        <v>7.6599148933786032E-4</v>
      </c>
      <c r="K58" s="78">
        <f>I58/'סכום נכסי הקרן'!$C$42</f>
        <v>-5.3339294246485853E-8</v>
      </c>
    </row>
    <row r="59" spans="2:11">
      <c r="B59" s="76" t="s">
        <v>1889</v>
      </c>
      <c r="C59" s="70" t="s">
        <v>1890</v>
      </c>
      <c r="D59" s="83" t="s">
        <v>639</v>
      </c>
      <c r="E59" s="83" t="s">
        <v>156</v>
      </c>
      <c r="F59" s="97">
        <v>43985</v>
      </c>
      <c r="G59" s="77">
        <v>3561.885968</v>
      </c>
      <c r="H59" s="79">
        <v>-3.9300000000000002E-2</v>
      </c>
      <c r="I59" s="77">
        <v>-1.400206E-3</v>
      </c>
      <c r="J59" s="78">
        <f t="shared" si="0"/>
        <v>2.4870283064347117E-4</v>
      </c>
      <c r="K59" s="78">
        <f>I59/'סכום נכסי הקרן'!$C$42</f>
        <v>-1.731825176686121E-8</v>
      </c>
    </row>
    <row r="60" spans="2:11">
      <c r="B60" s="76" t="s">
        <v>1891</v>
      </c>
      <c r="C60" s="70" t="s">
        <v>1892</v>
      </c>
      <c r="D60" s="83" t="s">
        <v>639</v>
      </c>
      <c r="E60" s="83" t="s">
        <v>156</v>
      </c>
      <c r="F60" s="97">
        <v>43896</v>
      </c>
      <c r="G60" s="77">
        <v>6587.8481199999987</v>
      </c>
      <c r="H60" s="79">
        <v>1.89E-2</v>
      </c>
      <c r="I60" s="77">
        <v>1.2456370000000002E-3</v>
      </c>
      <c r="J60" s="78">
        <f t="shared" si="0"/>
        <v>-2.2124847904825542E-4</v>
      </c>
      <c r="K60" s="78">
        <f>I60/'סכום נכסי הקרן'!$C$42</f>
        <v>1.5406486742749065E-8</v>
      </c>
    </row>
    <row r="61" spans="2:11">
      <c r="B61" s="76" t="s">
        <v>1893</v>
      </c>
      <c r="C61" s="70" t="s">
        <v>1894</v>
      </c>
      <c r="D61" s="83" t="s">
        <v>639</v>
      </c>
      <c r="E61" s="83" t="s">
        <v>156</v>
      </c>
      <c r="F61" s="97">
        <v>43985</v>
      </c>
      <c r="G61" s="77">
        <v>4007.9313269999998</v>
      </c>
      <c r="H61" s="79">
        <v>-2.0299999999999999E-2</v>
      </c>
      <c r="I61" s="77">
        <v>-8.12461E-4</v>
      </c>
      <c r="J61" s="78">
        <f t="shared" si="0"/>
        <v>1.4430830212656227E-4</v>
      </c>
      <c r="K61" s="78">
        <f>I61/'סכום נכסי הקרן'!$C$42</f>
        <v>-1.004881006705858E-8</v>
      </c>
    </row>
    <row r="62" spans="2:11">
      <c r="B62" s="76" t="s">
        <v>1895</v>
      </c>
      <c r="C62" s="70" t="s">
        <v>1896</v>
      </c>
      <c r="D62" s="83" t="s">
        <v>639</v>
      </c>
      <c r="E62" s="83" t="s">
        <v>156</v>
      </c>
      <c r="F62" s="97">
        <v>43896</v>
      </c>
      <c r="G62" s="77">
        <v>6589.1789600000011</v>
      </c>
      <c r="H62" s="79">
        <v>3.1699999999999999E-2</v>
      </c>
      <c r="I62" s="77">
        <v>2.0920420000000001E-3</v>
      </c>
      <c r="J62" s="78">
        <f t="shared" si="0"/>
        <v>-3.7158587181102546E-4</v>
      </c>
      <c r="K62" s="78">
        <f>I62/'סכום נכסי הקרן'!$C$42</f>
        <v>2.5875128418852554E-8</v>
      </c>
    </row>
    <row r="63" spans="2:11">
      <c r="B63" s="76" t="s">
        <v>1897</v>
      </c>
      <c r="C63" s="70" t="s">
        <v>1898</v>
      </c>
      <c r="D63" s="83" t="s">
        <v>639</v>
      </c>
      <c r="E63" s="83" t="s">
        <v>156</v>
      </c>
      <c r="F63" s="97">
        <v>43998</v>
      </c>
      <c r="G63" s="77">
        <v>1781.9710640000003</v>
      </c>
      <c r="H63" s="79">
        <v>1.7500000000000002E-2</v>
      </c>
      <c r="I63" s="77">
        <v>3.1257499999999999E-4</v>
      </c>
      <c r="J63" s="78">
        <f t="shared" si="0"/>
        <v>-5.5519178812534015E-5</v>
      </c>
      <c r="K63" s="78">
        <f>I63/'סכום נכסי הקרן'!$C$42</f>
        <v>3.8660401012612735E-9</v>
      </c>
    </row>
    <row r="64" spans="2:11">
      <c r="B64" s="76" t="s">
        <v>1899</v>
      </c>
      <c r="C64" s="70" t="s">
        <v>1900</v>
      </c>
      <c r="D64" s="83" t="s">
        <v>639</v>
      </c>
      <c r="E64" s="83" t="s">
        <v>156</v>
      </c>
      <c r="F64" s="97">
        <v>43986</v>
      </c>
      <c r="G64" s="77">
        <v>4012.3263689999999</v>
      </c>
      <c r="H64" s="79">
        <v>0.1258</v>
      </c>
      <c r="I64" s="77">
        <v>5.0489319999999999E-3</v>
      </c>
      <c r="J64" s="78">
        <f t="shared" si="0"/>
        <v>-8.9678495887490989E-4</v>
      </c>
      <c r="K64" s="78">
        <f>I64/'סכום נכסי הקרן'!$C$42</f>
        <v>6.2447008175769917E-8</v>
      </c>
    </row>
    <row r="65" spans="2:11">
      <c r="B65" s="76" t="s">
        <v>1901</v>
      </c>
      <c r="C65" s="70" t="s">
        <v>1902</v>
      </c>
      <c r="D65" s="83" t="s">
        <v>639</v>
      </c>
      <c r="E65" s="83" t="s">
        <v>156</v>
      </c>
      <c r="F65" s="97">
        <v>43986</v>
      </c>
      <c r="G65" s="77">
        <v>3569.699376</v>
      </c>
      <c r="H65" s="79">
        <v>0.215</v>
      </c>
      <c r="I65" s="77">
        <v>7.6745150000000007E-3</v>
      </c>
      <c r="J65" s="78">
        <f t="shared" si="0"/>
        <v>-1.3631377128192417E-3</v>
      </c>
      <c r="K65" s="78">
        <f>I65/'סכום נכסי הקרן'!$C$42</f>
        <v>9.4921163713448495E-8</v>
      </c>
    </row>
    <row r="66" spans="2:11">
      <c r="B66" s="76" t="s">
        <v>1903</v>
      </c>
      <c r="C66" s="70" t="s">
        <v>1904</v>
      </c>
      <c r="D66" s="83" t="s">
        <v>639</v>
      </c>
      <c r="E66" s="83" t="s">
        <v>156</v>
      </c>
      <c r="F66" s="97">
        <v>43984</v>
      </c>
      <c r="G66" s="77">
        <v>4019.2659090000002</v>
      </c>
      <c r="H66" s="79">
        <v>0.26340000000000002</v>
      </c>
      <c r="I66" s="77">
        <v>1.0585231999999998E-2</v>
      </c>
      <c r="J66" s="78">
        <f t="shared" si="0"/>
        <v>-1.880135609630191E-3</v>
      </c>
      <c r="K66" s="78">
        <f>I66/'סכום נכסי הקרן'!$C$42</f>
        <v>1.3092195918788792E-7</v>
      </c>
    </row>
    <row r="67" spans="2:11">
      <c r="B67" s="76" t="s">
        <v>1905</v>
      </c>
      <c r="C67" s="70" t="s">
        <v>1906</v>
      </c>
      <c r="D67" s="83" t="s">
        <v>639</v>
      </c>
      <c r="E67" s="83" t="s">
        <v>156</v>
      </c>
      <c r="F67" s="97">
        <v>43997</v>
      </c>
      <c r="G67" s="77">
        <v>3311.8904000000002</v>
      </c>
      <c r="H67" s="79">
        <v>0.54459999999999997</v>
      </c>
      <c r="I67" s="77">
        <v>1.8036175000000002E-2</v>
      </c>
      <c r="J67" s="78">
        <f t="shared" si="0"/>
        <v>-3.2035627446825744E-3</v>
      </c>
      <c r="K67" s="78">
        <f>I67/'סכום נכסי הקרן'!$C$42</f>
        <v>2.2307790393782628E-7</v>
      </c>
    </row>
    <row r="68" spans="2:11">
      <c r="B68" s="76" t="s">
        <v>1907</v>
      </c>
      <c r="C68" s="70" t="s">
        <v>1908</v>
      </c>
      <c r="D68" s="83" t="s">
        <v>639</v>
      </c>
      <c r="E68" s="83" t="s">
        <v>156</v>
      </c>
      <c r="F68" s="97">
        <v>43957</v>
      </c>
      <c r="G68" s="77">
        <v>3586.3542719999996</v>
      </c>
      <c r="H68" s="79">
        <v>0.67930000000000001</v>
      </c>
      <c r="I68" s="77">
        <v>2.4362415000000002E-2</v>
      </c>
      <c r="J68" s="78">
        <f t="shared" si="0"/>
        <v>-4.3272215458375141E-3</v>
      </c>
      <c r="K68" s="78">
        <f>I68/'סכום נכסי הקרן'!$C$42</f>
        <v>3.0132311718329733E-7</v>
      </c>
    </row>
    <row r="69" spans="2:11">
      <c r="B69" s="76" t="s">
        <v>1909</v>
      </c>
      <c r="C69" s="70" t="s">
        <v>1910</v>
      </c>
      <c r="D69" s="83" t="s">
        <v>639</v>
      </c>
      <c r="E69" s="83" t="s">
        <v>156</v>
      </c>
      <c r="F69" s="97">
        <v>43963</v>
      </c>
      <c r="G69" s="77">
        <v>1991.354904</v>
      </c>
      <c r="H69" s="79">
        <v>0.77190000000000003</v>
      </c>
      <c r="I69" s="77">
        <v>1.5371807999999997E-2</v>
      </c>
      <c r="J69" s="78">
        <f t="shared" si="0"/>
        <v>-2.7303212253825186E-3</v>
      </c>
      <c r="K69" s="78">
        <f>I69/'סכום נכסי הקרן'!$C$42</f>
        <v>1.901240539291013E-7</v>
      </c>
    </row>
    <row r="70" spans="2:11">
      <c r="B70" s="76" t="s">
        <v>1911</v>
      </c>
      <c r="C70" s="70" t="s">
        <v>1912</v>
      </c>
      <c r="D70" s="83" t="s">
        <v>639</v>
      </c>
      <c r="E70" s="83" t="s">
        <v>156</v>
      </c>
      <c r="F70" s="97">
        <v>43984</v>
      </c>
      <c r="G70" s="77">
        <v>4937.8104110000004</v>
      </c>
      <c r="H70" s="79">
        <v>0.78390000000000004</v>
      </c>
      <c r="I70" s="77">
        <v>3.8706960999999998E-2</v>
      </c>
      <c r="J70" s="78">
        <f t="shared" si="0"/>
        <v>-6.8750817853276179E-3</v>
      </c>
      <c r="K70" s="78">
        <f>I70/'סכום נכסי הקרן'!$C$42</f>
        <v>4.7874162496666764E-7</v>
      </c>
    </row>
    <row r="71" spans="2:11">
      <c r="B71" s="76" t="s">
        <v>1913</v>
      </c>
      <c r="C71" s="70" t="s">
        <v>1914</v>
      </c>
      <c r="D71" s="83" t="s">
        <v>639</v>
      </c>
      <c r="E71" s="83" t="s">
        <v>156</v>
      </c>
      <c r="F71" s="97">
        <v>43963</v>
      </c>
      <c r="G71" s="77">
        <v>2249.246275</v>
      </c>
      <c r="H71" s="79">
        <v>1.0298</v>
      </c>
      <c r="I71" s="77">
        <v>2.3163693999999999E-2</v>
      </c>
      <c r="J71" s="78">
        <f t="shared" si="0"/>
        <v>-4.1143062277687629E-3</v>
      </c>
      <c r="K71" s="78">
        <f>I71/'סכום נכסי הקרן'!$C$42</f>
        <v>2.8649690441444499E-7</v>
      </c>
    </row>
    <row r="72" spans="2:11">
      <c r="B72" s="76" t="s">
        <v>1915</v>
      </c>
      <c r="C72" s="70" t="s">
        <v>1916</v>
      </c>
      <c r="D72" s="83" t="s">
        <v>639</v>
      </c>
      <c r="E72" s="83" t="s">
        <v>156</v>
      </c>
      <c r="F72" s="97">
        <v>43983</v>
      </c>
      <c r="G72" s="77">
        <v>3600.541776</v>
      </c>
      <c r="H72" s="79">
        <v>1.0348999999999999</v>
      </c>
      <c r="I72" s="77">
        <v>3.7261227000000001E-2</v>
      </c>
      <c r="J72" s="78">
        <f t="shared" si="0"/>
        <v>-6.6182923285209002E-3</v>
      </c>
      <c r="K72" s="78">
        <f>I72/'סכום נכסי הקרן'!$C$42</f>
        <v>4.6086026650947547E-7</v>
      </c>
    </row>
    <row r="73" spans="2:11">
      <c r="B73" s="76" t="s">
        <v>1917</v>
      </c>
      <c r="C73" s="70" t="s">
        <v>1918</v>
      </c>
      <c r="D73" s="83" t="s">
        <v>639</v>
      </c>
      <c r="E73" s="83" t="s">
        <v>156</v>
      </c>
      <c r="F73" s="97">
        <v>43983</v>
      </c>
      <c r="G73" s="77">
        <v>4862.188701</v>
      </c>
      <c r="H73" s="79">
        <v>1.0722</v>
      </c>
      <c r="I73" s="77">
        <v>5.2133671999999999E-2</v>
      </c>
      <c r="J73" s="78">
        <f t="shared" si="0"/>
        <v>-9.2599173251923465E-3</v>
      </c>
      <c r="K73" s="78">
        <f>I73/'סכום נכסי הקרן'!$C$42</f>
        <v>6.4480801912501637E-7</v>
      </c>
    </row>
    <row r="74" spans="2:11">
      <c r="B74" s="76" t="s">
        <v>1919</v>
      </c>
      <c r="C74" s="70" t="s">
        <v>1920</v>
      </c>
      <c r="D74" s="83" t="s">
        <v>639</v>
      </c>
      <c r="E74" s="83" t="s">
        <v>156</v>
      </c>
      <c r="F74" s="97">
        <v>43962</v>
      </c>
      <c r="G74" s="77">
        <v>2252.7802999999999</v>
      </c>
      <c r="H74" s="79">
        <v>1.1409</v>
      </c>
      <c r="I74" s="77">
        <v>2.5700885E-2</v>
      </c>
      <c r="J74" s="78">
        <f t="shared" si="0"/>
        <v>-4.5649589057198212E-3</v>
      </c>
      <c r="K74" s="78">
        <f>I74/'סכום נכסי הקרן'!$C$42</f>
        <v>3.1787779588228215E-7</v>
      </c>
    </row>
    <row r="75" spans="2:11">
      <c r="B75" s="76" t="s">
        <v>1921</v>
      </c>
      <c r="C75" s="70" t="s">
        <v>1922</v>
      </c>
      <c r="D75" s="83" t="s">
        <v>639</v>
      </c>
      <c r="E75" s="83" t="s">
        <v>156</v>
      </c>
      <c r="F75" s="97">
        <v>43956</v>
      </c>
      <c r="G75" s="77">
        <v>2704.5700559999996</v>
      </c>
      <c r="H75" s="79">
        <v>1.2209000000000001</v>
      </c>
      <c r="I75" s="77">
        <v>3.3021133000000001E-2</v>
      </c>
      <c r="J75" s="78">
        <f t="shared" si="0"/>
        <v>-5.8651721590641213E-3</v>
      </c>
      <c r="K75" s="78">
        <f>I75/'סכום נכסי הקרן'!$C$42</f>
        <v>4.0841725783278247E-7</v>
      </c>
    </row>
    <row r="76" spans="2:11">
      <c r="B76" s="76" t="s">
        <v>1923</v>
      </c>
      <c r="C76" s="70" t="s">
        <v>1924</v>
      </c>
      <c r="D76" s="83" t="s">
        <v>639</v>
      </c>
      <c r="E76" s="83" t="s">
        <v>156</v>
      </c>
      <c r="F76" s="97">
        <v>43964</v>
      </c>
      <c r="G76" s="77">
        <v>2706.1507289999995</v>
      </c>
      <c r="H76" s="79">
        <v>1.2490000000000001</v>
      </c>
      <c r="I76" s="77">
        <v>3.3798649E-2</v>
      </c>
      <c r="J76" s="78">
        <f t="shared" ref="J76:J105" si="1">I76/$I$11</f>
        <v>-6.0032735741920307E-3</v>
      </c>
      <c r="K76" s="78">
        <f>I76/'סכום נכסי הקרן'!$C$42</f>
        <v>4.1803385556251855E-7</v>
      </c>
    </row>
    <row r="77" spans="2:11">
      <c r="B77" s="76" t="s">
        <v>1925</v>
      </c>
      <c r="C77" s="70" t="s">
        <v>1926</v>
      </c>
      <c r="D77" s="83" t="s">
        <v>639</v>
      </c>
      <c r="E77" s="83" t="s">
        <v>156</v>
      </c>
      <c r="F77" s="97">
        <v>43965</v>
      </c>
      <c r="G77" s="77">
        <v>6696.0263999999997</v>
      </c>
      <c r="H77" s="79">
        <v>1.6247</v>
      </c>
      <c r="I77" s="77">
        <v>0.10879334799999998</v>
      </c>
      <c r="J77" s="78">
        <f t="shared" si="1"/>
        <v>-1.9323737794853198E-2</v>
      </c>
      <c r="K77" s="78">
        <f>I77/'סכום נכסי הקרן'!$C$42</f>
        <v>1.3455952847107825E-6</v>
      </c>
    </row>
    <row r="78" spans="2:11">
      <c r="B78" s="76" t="s">
        <v>1927</v>
      </c>
      <c r="C78" s="70" t="s">
        <v>1928</v>
      </c>
      <c r="D78" s="83" t="s">
        <v>639</v>
      </c>
      <c r="E78" s="83" t="s">
        <v>156</v>
      </c>
      <c r="F78" s="97">
        <v>43969</v>
      </c>
      <c r="G78" s="77">
        <v>2721.3791639999999</v>
      </c>
      <c r="H78" s="79">
        <v>1.8019000000000001</v>
      </c>
      <c r="I78" s="77">
        <v>4.9037356000000004E-2</v>
      </c>
      <c r="J78" s="78">
        <f t="shared" si="1"/>
        <v>-8.7099535671691201E-3</v>
      </c>
      <c r="K78" s="78">
        <f>I78/'סכום נכסי הקרן'!$C$42</f>
        <v>6.0651166841821999E-7</v>
      </c>
    </row>
    <row r="79" spans="2:11">
      <c r="B79" s="76" t="s">
        <v>1929</v>
      </c>
      <c r="C79" s="70" t="s">
        <v>1930</v>
      </c>
      <c r="D79" s="83" t="s">
        <v>639</v>
      </c>
      <c r="E79" s="83" t="s">
        <v>156</v>
      </c>
      <c r="F79" s="97">
        <v>43942</v>
      </c>
      <c r="G79" s="77">
        <v>3023.8205760000001</v>
      </c>
      <c r="H79" s="79">
        <v>1.9367000000000001</v>
      </c>
      <c r="I79" s="77">
        <v>5.8561356000000002E-2</v>
      </c>
      <c r="J79" s="78">
        <f t="shared" si="1"/>
        <v>-1.0401594482183354E-2</v>
      </c>
      <c r="K79" s="78">
        <f>I79/'סכום נכסי הקרן'!$C$42</f>
        <v>7.2430792827397414E-7</v>
      </c>
    </row>
    <row r="80" spans="2:11">
      <c r="B80" s="76" t="s">
        <v>1931</v>
      </c>
      <c r="C80" s="70" t="s">
        <v>1932</v>
      </c>
      <c r="D80" s="83" t="s">
        <v>639</v>
      </c>
      <c r="E80" s="83" t="s">
        <v>156</v>
      </c>
      <c r="F80" s="97">
        <v>43920</v>
      </c>
      <c r="G80" s="77">
        <v>636.46376599999996</v>
      </c>
      <c r="H80" s="79">
        <v>2.2949999999999999</v>
      </c>
      <c r="I80" s="77">
        <v>1.4606840999999999E-2</v>
      </c>
      <c r="J80" s="78">
        <f t="shared" si="1"/>
        <v>-2.5944487478693212E-3</v>
      </c>
      <c r="K80" s="78">
        <f>I80/'סכום נכסי הקרן'!$C$42</f>
        <v>1.8066266674797188E-7</v>
      </c>
    </row>
    <row r="81" spans="2:11">
      <c r="B81" s="76" t="s">
        <v>1933</v>
      </c>
      <c r="C81" s="70" t="s">
        <v>1934</v>
      </c>
      <c r="D81" s="83" t="s">
        <v>639</v>
      </c>
      <c r="E81" s="83" t="s">
        <v>156</v>
      </c>
      <c r="F81" s="97">
        <v>43920</v>
      </c>
      <c r="G81" s="77">
        <v>2690.7303360000001</v>
      </c>
      <c r="H81" s="79">
        <v>2.3115999999999999</v>
      </c>
      <c r="I81" s="77">
        <v>6.2197876999999999E-2</v>
      </c>
      <c r="J81" s="78">
        <f t="shared" si="1"/>
        <v>-1.1047508773647914E-2</v>
      </c>
      <c r="K81" s="78">
        <f>I81/'סכום נכסי הקרן'!$C$42</f>
        <v>7.6928572885008787E-7</v>
      </c>
    </row>
    <row r="82" spans="2:11">
      <c r="B82" s="76" t="s">
        <v>1935</v>
      </c>
      <c r="C82" s="70" t="s">
        <v>1936</v>
      </c>
      <c r="D82" s="83" t="s">
        <v>639</v>
      </c>
      <c r="E82" s="83" t="s">
        <v>156</v>
      </c>
      <c r="F82" s="97">
        <v>43941</v>
      </c>
      <c r="G82" s="77">
        <v>2028.8845920000001</v>
      </c>
      <c r="H82" s="79">
        <v>2.5981000000000001</v>
      </c>
      <c r="I82" s="77">
        <v>5.2711723000000002E-2</v>
      </c>
      <c r="J82" s="78">
        <f t="shared" si="1"/>
        <v>-9.3625900176078115E-3</v>
      </c>
      <c r="K82" s="78">
        <f>I82/'סכום נכסי הקרן'!$C$42</f>
        <v>6.5195756194377731E-7</v>
      </c>
    </row>
    <row r="83" spans="2:11">
      <c r="B83" s="76" t="s">
        <v>1937</v>
      </c>
      <c r="C83" s="70" t="s">
        <v>1938</v>
      </c>
      <c r="D83" s="83" t="s">
        <v>639</v>
      </c>
      <c r="E83" s="83" t="s">
        <v>156</v>
      </c>
      <c r="F83" s="97">
        <v>43941</v>
      </c>
      <c r="G83" s="77">
        <v>3657.1889839999999</v>
      </c>
      <c r="H83" s="79">
        <v>2.6008</v>
      </c>
      <c r="I83" s="77">
        <v>9.5116236999999992E-2</v>
      </c>
      <c r="J83" s="78">
        <f t="shared" si="1"/>
        <v>-1.6894426521565586E-2</v>
      </c>
      <c r="K83" s="78">
        <f>I83/'סכום נכסי הקרן'!$C$42</f>
        <v>1.1764318532290531E-6</v>
      </c>
    </row>
    <row r="84" spans="2:11">
      <c r="B84" s="76" t="s">
        <v>1939</v>
      </c>
      <c r="C84" s="70" t="s">
        <v>1940</v>
      </c>
      <c r="D84" s="83" t="s">
        <v>639</v>
      </c>
      <c r="E84" s="83" t="s">
        <v>156</v>
      </c>
      <c r="F84" s="97">
        <v>43941</v>
      </c>
      <c r="G84" s="77">
        <v>3386.22732</v>
      </c>
      <c r="H84" s="79">
        <v>2.7031999999999998</v>
      </c>
      <c r="I84" s="77">
        <v>9.1536477000000019E-2</v>
      </c>
      <c r="J84" s="78">
        <f t="shared" si="1"/>
        <v>-1.625859404761228E-2</v>
      </c>
      <c r="K84" s="78">
        <f>I84/'סכום נכסי הקרן'!$C$42</f>
        <v>1.1321560931302256E-6</v>
      </c>
    </row>
    <row r="85" spans="2:11">
      <c r="B85" s="76" t="s">
        <v>1941</v>
      </c>
      <c r="C85" s="70" t="s">
        <v>1942</v>
      </c>
      <c r="D85" s="83" t="s">
        <v>639</v>
      </c>
      <c r="E85" s="83" t="s">
        <v>156</v>
      </c>
      <c r="F85" s="97">
        <v>43915</v>
      </c>
      <c r="G85" s="77">
        <v>3395.0679</v>
      </c>
      <c r="H85" s="79">
        <v>2.9548999999999999</v>
      </c>
      <c r="I85" s="77">
        <v>0.100320663</v>
      </c>
      <c r="J85" s="78">
        <f t="shared" si="1"/>
        <v>-1.7818830129373638E-2</v>
      </c>
      <c r="K85" s="78">
        <f>I85/'סכום נכסי הקרן'!$C$42</f>
        <v>1.2408020671618589E-6</v>
      </c>
    </row>
    <row r="86" spans="2:11">
      <c r="B86" s="76" t="s">
        <v>1943</v>
      </c>
      <c r="C86" s="70" t="s">
        <v>1944</v>
      </c>
      <c r="D86" s="83" t="s">
        <v>639</v>
      </c>
      <c r="E86" s="83" t="s">
        <v>156</v>
      </c>
      <c r="F86" s="97">
        <v>43916</v>
      </c>
      <c r="G86" s="77">
        <v>4604.5132999999996</v>
      </c>
      <c r="H86" s="79">
        <v>3.3652000000000002</v>
      </c>
      <c r="I86" s="77">
        <v>0.15495157399999998</v>
      </c>
      <c r="J86" s="78">
        <f t="shared" si="1"/>
        <v>-2.7522303908468673E-2</v>
      </c>
      <c r="K86" s="78">
        <f>I86/'סכום נכסי הקרן'!$C$42</f>
        <v>1.9164968370392821E-6</v>
      </c>
    </row>
    <row r="87" spans="2:11">
      <c r="B87" s="76" t="s">
        <v>1945</v>
      </c>
      <c r="C87" s="70" t="s">
        <v>1946</v>
      </c>
      <c r="D87" s="83" t="s">
        <v>639</v>
      </c>
      <c r="E87" s="83" t="s">
        <v>156</v>
      </c>
      <c r="F87" s="97">
        <v>43908</v>
      </c>
      <c r="G87" s="77">
        <v>3906.7040000000002</v>
      </c>
      <c r="H87" s="79">
        <v>8.7894000000000005</v>
      </c>
      <c r="I87" s="77">
        <v>0.34337430699999999</v>
      </c>
      <c r="J87" s="78">
        <f t="shared" si="1"/>
        <v>-6.0989713028754534E-2</v>
      </c>
      <c r="K87" s="78">
        <f>I87/'סכום נכסי הקרן'!$C$42</f>
        <v>4.2469770154516502E-6</v>
      </c>
    </row>
    <row r="88" spans="2:11">
      <c r="B88" s="76" t="s">
        <v>1947</v>
      </c>
      <c r="C88" s="70" t="s">
        <v>1948</v>
      </c>
      <c r="D88" s="83" t="s">
        <v>639</v>
      </c>
      <c r="E88" s="83" t="s">
        <v>156</v>
      </c>
      <c r="F88" s="97">
        <v>44011</v>
      </c>
      <c r="G88" s="77">
        <v>2635.82368</v>
      </c>
      <c r="H88" s="79">
        <v>1.0507</v>
      </c>
      <c r="I88" s="77">
        <v>2.7695564000000002E-2</v>
      </c>
      <c r="J88" s="78">
        <f t="shared" si="1"/>
        <v>-4.9192512837878269E-3</v>
      </c>
      <c r="K88" s="78">
        <f>I88/'סכום נכסי הקרן'!$C$42</f>
        <v>3.4254870367447197E-7</v>
      </c>
    </row>
    <row r="89" spans="2:11">
      <c r="B89" s="76" t="s">
        <v>1949</v>
      </c>
      <c r="C89" s="70" t="s">
        <v>1950</v>
      </c>
      <c r="D89" s="83" t="s">
        <v>639</v>
      </c>
      <c r="E89" s="83" t="s">
        <v>156</v>
      </c>
      <c r="F89" s="97">
        <v>43889</v>
      </c>
      <c r="G89" s="77">
        <v>3294.7795999999998</v>
      </c>
      <c r="H89" s="79">
        <v>0.80030000000000001</v>
      </c>
      <c r="I89" s="77">
        <v>2.6368032999999999E-2</v>
      </c>
      <c r="J89" s="78">
        <f t="shared" si="1"/>
        <v>-4.6834568953428701E-3</v>
      </c>
      <c r="K89" s="78">
        <f>I89/'סכום נכסי הקרן'!$C$42</f>
        <v>3.2612932246462637E-7</v>
      </c>
    </row>
    <row r="90" spans="2:11">
      <c r="B90" s="76" t="s">
        <v>1951</v>
      </c>
      <c r="C90" s="70" t="s">
        <v>1952</v>
      </c>
      <c r="D90" s="83" t="s">
        <v>639</v>
      </c>
      <c r="E90" s="83" t="s">
        <v>156</v>
      </c>
      <c r="F90" s="97">
        <v>44004</v>
      </c>
      <c r="G90" s="77">
        <v>6589.5591999999997</v>
      </c>
      <c r="H90" s="79">
        <v>0.7661</v>
      </c>
      <c r="I90" s="77">
        <v>5.0481782000000003E-2</v>
      </c>
      <c r="J90" s="78">
        <f t="shared" si="1"/>
        <v>-8.9665106986590772E-3</v>
      </c>
      <c r="K90" s="78">
        <f>I90/'סכום נכסי הקרן'!$C$42</f>
        <v>6.2437684906063992E-7</v>
      </c>
    </row>
    <row r="91" spans="2:11">
      <c r="B91" s="76" t="s">
        <v>1953</v>
      </c>
      <c r="C91" s="70" t="s">
        <v>1954</v>
      </c>
      <c r="D91" s="83" t="s">
        <v>639</v>
      </c>
      <c r="E91" s="83" t="s">
        <v>156</v>
      </c>
      <c r="F91" s="97">
        <v>44004</v>
      </c>
      <c r="G91" s="77">
        <v>5271.6473599999999</v>
      </c>
      <c r="H91" s="79">
        <v>0.73719999999999997</v>
      </c>
      <c r="I91" s="77">
        <v>3.8864699000000003E-2</v>
      </c>
      <c r="J91" s="78">
        <f t="shared" si="1"/>
        <v>-6.9030990107216252E-3</v>
      </c>
      <c r="K91" s="78">
        <f>I91/'סכום נכסי הקרן'!$C$42</f>
        <v>4.8069258532335896E-7</v>
      </c>
    </row>
    <row r="92" spans="2:11">
      <c r="B92" s="76" t="s">
        <v>1955</v>
      </c>
      <c r="C92" s="70" t="s">
        <v>1956</v>
      </c>
      <c r="D92" s="83" t="s">
        <v>639</v>
      </c>
      <c r="E92" s="83" t="s">
        <v>156</v>
      </c>
      <c r="F92" s="97">
        <v>43999</v>
      </c>
      <c r="G92" s="77">
        <v>6589.5591999999997</v>
      </c>
      <c r="H92" s="79">
        <v>0.4405</v>
      </c>
      <c r="I92" s="77">
        <v>2.9027301000000002E-2</v>
      </c>
      <c r="J92" s="78">
        <f t="shared" si="1"/>
        <v>-5.1557927366687913E-3</v>
      </c>
      <c r="K92" s="78">
        <f>I92/'סכום נכסי הקרן'!$C$42</f>
        <v>3.5902010620613119E-7</v>
      </c>
    </row>
    <row r="93" spans="2:11">
      <c r="B93" s="76" t="s">
        <v>1957</v>
      </c>
      <c r="C93" s="70" t="s">
        <v>1958</v>
      </c>
      <c r="D93" s="83" t="s">
        <v>639</v>
      </c>
      <c r="E93" s="83" t="s">
        <v>156</v>
      </c>
      <c r="F93" s="97">
        <v>43985</v>
      </c>
      <c r="G93" s="77">
        <v>6589.5591999999997</v>
      </c>
      <c r="H93" s="79">
        <v>0.2238</v>
      </c>
      <c r="I93" s="77">
        <v>1.4748563999999999E-2</v>
      </c>
      <c r="J93" s="78">
        <f t="shared" si="1"/>
        <v>-2.6196214090829458E-3</v>
      </c>
      <c r="K93" s="78">
        <f>I93/'סכום נכסי הקרן'!$C$42</f>
        <v>1.8241554782058184E-7</v>
      </c>
    </row>
    <row r="94" spans="2:11">
      <c r="B94" s="76" t="s">
        <v>1959</v>
      </c>
      <c r="C94" s="70" t="s">
        <v>1960</v>
      </c>
      <c r="D94" s="83" t="s">
        <v>639</v>
      </c>
      <c r="E94" s="83" t="s">
        <v>156</v>
      </c>
      <c r="F94" s="97">
        <v>43984</v>
      </c>
      <c r="G94" s="77">
        <v>4942.1693999999998</v>
      </c>
      <c r="H94" s="79">
        <v>2.18E-2</v>
      </c>
      <c r="I94" s="77">
        <v>1.078772E-3</v>
      </c>
      <c r="J94" s="78">
        <f t="shared" si="1"/>
        <v>-1.9161012738048449E-4</v>
      </c>
      <c r="K94" s="78">
        <f>I94/'סכום נכסי הקרן'!$C$42</f>
        <v>1.3342640365089422E-8</v>
      </c>
    </row>
    <row r="95" spans="2:11">
      <c r="B95" s="76" t="s">
        <v>1961</v>
      </c>
      <c r="C95" s="70" t="s">
        <v>1962</v>
      </c>
      <c r="D95" s="83" t="s">
        <v>639</v>
      </c>
      <c r="E95" s="83" t="s">
        <v>156</v>
      </c>
      <c r="F95" s="97">
        <v>43997</v>
      </c>
      <c r="G95" s="77">
        <v>2635.82368</v>
      </c>
      <c r="H95" s="79">
        <v>-0.39290000000000003</v>
      </c>
      <c r="I95" s="77">
        <v>-1.0354967999999999E-2</v>
      </c>
      <c r="J95" s="78">
        <f t="shared" si="1"/>
        <v>1.8392364072304813E-3</v>
      </c>
      <c r="K95" s="78">
        <f>I95/'סכום נכסי הקרן'!$C$42</f>
        <v>-1.2807397115980882E-7</v>
      </c>
    </row>
    <row r="96" spans="2:11">
      <c r="B96" s="76" t="s">
        <v>1963</v>
      </c>
      <c r="C96" s="70" t="s">
        <v>1964</v>
      </c>
      <c r="D96" s="83" t="s">
        <v>639</v>
      </c>
      <c r="E96" s="83" t="s">
        <v>156</v>
      </c>
      <c r="F96" s="97">
        <v>43997</v>
      </c>
      <c r="G96" s="77">
        <v>6589.5591999999997</v>
      </c>
      <c r="H96" s="79">
        <v>-0.38869999999999999</v>
      </c>
      <c r="I96" s="77">
        <v>-2.5612960000000001E-2</v>
      </c>
      <c r="J96" s="78">
        <f t="shared" si="1"/>
        <v>4.5493417776798564E-3</v>
      </c>
      <c r="K96" s="78">
        <f>I96/'סכום נכסי הקרן'!$C$42</f>
        <v>-3.1679030783652224E-7</v>
      </c>
    </row>
    <row r="97" spans="2:11">
      <c r="B97" s="76" t="s">
        <v>1965</v>
      </c>
      <c r="C97" s="70" t="s">
        <v>1966</v>
      </c>
      <c r="D97" s="83" t="s">
        <v>639</v>
      </c>
      <c r="E97" s="83" t="s">
        <v>156</v>
      </c>
      <c r="F97" s="97">
        <v>43978</v>
      </c>
      <c r="G97" s="77">
        <v>3294.7795999999998</v>
      </c>
      <c r="H97" s="79">
        <v>-0.62170000000000003</v>
      </c>
      <c r="I97" s="77">
        <v>-2.0483682000000003E-2</v>
      </c>
      <c r="J97" s="78">
        <f t="shared" si="1"/>
        <v>3.6382858632234968E-3</v>
      </c>
      <c r="K97" s="78">
        <f>I97/'סכום נכסי הקרן'!$C$42</f>
        <v>-2.5334955141480838E-7</v>
      </c>
    </row>
    <row r="98" spans="2:11">
      <c r="B98" s="76" t="s">
        <v>1967</v>
      </c>
      <c r="C98" s="70" t="s">
        <v>1968</v>
      </c>
      <c r="D98" s="83" t="s">
        <v>639</v>
      </c>
      <c r="E98" s="83" t="s">
        <v>156</v>
      </c>
      <c r="F98" s="97">
        <v>43978</v>
      </c>
      <c r="G98" s="77">
        <v>6589.5591999999997</v>
      </c>
      <c r="H98" s="79">
        <v>-0.7702</v>
      </c>
      <c r="I98" s="77">
        <v>-5.0755488999999994E-2</v>
      </c>
      <c r="J98" s="78">
        <f t="shared" si="1"/>
        <v>9.0151261921414157E-3</v>
      </c>
      <c r="K98" s="78">
        <f>I98/'סכום נכסי הקרן'!$C$42</f>
        <v>-6.2776215574862168E-7</v>
      </c>
    </row>
    <row r="99" spans="2:11">
      <c r="B99" s="76" t="s">
        <v>1969</v>
      </c>
      <c r="C99" s="70" t="s">
        <v>1970</v>
      </c>
      <c r="D99" s="83" t="s">
        <v>639</v>
      </c>
      <c r="E99" s="83" t="s">
        <v>156</v>
      </c>
      <c r="F99" s="97">
        <v>43976</v>
      </c>
      <c r="G99" s="77">
        <v>4612.6914399999996</v>
      </c>
      <c r="H99" s="79">
        <v>-1.3576999999999999</v>
      </c>
      <c r="I99" s="77">
        <v>-6.2628037999999997E-2</v>
      </c>
      <c r="J99" s="78">
        <f t="shared" si="1"/>
        <v>1.1123913430057347E-2</v>
      </c>
      <c r="K99" s="78">
        <f>I99/'סכום נכסי הקרן'!$C$42</f>
        <v>-7.7460611492062657E-7</v>
      </c>
    </row>
    <row r="100" spans="2:11">
      <c r="B100" s="76" t="s">
        <v>1821</v>
      </c>
      <c r="C100" s="70" t="s">
        <v>1971</v>
      </c>
      <c r="D100" s="83" t="s">
        <v>639</v>
      </c>
      <c r="E100" s="83" t="s">
        <v>156</v>
      </c>
      <c r="F100" s="97">
        <v>44012</v>
      </c>
      <c r="G100" s="77">
        <v>2227.0783000000001</v>
      </c>
      <c r="H100" s="79">
        <v>5.7799999999999997E-2</v>
      </c>
      <c r="I100" s="77">
        <v>1.286141E-3</v>
      </c>
      <c r="J100" s="78">
        <f t="shared" si="1"/>
        <v>-2.2844274864314583E-4</v>
      </c>
      <c r="K100" s="78">
        <f>I100/'סכום נכסי הקרן'!$C$42</f>
        <v>1.5907454792853796E-8</v>
      </c>
    </row>
    <row r="101" spans="2:11">
      <c r="B101" s="76" t="s">
        <v>1972</v>
      </c>
      <c r="C101" s="70" t="s">
        <v>1973</v>
      </c>
      <c r="D101" s="83" t="s">
        <v>639</v>
      </c>
      <c r="E101" s="83" t="s">
        <v>156</v>
      </c>
      <c r="F101" s="97">
        <v>43992</v>
      </c>
      <c r="G101" s="77">
        <v>674710.4</v>
      </c>
      <c r="H101" s="79">
        <v>-0.64249999999999996</v>
      </c>
      <c r="I101" s="77">
        <v>-4.3348100000000001</v>
      </c>
      <c r="J101" s="78">
        <f t="shared" si="1"/>
        <v>0.76994350638522135</v>
      </c>
      <c r="K101" s="78">
        <f>I101/'סכום נכסי הקרן'!$C$42</f>
        <v>-5.3614490254653699E-5</v>
      </c>
    </row>
    <row r="102" spans="2:11">
      <c r="B102" s="76" t="s">
        <v>1974</v>
      </c>
      <c r="C102" s="70" t="s">
        <v>1975</v>
      </c>
      <c r="D102" s="83" t="s">
        <v>639</v>
      </c>
      <c r="E102" s="83" t="s">
        <v>156</v>
      </c>
      <c r="F102" s="97">
        <v>43993</v>
      </c>
      <c r="G102" s="77">
        <v>482650</v>
      </c>
      <c r="H102" s="79">
        <v>-0.49359999999999998</v>
      </c>
      <c r="I102" s="77">
        <v>-2.3824099999999997</v>
      </c>
      <c r="J102" s="78">
        <f t="shared" si="1"/>
        <v>0.42316067118217754</v>
      </c>
      <c r="K102" s="78">
        <f>I102/'סכום נכסי הקרן'!$C$42</f>
        <v>-2.9466504351422437E-5</v>
      </c>
    </row>
    <row r="103" spans="2:11">
      <c r="B103" s="76" t="s">
        <v>1976</v>
      </c>
      <c r="C103" s="70" t="s">
        <v>1977</v>
      </c>
      <c r="D103" s="83" t="s">
        <v>639</v>
      </c>
      <c r="E103" s="83" t="s">
        <v>156</v>
      </c>
      <c r="F103" s="97">
        <v>43657</v>
      </c>
      <c r="G103" s="77">
        <v>383172</v>
      </c>
      <c r="H103" s="79">
        <v>-0.30740000000000001</v>
      </c>
      <c r="I103" s="77">
        <v>-1.1778599999999999</v>
      </c>
      <c r="J103" s="78">
        <f t="shared" si="1"/>
        <v>0.20921001345639065</v>
      </c>
      <c r="K103" s="78">
        <f>I103/'סכום נכסי הקרן'!$C$42</f>
        <v>-1.4568196412610102E-5</v>
      </c>
    </row>
    <row r="104" spans="2:11">
      <c r="B104" s="76" t="s">
        <v>1978</v>
      </c>
      <c r="C104" s="70" t="s">
        <v>1979</v>
      </c>
      <c r="D104" s="83" t="s">
        <v>639</v>
      </c>
      <c r="E104" s="83" t="s">
        <v>156</v>
      </c>
      <c r="F104" s="97">
        <v>43643</v>
      </c>
      <c r="G104" s="77">
        <v>90836.2</v>
      </c>
      <c r="H104" s="79">
        <v>0.88959999999999995</v>
      </c>
      <c r="I104" s="77">
        <v>0.80804999999999993</v>
      </c>
      <c r="J104" s="78">
        <f t="shared" si="1"/>
        <v>-0.1435248258480944</v>
      </c>
      <c r="K104" s="78">
        <f>I104/'סכום נכסי הקרן'!$C$42</f>
        <v>9.9942532314617986E-6</v>
      </c>
    </row>
    <row r="105" spans="2:11">
      <c r="B105" s="76" t="s">
        <v>1980</v>
      </c>
      <c r="C105" s="70" t="s">
        <v>1981</v>
      </c>
      <c r="D105" s="83" t="s">
        <v>639</v>
      </c>
      <c r="E105" s="83" t="s">
        <v>156</v>
      </c>
      <c r="F105" s="97">
        <v>43983</v>
      </c>
      <c r="G105" s="77">
        <v>519900</v>
      </c>
      <c r="H105" s="79">
        <v>-0.93420000000000003</v>
      </c>
      <c r="I105" s="77">
        <v>-4.8567999999999998</v>
      </c>
      <c r="J105" s="78">
        <f t="shared" si="1"/>
        <v>0.86265871441003017</v>
      </c>
      <c r="K105" s="78">
        <f>I105/'סכום נכסי הקרן'!$C$42</f>
        <v>-6.0070650448070865E-5</v>
      </c>
    </row>
    <row r="106" spans="2:11">
      <c r="B106" s="73"/>
      <c r="C106" s="70"/>
      <c r="D106" s="70"/>
      <c r="E106" s="70"/>
      <c r="F106" s="70"/>
      <c r="G106" s="77"/>
      <c r="H106" s="79"/>
      <c r="I106" s="70"/>
      <c r="J106" s="78"/>
      <c r="K106" s="70"/>
    </row>
    <row r="107" spans="2:11">
      <c r="B107" s="89" t="s">
        <v>221</v>
      </c>
      <c r="C107" s="72"/>
      <c r="D107" s="72"/>
      <c r="E107" s="72"/>
      <c r="F107" s="72"/>
      <c r="G107" s="80"/>
      <c r="H107" s="82"/>
      <c r="I107" s="80">
        <v>-0.89532333800000008</v>
      </c>
      <c r="J107" s="81">
        <f t="shared" ref="J107:J133" si="2">I107/$I$11</f>
        <v>0.15902620650230131</v>
      </c>
      <c r="K107" s="81">
        <f>I107/'סכום נכסי הקרן'!$C$42</f>
        <v>-1.107368128706103E-5</v>
      </c>
    </row>
    <row r="108" spans="2:11">
      <c r="B108" s="76" t="s">
        <v>1982</v>
      </c>
      <c r="C108" s="70" t="s">
        <v>1983</v>
      </c>
      <c r="D108" s="83" t="s">
        <v>639</v>
      </c>
      <c r="E108" s="83" t="s">
        <v>158</v>
      </c>
      <c r="F108" s="97">
        <v>43899</v>
      </c>
      <c r="G108" s="77">
        <v>1373.0481609999999</v>
      </c>
      <c r="H108" s="79">
        <v>-3.0228000000000002</v>
      </c>
      <c r="I108" s="77">
        <v>-4.1504992000000004E-2</v>
      </c>
      <c r="J108" s="78">
        <f t="shared" si="2"/>
        <v>7.3720645363858084E-3</v>
      </c>
      <c r="K108" s="78">
        <f>I108/'סכום נכסי הקרן'!$C$42</f>
        <v>-5.1334867943542618E-7</v>
      </c>
    </row>
    <row r="109" spans="2:11">
      <c r="B109" s="76" t="s">
        <v>1984</v>
      </c>
      <c r="C109" s="70" t="s">
        <v>1985</v>
      </c>
      <c r="D109" s="83" t="s">
        <v>639</v>
      </c>
      <c r="E109" s="83" t="s">
        <v>159</v>
      </c>
      <c r="F109" s="97">
        <v>43943</v>
      </c>
      <c r="G109" s="77">
        <v>3316.0369169999994</v>
      </c>
      <c r="H109" s="79">
        <v>-0.83030000000000004</v>
      </c>
      <c r="I109" s="77">
        <v>-2.7533742000000003E-2</v>
      </c>
      <c r="J109" s="78">
        <f t="shared" si="2"/>
        <v>4.8905086634445432E-3</v>
      </c>
      <c r="K109" s="78">
        <f>I109/'סכום נכסי הקרן'!$C$42</f>
        <v>-3.4054723093587709E-7</v>
      </c>
    </row>
    <row r="110" spans="2:11">
      <c r="B110" s="76" t="s">
        <v>1986</v>
      </c>
      <c r="C110" s="70" t="s">
        <v>1987</v>
      </c>
      <c r="D110" s="83" t="s">
        <v>639</v>
      </c>
      <c r="E110" s="83" t="s">
        <v>159</v>
      </c>
      <c r="F110" s="97">
        <v>43983</v>
      </c>
      <c r="G110" s="77">
        <v>1617.578984</v>
      </c>
      <c r="H110" s="79">
        <v>-1.4549000000000001</v>
      </c>
      <c r="I110" s="77">
        <v>-2.3533812999999997E-2</v>
      </c>
      <c r="J110" s="78">
        <f t="shared" si="2"/>
        <v>4.1800462995688634E-3</v>
      </c>
      <c r="K110" s="78">
        <f>I110/'סכום נכסי הקרן'!$C$42</f>
        <v>-2.9107466941880784E-7</v>
      </c>
    </row>
    <row r="111" spans="2:11">
      <c r="B111" s="76" t="s">
        <v>1988</v>
      </c>
      <c r="C111" s="70" t="s">
        <v>1989</v>
      </c>
      <c r="D111" s="83" t="s">
        <v>639</v>
      </c>
      <c r="E111" s="83" t="s">
        <v>158</v>
      </c>
      <c r="F111" s="97">
        <v>43958</v>
      </c>
      <c r="G111" s="77">
        <v>2141.5606130000001</v>
      </c>
      <c r="H111" s="79">
        <v>-3.5047999999999999</v>
      </c>
      <c r="I111" s="77">
        <v>-7.5057329999999992E-2</v>
      </c>
      <c r="J111" s="78">
        <f t="shared" si="2"/>
        <v>1.3331588660197947E-2</v>
      </c>
      <c r="K111" s="78">
        <f>I111/'סכום נכסי הקרן'!$C$42</f>
        <v>-9.2833607189826685E-7</v>
      </c>
    </row>
    <row r="112" spans="2:11">
      <c r="B112" s="76" t="s">
        <v>1990</v>
      </c>
      <c r="C112" s="70" t="s">
        <v>1991</v>
      </c>
      <c r="D112" s="83" t="s">
        <v>639</v>
      </c>
      <c r="E112" s="83" t="s">
        <v>158</v>
      </c>
      <c r="F112" s="97">
        <v>43962</v>
      </c>
      <c r="G112" s="77">
        <v>4283.5165999999999</v>
      </c>
      <c r="H112" s="79">
        <v>-3.4380000000000002</v>
      </c>
      <c r="I112" s="77">
        <v>-0.14726625600000001</v>
      </c>
      <c r="J112" s="78">
        <f t="shared" si="2"/>
        <v>2.6157247380361227E-2</v>
      </c>
      <c r="K112" s="78">
        <f>I112/'סכום נכסי הקרן'!$C$42</f>
        <v>-1.8214420579336436E-6</v>
      </c>
    </row>
    <row r="113" spans="2:11">
      <c r="B113" s="76" t="s">
        <v>1992</v>
      </c>
      <c r="C113" s="70" t="s">
        <v>1993</v>
      </c>
      <c r="D113" s="83" t="s">
        <v>639</v>
      </c>
      <c r="E113" s="83" t="s">
        <v>158</v>
      </c>
      <c r="F113" s="97">
        <v>43948</v>
      </c>
      <c r="G113" s="77">
        <v>4012.5987340000006</v>
      </c>
      <c r="H113" s="79">
        <v>-3.16</v>
      </c>
      <c r="I113" s="77">
        <v>-0.12679943599999999</v>
      </c>
      <c r="J113" s="78">
        <f t="shared" si="2"/>
        <v>2.2521956524394024E-2</v>
      </c>
      <c r="K113" s="78">
        <f>I113/'סכום נכסי הקרן'!$C$42</f>
        <v>-1.5683010618037663E-6</v>
      </c>
    </row>
    <row r="114" spans="2:11">
      <c r="B114" s="76" t="s">
        <v>1994</v>
      </c>
      <c r="C114" s="70" t="s">
        <v>1995</v>
      </c>
      <c r="D114" s="83" t="s">
        <v>639</v>
      </c>
      <c r="E114" s="83" t="s">
        <v>158</v>
      </c>
      <c r="F114" s="97">
        <v>43942</v>
      </c>
      <c r="G114" s="77">
        <v>2149.8634579999998</v>
      </c>
      <c r="H114" s="79">
        <v>-3.1707000000000001</v>
      </c>
      <c r="I114" s="77">
        <v>-6.8166043999999995E-2</v>
      </c>
      <c r="J114" s="78">
        <f t="shared" si="2"/>
        <v>1.2107567098389381E-2</v>
      </c>
      <c r="K114" s="78">
        <f>I114/'סכום נכסי הקרן'!$C$42</f>
        <v>-8.4310216635476413E-7</v>
      </c>
    </row>
    <row r="115" spans="2:11">
      <c r="B115" s="76" t="s">
        <v>1996</v>
      </c>
      <c r="C115" s="70" t="s">
        <v>1997</v>
      </c>
      <c r="D115" s="83" t="s">
        <v>639</v>
      </c>
      <c r="E115" s="83" t="s">
        <v>158</v>
      </c>
      <c r="F115" s="97">
        <v>43955</v>
      </c>
      <c r="G115" s="77">
        <v>1445.7361089999999</v>
      </c>
      <c r="H115" s="79">
        <v>-2.2568000000000001</v>
      </c>
      <c r="I115" s="77">
        <v>-3.2627454E-2</v>
      </c>
      <c r="J115" s="78">
        <f t="shared" si="2"/>
        <v>5.7952473896624107E-3</v>
      </c>
      <c r="K115" s="78">
        <f>I115/'סכום נכסי הקרן'!$C$42</f>
        <v>-4.0354809426875959E-7</v>
      </c>
    </row>
    <row r="116" spans="2:11">
      <c r="B116" s="76" t="s">
        <v>1998</v>
      </c>
      <c r="C116" s="70" t="s">
        <v>1999</v>
      </c>
      <c r="D116" s="83" t="s">
        <v>639</v>
      </c>
      <c r="E116" s="83" t="s">
        <v>158</v>
      </c>
      <c r="F116" s="97">
        <v>43955</v>
      </c>
      <c r="G116" s="77">
        <v>2170.9961739999999</v>
      </c>
      <c r="H116" s="79">
        <v>-2.0242</v>
      </c>
      <c r="I116" s="77">
        <v>-4.3945813E-2</v>
      </c>
      <c r="J116" s="78">
        <f t="shared" si="2"/>
        <v>7.8056000960063402E-3</v>
      </c>
      <c r="K116" s="78">
        <f>I116/'סכום נכסי הקרן'!$C$42</f>
        <v>-5.4353763205799878E-7</v>
      </c>
    </row>
    <row r="117" spans="2:11">
      <c r="B117" s="76" t="s">
        <v>2000</v>
      </c>
      <c r="C117" s="70" t="s">
        <v>2001</v>
      </c>
      <c r="D117" s="83" t="s">
        <v>639</v>
      </c>
      <c r="E117" s="83" t="s">
        <v>158</v>
      </c>
      <c r="F117" s="97">
        <v>43977</v>
      </c>
      <c r="G117" s="77">
        <v>1814.1880169999997</v>
      </c>
      <c r="H117" s="79">
        <v>-1.8202</v>
      </c>
      <c r="I117" s="77">
        <v>-3.3021892000000004E-2</v>
      </c>
      <c r="J117" s="78">
        <f t="shared" si="2"/>
        <v>5.8653069716905915E-3</v>
      </c>
      <c r="K117" s="78">
        <f>I117/'סכום נכסי הקרן'!$C$42</f>
        <v>-4.0842664541796001E-7</v>
      </c>
    </row>
    <row r="118" spans="2:11">
      <c r="B118" s="76" t="s">
        <v>2002</v>
      </c>
      <c r="C118" s="70" t="s">
        <v>2003</v>
      </c>
      <c r="D118" s="83" t="s">
        <v>639</v>
      </c>
      <c r="E118" s="83" t="s">
        <v>158</v>
      </c>
      <c r="F118" s="97">
        <v>43986</v>
      </c>
      <c r="G118" s="77">
        <v>1110.999681</v>
      </c>
      <c r="H118" s="79">
        <v>0.25030000000000002</v>
      </c>
      <c r="I118" s="77">
        <v>2.7804050000000001E-3</v>
      </c>
      <c r="J118" s="78">
        <f t="shared" si="2"/>
        <v>-4.9385204308170403E-4</v>
      </c>
      <c r="K118" s="78">
        <f>I118/'סכום נכסי הקרן'!$C$42</f>
        <v>3.4389049756849876E-8</v>
      </c>
    </row>
    <row r="119" spans="2:11">
      <c r="B119" s="76" t="s">
        <v>2004</v>
      </c>
      <c r="C119" s="70" t="s">
        <v>2005</v>
      </c>
      <c r="D119" s="83" t="s">
        <v>639</v>
      </c>
      <c r="E119" s="83" t="s">
        <v>158</v>
      </c>
      <c r="F119" s="97">
        <v>44004</v>
      </c>
      <c r="G119" s="77">
        <v>3707.4177970000001</v>
      </c>
      <c r="H119" s="79">
        <v>0.41949999999999998</v>
      </c>
      <c r="I119" s="77">
        <v>1.5553124999999999E-2</v>
      </c>
      <c r="J119" s="78">
        <f t="shared" si="2"/>
        <v>-2.7625265231342655E-3</v>
      </c>
      <c r="K119" s="78">
        <f>I119/'סכום נכסי הקרן'!$C$42</f>
        <v>1.9236664784429092E-7</v>
      </c>
    </row>
    <row r="120" spans="2:11">
      <c r="B120" s="76" t="s">
        <v>2006</v>
      </c>
      <c r="C120" s="70" t="s">
        <v>2007</v>
      </c>
      <c r="D120" s="83" t="s">
        <v>639</v>
      </c>
      <c r="E120" s="83" t="s">
        <v>158</v>
      </c>
      <c r="F120" s="97">
        <v>43894</v>
      </c>
      <c r="G120" s="77">
        <v>4079.1018840000006</v>
      </c>
      <c r="H120" s="79">
        <v>0.3095</v>
      </c>
      <c r="I120" s="77">
        <v>1.2624431E-2</v>
      </c>
      <c r="J120" s="78">
        <f t="shared" si="2"/>
        <v>-2.2423355741677921E-3</v>
      </c>
      <c r="K120" s="78">
        <f>I120/'סכום נכסי הקרן'!$C$42</f>
        <v>1.561435063636118E-7</v>
      </c>
    </row>
    <row r="121" spans="2:11">
      <c r="B121" s="76" t="s">
        <v>2008</v>
      </c>
      <c r="C121" s="70" t="s">
        <v>2009</v>
      </c>
      <c r="D121" s="83" t="s">
        <v>639</v>
      </c>
      <c r="E121" s="83" t="s">
        <v>158</v>
      </c>
      <c r="F121" s="97">
        <v>43894</v>
      </c>
      <c r="G121" s="77">
        <v>1379.600657</v>
      </c>
      <c r="H121" s="79">
        <v>0.31830000000000003</v>
      </c>
      <c r="I121" s="77">
        <v>4.3918389999999998E-3</v>
      </c>
      <c r="J121" s="78">
        <f t="shared" si="2"/>
        <v>-7.8007292571978103E-4</v>
      </c>
      <c r="K121" s="78">
        <f>I121/'סכום נכסי הקרן'!$C$42</f>
        <v>5.4319845452397689E-8</v>
      </c>
    </row>
    <row r="122" spans="2:11">
      <c r="B122" s="76" t="s">
        <v>2010</v>
      </c>
      <c r="C122" s="70" t="s">
        <v>2011</v>
      </c>
      <c r="D122" s="83" t="s">
        <v>639</v>
      </c>
      <c r="E122" s="83" t="s">
        <v>158</v>
      </c>
      <c r="F122" s="97">
        <v>44004</v>
      </c>
      <c r="G122" s="77">
        <v>2225.2216570000001</v>
      </c>
      <c r="H122" s="79">
        <v>0.45400000000000001</v>
      </c>
      <c r="I122" s="77">
        <v>1.0101720999999999E-2</v>
      </c>
      <c r="J122" s="78">
        <f t="shared" si="2"/>
        <v>-1.7942549932442769E-3</v>
      </c>
      <c r="K122" s="78">
        <f>I122/'סכום נכסי הקרן'!$C$42</f>
        <v>1.2494172111574224E-7</v>
      </c>
    </row>
    <row r="123" spans="2:11">
      <c r="B123" s="76" t="s">
        <v>2012</v>
      </c>
      <c r="C123" s="70" t="s">
        <v>2013</v>
      </c>
      <c r="D123" s="83" t="s">
        <v>639</v>
      </c>
      <c r="E123" s="83" t="s">
        <v>158</v>
      </c>
      <c r="F123" s="97">
        <v>43894</v>
      </c>
      <c r="G123" s="77">
        <v>2485.2061250000002</v>
      </c>
      <c r="H123" s="79">
        <v>0.33600000000000002</v>
      </c>
      <c r="I123" s="77">
        <v>8.351243999999999E-3</v>
      </c>
      <c r="J123" s="78">
        <f t="shared" si="2"/>
        <v>-1.4833374676256955E-3</v>
      </c>
      <c r="K123" s="78">
        <f>I123/'סכום נכסי הקרן'!$C$42</f>
        <v>1.0329119155216378E-7</v>
      </c>
    </row>
    <row r="124" spans="2:11">
      <c r="B124" s="76" t="s">
        <v>2014</v>
      </c>
      <c r="C124" s="70" t="s">
        <v>2015</v>
      </c>
      <c r="D124" s="83" t="s">
        <v>639</v>
      </c>
      <c r="E124" s="83" t="s">
        <v>158</v>
      </c>
      <c r="F124" s="97">
        <v>43895</v>
      </c>
      <c r="G124" s="77">
        <v>2970.1515559999998</v>
      </c>
      <c r="H124" s="79">
        <v>0.4899</v>
      </c>
      <c r="I124" s="77">
        <v>1.4551137E-2</v>
      </c>
      <c r="J124" s="78">
        <f t="shared" si="2"/>
        <v>-2.5845546733701662E-3</v>
      </c>
      <c r="K124" s="78">
        <f>I124/'סכום נכסי הקרן'!$C$42</f>
        <v>1.799736996271188E-7</v>
      </c>
    </row>
    <row r="125" spans="2:11">
      <c r="B125" s="76" t="s">
        <v>2016</v>
      </c>
      <c r="C125" s="70" t="s">
        <v>2017</v>
      </c>
      <c r="D125" s="83" t="s">
        <v>639</v>
      </c>
      <c r="E125" s="83" t="s">
        <v>158</v>
      </c>
      <c r="F125" s="97">
        <v>43895</v>
      </c>
      <c r="G125" s="77">
        <v>2975.5813520000002</v>
      </c>
      <c r="H125" s="79">
        <v>0.68279999999999996</v>
      </c>
      <c r="I125" s="77">
        <v>2.0317300999999999E-2</v>
      </c>
      <c r="J125" s="78">
        <f t="shared" si="2"/>
        <v>-3.6087334790276767E-3</v>
      </c>
      <c r="K125" s="78">
        <f>I125/'סכום נכסי הקרן'!$C$42</f>
        <v>2.5129169132334886E-7</v>
      </c>
    </row>
    <row r="126" spans="2:11">
      <c r="B126" s="76" t="s">
        <v>2018</v>
      </c>
      <c r="C126" s="70" t="s">
        <v>2019</v>
      </c>
      <c r="D126" s="83" t="s">
        <v>639</v>
      </c>
      <c r="E126" s="83" t="s">
        <v>158</v>
      </c>
      <c r="F126" s="97">
        <v>43895</v>
      </c>
      <c r="G126" s="77">
        <v>5601.2841280000002</v>
      </c>
      <c r="H126" s="79">
        <v>0.69159999999999999</v>
      </c>
      <c r="I126" s="77">
        <v>3.8737882000000001E-2</v>
      </c>
      <c r="J126" s="78">
        <f t="shared" si="2"/>
        <v>-6.8805739345016168E-3</v>
      </c>
      <c r="K126" s="78">
        <f>I126/'סכום נכסי הקרן'!$C$42</f>
        <v>4.7912406702368151E-7</v>
      </c>
    </row>
    <row r="127" spans="2:11">
      <c r="B127" s="76" t="s">
        <v>2020</v>
      </c>
      <c r="C127" s="70" t="s">
        <v>2021</v>
      </c>
      <c r="D127" s="83" t="s">
        <v>639</v>
      </c>
      <c r="E127" s="83" t="s">
        <v>158</v>
      </c>
      <c r="F127" s="97">
        <v>43990</v>
      </c>
      <c r="G127" s="77">
        <v>2686.7293430000004</v>
      </c>
      <c r="H127" s="79">
        <v>1.048</v>
      </c>
      <c r="I127" s="77">
        <v>2.8155923999999999E-2</v>
      </c>
      <c r="J127" s="78">
        <f t="shared" si="2"/>
        <v>-5.0010198486383044E-3</v>
      </c>
      <c r="K127" s="78">
        <f>I127/'סכום נכסי הקרן'!$C$42</f>
        <v>3.4824260184616401E-7</v>
      </c>
    </row>
    <row r="128" spans="2:11">
      <c r="B128" s="76" t="s">
        <v>2022</v>
      </c>
      <c r="C128" s="70" t="s">
        <v>2023</v>
      </c>
      <c r="D128" s="83" t="s">
        <v>639</v>
      </c>
      <c r="E128" s="83" t="s">
        <v>158</v>
      </c>
      <c r="F128" s="97">
        <v>44005</v>
      </c>
      <c r="G128" s="77">
        <v>1122.4259770000001</v>
      </c>
      <c r="H128" s="79">
        <v>1.331</v>
      </c>
      <c r="I128" s="77">
        <v>1.493913E-2</v>
      </c>
      <c r="J128" s="78">
        <f t="shared" si="2"/>
        <v>-2.6534695025951893E-3</v>
      </c>
      <c r="K128" s="78">
        <f>I128/'סכום נכסי הקרן'!$C$42</f>
        <v>1.8477253669664984E-7</v>
      </c>
    </row>
    <row r="129" spans="2:11">
      <c r="B129" s="76" t="s">
        <v>2024</v>
      </c>
      <c r="C129" s="70" t="s">
        <v>2025</v>
      </c>
      <c r="D129" s="83" t="s">
        <v>639</v>
      </c>
      <c r="E129" s="83" t="s">
        <v>159</v>
      </c>
      <c r="F129" s="97">
        <v>43908</v>
      </c>
      <c r="G129" s="77">
        <v>3186.1375370000001</v>
      </c>
      <c r="H129" s="79">
        <v>-4.0777000000000001</v>
      </c>
      <c r="I129" s="77">
        <v>-0.129919803</v>
      </c>
      <c r="J129" s="78">
        <f t="shared" si="2"/>
        <v>2.307619219082202E-2</v>
      </c>
      <c r="K129" s="78">
        <f>I129/'סכום נכסי הקרן'!$C$42</f>
        <v>-1.6068948839349425E-6</v>
      </c>
    </row>
    <row r="130" spans="2:11">
      <c r="B130" s="76" t="s">
        <v>2026</v>
      </c>
      <c r="C130" s="70" t="s">
        <v>2027</v>
      </c>
      <c r="D130" s="83" t="s">
        <v>639</v>
      </c>
      <c r="E130" s="83" t="s">
        <v>159</v>
      </c>
      <c r="F130" s="97">
        <v>43969</v>
      </c>
      <c r="G130" s="77">
        <v>1596.9137770000002</v>
      </c>
      <c r="H130" s="79">
        <v>-1.3412999999999999</v>
      </c>
      <c r="I130" s="77">
        <v>-2.1418996000000003E-2</v>
      </c>
      <c r="J130" s="78">
        <f t="shared" si="2"/>
        <v>3.8044151608700341E-3</v>
      </c>
      <c r="K130" s="78">
        <f>I130/'סכום נכסי הקרן'!$C$42</f>
        <v>-2.6491785160283071E-7</v>
      </c>
    </row>
    <row r="131" spans="2:11">
      <c r="B131" s="76" t="s">
        <v>2028</v>
      </c>
      <c r="C131" s="70" t="s">
        <v>2029</v>
      </c>
      <c r="D131" s="83" t="s">
        <v>639</v>
      </c>
      <c r="E131" s="83" t="s">
        <v>156</v>
      </c>
      <c r="F131" s="97">
        <v>43972</v>
      </c>
      <c r="G131" s="77">
        <v>1285.003512</v>
      </c>
      <c r="H131" s="79">
        <v>3.3300000000000003E-2</v>
      </c>
      <c r="I131" s="77">
        <v>4.2809399999999996E-4</v>
      </c>
      <c r="J131" s="78">
        <f t="shared" si="2"/>
        <v>-7.6037518466201494E-5</v>
      </c>
      <c r="K131" s="78">
        <f>I131/'סכום נכסי הקרן'!$C$42</f>
        <v>5.2948206705889576E-9</v>
      </c>
    </row>
    <row r="132" spans="2:11">
      <c r="B132" s="76" t="s">
        <v>2030</v>
      </c>
      <c r="C132" s="70" t="s">
        <v>2031</v>
      </c>
      <c r="D132" s="83" t="s">
        <v>639</v>
      </c>
      <c r="E132" s="83" t="s">
        <v>156</v>
      </c>
      <c r="F132" s="97">
        <v>43944</v>
      </c>
      <c r="G132" s="77">
        <v>5147.2</v>
      </c>
      <c r="H132" s="79">
        <v>-0.41110000000000002</v>
      </c>
      <c r="I132" s="77">
        <v>-2.1160000000000002E-2</v>
      </c>
      <c r="J132" s="78">
        <f t="shared" si="2"/>
        <v>3.758412616726289E-3</v>
      </c>
      <c r="K132" s="78">
        <f>I132/'סכום נכסי הקרן'!$C$42</f>
        <v>-2.6171449585759754E-7</v>
      </c>
    </row>
    <row r="133" spans="2:11">
      <c r="B133" s="76" t="s">
        <v>2032</v>
      </c>
      <c r="C133" s="70" t="s">
        <v>2033</v>
      </c>
      <c r="D133" s="83" t="s">
        <v>639</v>
      </c>
      <c r="E133" s="83" t="s">
        <v>156</v>
      </c>
      <c r="F133" s="97">
        <v>43872</v>
      </c>
      <c r="G133" s="77">
        <v>23666.71</v>
      </c>
      <c r="H133" s="79">
        <v>-1.159</v>
      </c>
      <c r="I133" s="77">
        <v>-0.27429999999999999</v>
      </c>
      <c r="J133" s="78">
        <f t="shared" si="2"/>
        <v>4.8720821397354487E-2</v>
      </c>
      <c r="K133" s="78">
        <f>I133/'סכום נכסי הקרן'!$C$42</f>
        <v>-3.3926411254129958E-6</v>
      </c>
    </row>
    <row r="134" spans="2:11">
      <c r="B134" s="73"/>
      <c r="C134" s="70"/>
      <c r="D134" s="70"/>
      <c r="E134" s="70"/>
      <c r="F134" s="70"/>
      <c r="G134" s="77"/>
      <c r="H134" s="79"/>
      <c r="I134" s="70"/>
      <c r="J134" s="78"/>
      <c r="K134" s="70"/>
    </row>
    <row r="135" spans="2:11">
      <c r="B135" s="71" t="s">
        <v>226</v>
      </c>
      <c r="C135" s="72"/>
      <c r="D135" s="72"/>
      <c r="E135" s="72"/>
      <c r="F135" s="72"/>
      <c r="G135" s="80"/>
      <c r="H135" s="82"/>
      <c r="I135" s="80">
        <v>6.2754783290000002</v>
      </c>
      <c r="J135" s="81">
        <f t="shared" ref="J135:J146" si="3">I135/$I$11</f>
        <v>-1.1146425769237245</v>
      </c>
      <c r="K135" s="81">
        <f>I135/'סכום נכסי הקרן'!$C$42</f>
        <v>7.7617374628521427E-5</v>
      </c>
    </row>
    <row r="136" spans="2:11">
      <c r="B136" s="89" t="s">
        <v>220</v>
      </c>
      <c r="C136" s="72"/>
      <c r="D136" s="72"/>
      <c r="E136" s="72"/>
      <c r="F136" s="72"/>
      <c r="G136" s="80"/>
      <c r="H136" s="82"/>
      <c r="I136" s="80">
        <v>6.2754783290000002</v>
      </c>
      <c r="J136" s="81">
        <f t="shared" si="3"/>
        <v>-1.1146425769237245</v>
      </c>
      <c r="K136" s="81">
        <f>I136/'סכום נכסי הקרן'!$C$42</f>
        <v>7.7617374628521427E-5</v>
      </c>
    </row>
    <row r="137" spans="2:11">
      <c r="B137" s="76" t="s">
        <v>2034</v>
      </c>
      <c r="C137" s="70" t="s">
        <v>2035</v>
      </c>
      <c r="D137" s="83" t="s">
        <v>639</v>
      </c>
      <c r="E137" s="83" t="s">
        <v>156</v>
      </c>
      <c r="F137" s="97">
        <v>43916</v>
      </c>
      <c r="G137" s="77">
        <v>2626.4586639999998</v>
      </c>
      <c r="H137" s="79">
        <v>15.3485</v>
      </c>
      <c r="I137" s="77">
        <v>0.40312268599999995</v>
      </c>
      <c r="J137" s="78">
        <f t="shared" si="3"/>
        <v>-7.1602145044942805E-2</v>
      </c>
      <c r="K137" s="78">
        <f>I137/'סכום נכסי הקרן'!$C$42</f>
        <v>4.9859664714201591E-6</v>
      </c>
    </row>
    <row r="138" spans="2:11">
      <c r="B138" s="76" t="s">
        <v>2034</v>
      </c>
      <c r="C138" s="70" t="s">
        <v>2036</v>
      </c>
      <c r="D138" s="83" t="s">
        <v>639</v>
      </c>
      <c r="E138" s="83" t="s">
        <v>156</v>
      </c>
      <c r="F138" s="97">
        <v>43923</v>
      </c>
      <c r="G138" s="77">
        <v>3675.4755679999998</v>
      </c>
      <c r="H138" s="79">
        <v>19.453700000000001</v>
      </c>
      <c r="I138" s="77">
        <v>0.71501649199999995</v>
      </c>
      <c r="J138" s="78">
        <f t="shared" si="3"/>
        <v>-0.12700033103497974</v>
      </c>
      <c r="K138" s="78">
        <f>I138/'סכום נכסי הקרן'!$C$42</f>
        <v>8.8435813201156847E-6</v>
      </c>
    </row>
    <row r="139" spans="2:11">
      <c r="B139" s="76" t="s">
        <v>2034</v>
      </c>
      <c r="C139" s="70" t="s">
        <v>2037</v>
      </c>
      <c r="D139" s="83" t="s">
        <v>639</v>
      </c>
      <c r="E139" s="83" t="s">
        <v>156</v>
      </c>
      <c r="F139" s="97">
        <v>43937</v>
      </c>
      <c r="G139" s="77">
        <v>3868.4222100000002</v>
      </c>
      <c r="H139" s="79">
        <v>10.391500000000001</v>
      </c>
      <c r="I139" s="77">
        <v>0.40198704800000001</v>
      </c>
      <c r="J139" s="78">
        <f t="shared" si="3"/>
        <v>-7.1400434450082997E-2</v>
      </c>
      <c r="K139" s="78">
        <f>I139/'סכום נכסי הקרן'!$C$42</f>
        <v>4.9719204918999934E-6</v>
      </c>
    </row>
    <row r="140" spans="2:11">
      <c r="B140" s="76" t="s">
        <v>2034</v>
      </c>
      <c r="C140" s="70" t="s">
        <v>2038</v>
      </c>
      <c r="D140" s="83" t="s">
        <v>639</v>
      </c>
      <c r="E140" s="83" t="s">
        <v>158</v>
      </c>
      <c r="F140" s="97">
        <v>43955</v>
      </c>
      <c r="G140" s="77">
        <v>7381.9793600000003</v>
      </c>
      <c r="H140" s="79">
        <v>10.423299999999999</v>
      </c>
      <c r="I140" s="77">
        <v>0.76944735799999986</v>
      </c>
      <c r="J140" s="78">
        <f t="shared" si="3"/>
        <v>-0.13666827307249096</v>
      </c>
      <c r="K140" s="78">
        <f>I140/'סכום נכסי הקרן'!$C$42</f>
        <v>9.5168018614333793E-6</v>
      </c>
    </row>
    <row r="141" spans="2:11">
      <c r="B141" s="76" t="s">
        <v>2034</v>
      </c>
      <c r="C141" s="70" t="s">
        <v>2039</v>
      </c>
      <c r="D141" s="83" t="s">
        <v>639</v>
      </c>
      <c r="E141" s="83" t="s">
        <v>156</v>
      </c>
      <c r="F141" s="97">
        <v>43956</v>
      </c>
      <c r="G141" s="77">
        <v>1317.9118410000001</v>
      </c>
      <c r="H141" s="79">
        <v>8.4291999999999998</v>
      </c>
      <c r="I141" s="77">
        <v>0.11108994699999999</v>
      </c>
      <c r="J141" s="78">
        <f t="shared" si="3"/>
        <v>-1.9731656824019599E-2</v>
      </c>
      <c r="K141" s="78">
        <f>I141/'סכום נכסי הקרן'!$C$42</f>
        <v>1.3740004477293112E-6</v>
      </c>
    </row>
    <row r="142" spans="2:11">
      <c r="B142" s="76" t="s">
        <v>2034</v>
      </c>
      <c r="C142" s="70" t="s">
        <v>2040</v>
      </c>
      <c r="D142" s="83" t="s">
        <v>639</v>
      </c>
      <c r="E142" s="83" t="s">
        <v>158</v>
      </c>
      <c r="F142" s="97">
        <v>43962</v>
      </c>
      <c r="G142" s="77">
        <v>11194.660970000001</v>
      </c>
      <c r="H142" s="79">
        <v>6.5860000000000003</v>
      </c>
      <c r="I142" s="77">
        <v>0.737275189</v>
      </c>
      <c r="J142" s="78">
        <f t="shared" si="3"/>
        <v>-0.13095389283255479</v>
      </c>
      <c r="K142" s="78">
        <f>I142/'סכום נכסי הקרן'!$C$42</f>
        <v>9.1188848959097312E-6</v>
      </c>
    </row>
    <row r="143" spans="2:11">
      <c r="B143" s="76" t="s">
        <v>2034</v>
      </c>
      <c r="C143" s="70" t="s">
        <v>2041</v>
      </c>
      <c r="D143" s="83" t="s">
        <v>639</v>
      </c>
      <c r="E143" s="83" t="s">
        <v>156</v>
      </c>
      <c r="F143" s="97">
        <v>43969</v>
      </c>
      <c r="G143" s="77">
        <v>13219.268190000001</v>
      </c>
      <c r="H143" s="79">
        <v>5.1536999999999997</v>
      </c>
      <c r="I143" s="77">
        <v>0.68128087500000001</v>
      </c>
      <c r="J143" s="78">
        <f t="shared" si="3"/>
        <v>-0.12100825312544072</v>
      </c>
      <c r="K143" s="78">
        <f>I143/'סכום נכסי הקרן'!$C$42</f>
        <v>8.4263270670154966E-6</v>
      </c>
    </row>
    <row r="144" spans="2:11">
      <c r="B144" s="76" t="s">
        <v>2034</v>
      </c>
      <c r="C144" s="70" t="s">
        <v>2042</v>
      </c>
      <c r="D144" s="83" t="s">
        <v>639</v>
      </c>
      <c r="E144" s="83" t="s">
        <v>156</v>
      </c>
      <c r="F144" s="97">
        <v>43971</v>
      </c>
      <c r="G144" s="77">
        <v>23063.483757000002</v>
      </c>
      <c r="H144" s="79">
        <v>4.5023</v>
      </c>
      <c r="I144" s="77">
        <v>1.038381684</v>
      </c>
      <c r="J144" s="78">
        <f t="shared" si="3"/>
        <v>-0.18443605019485304</v>
      </c>
      <c r="K144" s="78">
        <f>I144/'סכום נכסי הקרן'!$C$42</f>
        <v>1.2843078399613569E-5</v>
      </c>
    </row>
    <row r="145" spans="2:11">
      <c r="B145" s="76" t="s">
        <v>2034</v>
      </c>
      <c r="C145" s="70" t="s">
        <v>2043</v>
      </c>
      <c r="D145" s="83" t="s">
        <v>639</v>
      </c>
      <c r="E145" s="83" t="s">
        <v>158</v>
      </c>
      <c r="F145" s="97">
        <v>43956</v>
      </c>
      <c r="G145" s="77">
        <v>11172.729109</v>
      </c>
      <c r="H145" s="79">
        <v>8.0516000000000005</v>
      </c>
      <c r="I145" s="77">
        <v>0.899582769</v>
      </c>
      <c r="J145" s="78">
        <f t="shared" si="3"/>
        <v>-0.15978276128540503</v>
      </c>
      <c r="K145" s="78">
        <f>I145/'סכום נכסי הקרן'!$C$42</f>
        <v>1.112636346271345E-5</v>
      </c>
    </row>
    <row r="146" spans="2:11">
      <c r="B146" s="76" t="s">
        <v>2034</v>
      </c>
      <c r="C146" s="70" t="s">
        <v>2044</v>
      </c>
      <c r="D146" s="83" t="s">
        <v>639</v>
      </c>
      <c r="E146" s="83" t="s">
        <v>156</v>
      </c>
      <c r="F146" s="97">
        <v>43983</v>
      </c>
      <c r="G146" s="77">
        <v>33072.981194</v>
      </c>
      <c r="H146" s="79">
        <v>1.5670999999999999</v>
      </c>
      <c r="I146" s="77">
        <v>0.51829428099999997</v>
      </c>
      <c r="J146" s="78">
        <f t="shared" si="3"/>
        <v>-9.205877905895464E-2</v>
      </c>
      <c r="K146" s="78">
        <f>I146/'סכום נכסי הקרן'!$C$42</f>
        <v>6.4104502106706505E-6</v>
      </c>
    </row>
    <row r="147" spans="2:11">
      <c r="C147" s="1"/>
      <c r="D147" s="1"/>
    </row>
    <row r="148" spans="2:11">
      <c r="C148" s="1"/>
      <c r="D148" s="1"/>
    </row>
    <row r="149" spans="2:11">
      <c r="C149" s="1"/>
      <c r="D149" s="1"/>
    </row>
    <row r="150" spans="2:11">
      <c r="B150" s="85" t="s">
        <v>244</v>
      </c>
      <c r="C150" s="1"/>
      <c r="D150" s="1"/>
    </row>
    <row r="151" spans="2:11">
      <c r="B151" s="85" t="s">
        <v>105</v>
      </c>
      <c r="C151" s="1"/>
      <c r="D151" s="1"/>
    </row>
    <row r="152" spans="2:11">
      <c r="B152" s="85" t="s">
        <v>227</v>
      </c>
      <c r="C152" s="1"/>
      <c r="D152" s="1"/>
    </row>
    <row r="153" spans="2:11">
      <c r="B153" s="85" t="s">
        <v>235</v>
      </c>
      <c r="C153" s="1"/>
      <c r="D153" s="1"/>
    </row>
    <row r="154" spans="2:11">
      <c r="C154" s="1"/>
      <c r="D154" s="1"/>
    </row>
    <row r="155" spans="2:11">
      <c r="C155" s="1"/>
      <c r="D155" s="1"/>
    </row>
    <row r="156" spans="2:11">
      <c r="C156" s="1"/>
      <c r="D156" s="1"/>
    </row>
    <row r="157" spans="2:11">
      <c r="C157" s="1"/>
      <c r="D157" s="1"/>
    </row>
    <row r="158" spans="2:11">
      <c r="C158" s="1"/>
      <c r="D158" s="1"/>
    </row>
    <row r="159" spans="2:11">
      <c r="C159" s="1"/>
      <c r="D159" s="1"/>
    </row>
    <row r="160" spans="2:11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172</v>
      </c>
      <c r="C1" s="68" t="s" vm="1">
        <v>252</v>
      </c>
    </row>
    <row r="2" spans="2:78">
      <c r="B2" s="47" t="s">
        <v>171</v>
      </c>
      <c r="C2" s="68" t="s">
        <v>253</v>
      </c>
    </row>
    <row r="3" spans="2:78">
      <c r="B3" s="47" t="s">
        <v>173</v>
      </c>
      <c r="C3" s="68" t="s">
        <v>254</v>
      </c>
    </row>
    <row r="4" spans="2:78">
      <c r="B4" s="47" t="s">
        <v>174</v>
      </c>
      <c r="C4" s="68">
        <v>8602</v>
      </c>
    </row>
    <row r="6" spans="2:78" ht="26.25" customHeight="1">
      <c r="B6" s="123" t="s">
        <v>203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78" ht="26.25" customHeight="1">
      <c r="B7" s="123" t="s">
        <v>95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78" s="3" customFormat="1" ht="47.25">
      <c r="B8" s="22" t="s">
        <v>109</v>
      </c>
      <c r="C8" s="30" t="s">
        <v>41</v>
      </c>
      <c r="D8" s="30" t="s">
        <v>47</v>
      </c>
      <c r="E8" s="30" t="s">
        <v>14</v>
      </c>
      <c r="F8" s="30" t="s">
        <v>62</v>
      </c>
      <c r="G8" s="30" t="s">
        <v>97</v>
      </c>
      <c r="H8" s="30" t="s">
        <v>17</v>
      </c>
      <c r="I8" s="30" t="s">
        <v>96</v>
      </c>
      <c r="J8" s="30" t="s">
        <v>16</v>
      </c>
      <c r="K8" s="30" t="s">
        <v>18</v>
      </c>
      <c r="L8" s="30" t="s">
        <v>229</v>
      </c>
      <c r="M8" s="30" t="s">
        <v>228</v>
      </c>
      <c r="N8" s="30" t="s">
        <v>104</v>
      </c>
      <c r="O8" s="30" t="s">
        <v>55</v>
      </c>
      <c r="P8" s="30" t="s">
        <v>175</v>
      </c>
      <c r="Q8" s="31" t="s">
        <v>177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236</v>
      </c>
      <c r="M9" s="16"/>
      <c r="N9" s="16" t="s">
        <v>232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106</v>
      </c>
      <c r="R10" s="1"/>
      <c r="S10" s="1"/>
      <c r="T10" s="1"/>
      <c r="U10" s="1"/>
      <c r="V10" s="1"/>
    </row>
    <row r="11" spans="2:78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13">
        <v>0</v>
      </c>
      <c r="O11" s="69"/>
      <c r="P11" s="69"/>
      <c r="Q11" s="69"/>
      <c r="R11" s="1"/>
      <c r="S11" s="1"/>
      <c r="T11" s="1"/>
      <c r="U11" s="1"/>
      <c r="V11" s="1"/>
      <c r="BZ11" s="1"/>
    </row>
    <row r="12" spans="2:78" ht="18" customHeight="1">
      <c r="B12" s="85" t="s">
        <v>244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78">
      <c r="B13" s="85" t="s">
        <v>105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78">
      <c r="B14" s="85" t="s">
        <v>227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78">
      <c r="B15" s="85" t="s">
        <v>235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7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AH36:XFD39 D40:XFD1048576 D36:AF39 D1:M35 O1:XFD35 N1:N10 N12:N35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C102"/>
  <sheetViews>
    <sheetView rightToLeft="1" zoomScale="90" zoomScaleNormal="90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41.5703125" style="2" bestFit="1" customWidth="1"/>
    <col min="3" max="3" width="22.140625" style="2" customWidth="1"/>
    <col min="4" max="4" width="10.140625" style="2" bestFit="1" customWidth="1"/>
    <col min="5" max="5" width="11.285156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5.7109375" style="1" bestFit="1" customWidth="1"/>
    <col min="10" max="10" width="1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55">
      <c r="B1" s="47" t="s">
        <v>2127</v>
      </c>
      <c r="C1" s="68" t="s" vm="1">
        <v>252</v>
      </c>
    </row>
    <row r="2" spans="2:55">
      <c r="B2" s="47" t="s">
        <v>171</v>
      </c>
      <c r="C2" s="68" t="s">
        <v>253</v>
      </c>
    </row>
    <row r="3" spans="2:55">
      <c r="B3" s="47" t="s">
        <v>173</v>
      </c>
      <c r="C3" s="68" t="s">
        <v>254</v>
      </c>
    </row>
    <row r="4" spans="2:55">
      <c r="B4" s="47" t="s">
        <v>174</v>
      </c>
      <c r="C4" s="68">
        <v>8602</v>
      </c>
    </row>
    <row r="6" spans="2:55" ht="26.25" customHeight="1">
      <c r="B6" s="123" t="s">
        <v>204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55" s="3" customFormat="1" ht="78.75">
      <c r="B7" s="48" t="s">
        <v>109</v>
      </c>
      <c r="C7" s="49" t="s">
        <v>216</v>
      </c>
      <c r="D7" s="49" t="s">
        <v>41</v>
      </c>
      <c r="E7" s="49" t="s">
        <v>110</v>
      </c>
      <c r="F7" s="49" t="s">
        <v>14</v>
      </c>
      <c r="G7" s="49" t="s">
        <v>97</v>
      </c>
      <c r="H7" s="49" t="s">
        <v>62</v>
      </c>
      <c r="I7" s="49" t="s">
        <v>17</v>
      </c>
      <c r="J7" s="49" t="s">
        <v>251</v>
      </c>
      <c r="K7" s="49" t="s">
        <v>96</v>
      </c>
      <c r="L7" s="49" t="s">
        <v>33</v>
      </c>
      <c r="M7" s="49" t="s">
        <v>18</v>
      </c>
      <c r="N7" s="49" t="s">
        <v>229</v>
      </c>
      <c r="O7" s="49" t="s">
        <v>228</v>
      </c>
      <c r="P7" s="49" t="s">
        <v>104</v>
      </c>
      <c r="Q7" s="49" t="s">
        <v>175</v>
      </c>
      <c r="R7" s="51" t="s">
        <v>177</v>
      </c>
      <c r="BB7" s="3" t="s">
        <v>155</v>
      </c>
      <c r="BC7" s="3" t="s">
        <v>157</v>
      </c>
    </row>
    <row r="8" spans="2:55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236</v>
      </c>
      <c r="O8" s="16"/>
      <c r="P8" s="16" t="s">
        <v>232</v>
      </c>
      <c r="Q8" s="16" t="s">
        <v>19</v>
      </c>
      <c r="R8" s="17" t="s">
        <v>19</v>
      </c>
      <c r="BB8" s="3" t="s">
        <v>153</v>
      </c>
      <c r="BC8" s="3" t="s">
        <v>156</v>
      </c>
    </row>
    <row r="9" spans="2:55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106</v>
      </c>
      <c r="R9" s="20" t="s">
        <v>107</v>
      </c>
      <c r="BB9" s="4" t="s">
        <v>154</v>
      </c>
      <c r="BC9" s="4" t="s">
        <v>158</v>
      </c>
    </row>
    <row r="10" spans="2:55" s="4" customFormat="1" ht="18" customHeight="1">
      <c r="B10" s="87" t="s">
        <v>37</v>
      </c>
      <c r="C10" s="88"/>
      <c r="D10" s="88"/>
      <c r="E10" s="88"/>
      <c r="F10" s="88"/>
      <c r="G10" s="88"/>
      <c r="H10" s="88"/>
      <c r="I10" s="90">
        <v>5.0788175858384719</v>
      </c>
      <c r="J10" s="88"/>
      <c r="K10" s="88"/>
      <c r="L10" s="88"/>
      <c r="M10" s="91">
        <v>1.267253192829219E-2</v>
      </c>
      <c r="N10" s="90"/>
      <c r="O10" s="92"/>
      <c r="P10" s="90">
        <f>P11+P89</f>
        <v>1293.8344699999996</v>
      </c>
      <c r="Q10" s="93">
        <f>P10/$P$10</f>
        <v>1</v>
      </c>
      <c r="R10" s="93">
        <f>P10/'סכום נכסי הקרן'!$C$42</f>
        <v>1.6002610398829477E-2</v>
      </c>
      <c r="BB10" s="1" t="s">
        <v>26</v>
      </c>
      <c r="BC10" s="4" t="s">
        <v>159</v>
      </c>
    </row>
    <row r="11" spans="2:55" ht="21.75" customHeight="1">
      <c r="B11" s="71" t="s">
        <v>35</v>
      </c>
      <c r="C11" s="72"/>
      <c r="D11" s="72"/>
      <c r="E11" s="72"/>
      <c r="F11" s="72"/>
      <c r="G11" s="72"/>
      <c r="H11" s="72"/>
      <c r="I11" s="80">
        <v>5.2160469490549355</v>
      </c>
      <c r="J11" s="72"/>
      <c r="K11" s="72"/>
      <c r="L11" s="72"/>
      <c r="M11" s="94">
        <v>1.1005666667602665E-2</v>
      </c>
      <c r="N11" s="80"/>
      <c r="O11" s="82"/>
      <c r="P11" s="80">
        <f>P12</f>
        <v>1228.6381499999995</v>
      </c>
      <c r="Q11" s="81">
        <f t="shared" ref="Q11:Q74" si="0">P11/$P$10</f>
        <v>0.94960999918328037</v>
      </c>
      <c r="R11" s="81">
        <f>P11/'סכום נכסי הקרן'!$C$42</f>
        <v>1.5196238847762814E-2</v>
      </c>
      <c r="BC11" s="1" t="s">
        <v>165</v>
      </c>
    </row>
    <row r="12" spans="2:55">
      <c r="B12" s="89" t="s">
        <v>34</v>
      </c>
      <c r="C12" s="72"/>
      <c r="D12" s="72"/>
      <c r="E12" s="72"/>
      <c r="F12" s="72"/>
      <c r="G12" s="72"/>
      <c r="H12" s="72"/>
      <c r="I12" s="80">
        <v>5.2160469490549337</v>
      </c>
      <c r="J12" s="72"/>
      <c r="K12" s="72"/>
      <c r="L12" s="72"/>
      <c r="M12" s="94">
        <v>1.100566666760266E-2</v>
      </c>
      <c r="N12" s="80"/>
      <c r="O12" s="82"/>
      <c r="P12" s="80">
        <f>SUM(P13:P87)</f>
        <v>1228.6381499999995</v>
      </c>
      <c r="Q12" s="81">
        <f t="shared" si="0"/>
        <v>0.94960999918328037</v>
      </c>
      <c r="R12" s="81">
        <f>P12/'סכום נכסי הקרן'!$C$42</f>
        <v>1.5196238847762814E-2</v>
      </c>
      <c r="BC12" s="1" t="s">
        <v>160</v>
      </c>
    </row>
    <row r="13" spans="2:55">
      <c r="B13" s="76" t="s">
        <v>2107</v>
      </c>
      <c r="C13" s="83" t="s">
        <v>2090</v>
      </c>
      <c r="D13" s="70">
        <v>90148620</v>
      </c>
      <c r="E13" s="70"/>
      <c r="F13" s="70" t="s">
        <v>346</v>
      </c>
      <c r="G13" s="97">
        <v>42368</v>
      </c>
      <c r="H13" s="70" t="s">
        <v>284</v>
      </c>
      <c r="I13" s="77">
        <v>9.0500000000000007</v>
      </c>
      <c r="J13" s="83" t="s">
        <v>149</v>
      </c>
      <c r="K13" s="83" t="s">
        <v>157</v>
      </c>
      <c r="L13" s="84">
        <v>3.1699999999999999E-2</v>
      </c>
      <c r="M13" s="84">
        <v>7.4000000000000003E-3</v>
      </c>
      <c r="N13" s="77">
        <v>3683.71</v>
      </c>
      <c r="O13" s="79">
        <v>124.8</v>
      </c>
      <c r="P13" s="77">
        <v>4.5972600000000003</v>
      </c>
      <c r="Q13" s="78">
        <f t="shared" si="0"/>
        <v>3.5532056894418667E-3</v>
      </c>
      <c r="R13" s="78">
        <f>P13/'סכום נכסי הקרן'!$C$42</f>
        <v>5.6860566315042476E-5</v>
      </c>
      <c r="BC13" s="1" t="s">
        <v>161</v>
      </c>
    </row>
    <row r="14" spans="2:55">
      <c r="B14" s="76" t="s">
        <v>2107</v>
      </c>
      <c r="C14" s="83" t="s">
        <v>2090</v>
      </c>
      <c r="D14" s="70">
        <v>90148621</v>
      </c>
      <c r="E14" s="70"/>
      <c r="F14" s="70" t="s">
        <v>346</v>
      </c>
      <c r="G14" s="97">
        <v>42388</v>
      </c>
      <c r="H14" s="70" t="s">
        <v>284</v>
      </c>
      <c r="I14" s="77">
        <v>9.0399999999999991</v>
      </c>
      <c r="J14" s="83" t="s">
        <v>149</v>
      </c>
      <c r="K14" s="83" t="s">
        <v>157</v>
      </c>
      <c r="L14" s="84">
        <v>3.1899999999999998E-2</v>
      </c>
      <c r="M14" s="84">
        <v>7.6E-3</v>
      </c>
      <c r="N14" s="77">
        <v>5157.13</v>
      </c>
      <c r="O14" s="79">
        <v>124.88</v>
      </c>
      <c r="P14" s="77">
        <v>6.4402200000000001</v>
      </c>
      <c r="Q14" s="78">
        <f t="shared" si="0"/>
        <v>4.9776228330042889E-3</v>
      </c>
      <c r="R14" s="78">
        <f>P14/'סכום נכסי הקרן'!$C$42</f>
        <v>7.9654958908885476E-5</v>
      </c>
      <c r="BC14" s="1" t="s">
        <v>162</v>
      </c>
    </row>
    <row r="15" spans="2:55">
      <c r="B15" s="76" t="s">
        <v>2107</v>
      </c>
      <c r="C15" s="83" t="s">
        <v>2090</v>
      </c>
      <c r="D15" s="70">
        <v>90148622</v>
      </c>
      <c r="E15" s="70"/>
      <c r="F15" s="70" t="s">
        <v>346</v>
      </c>
      <c r="G15" s="97">
        <v>42509</v>
      </c>
      <c r="H15" s="70" t="s">
        <v>284</v>
      </c>
      <c r="I15" s="77">
        <v>9.11</v>
      </c>
      <c r="J15" s="83" t="s">
        <v>149</v>
      </c>
      <c r="K15" s="83" t="s">
        <v>157</v>
      </c>
      <c r="L15" s="84">
        <v>2.7400000000000001E-2</v>
      </c>
      <c r="M15" s="84">
        <v>1.0199999999999997E-2</v>
      </c>
      <c r="N15" s="77">
        <v>5157.13</v>
      </c>
      <c r="O15" s="79">
        <v>118.42</v>
      </c>
      <c r="P15" s="77">
        <v>6.1070900000000004</v>
      </c>
      <c r="Q15" s="78">
        <f t="shared" si="0"/>
        <v>4.7201478563173556E-3</v>
      </c>
      <c r="R15" s="78">
        <f>P15/'סכום נכסי הקרן'!$C$42</f>
        <v>7.553468716951679E-5</v>
      </c>
      <c r="BC15" s="1" t="s">
        <v>164</v>
      </c>
    </row>
    <row r="16" spans="2:55">
      <c r="B16" s="76" t="s">
        <v>2107</v>
      </c>
      <c r="C16" s="83" t="s">
        <v>2090</v>
      </c>
      <c r="D16" s="70">
        <v>90148623</v>
      </c>
      <c r="E16" s="70"/>
      <c r="F16" s="70" t="s">
        <v>346</v>
      </c>
      <c r="G16" s="97">
        <v>42723</v>
      </c>
      <c r="H16" s="70" t="s">
        <v>284</v>
      </c>
      <c r="I16" s="77">
        <v>8.9</v>
      </c>
      <c r="J16" s="83" t="s">
        <v>149</v>
      </c>
      <c r="K16" s="83" t="s">
        <v>157</v>
      </c>
      <c r="L16" s="84">
        <v>3.15E-2</v>
      </c>
      <c r="M16" s="84">
        <v>1.5899999999999997E-2</v>
      </c>
      <c r="N16" s="77">
        <v>736.76</v>
      </c>
      <c r="O16" s="79">
        <v>115.86</v>
      </c>
      <c r="P16" s="77">
        <v>0.85360000000000003</v>
      </c>
      <c r="Q16" s="78">
        <f t="shared" si="0"/>
        <v>6.5974436436215859E-4</v>
      </c>
      <c r="R16" s="78">
        <f>P16/'סכום נכסי הקרן'!$C$42</f>
        <v>1.0557632025711022E-5</v>
      </c>
      <c r="BC16" s="1" t="s">
        <v>163</v>
      </c>
    </row>
    <row r="17" spans="2:55">
      <c r="B17" s="76" t="s">
        <v>2107</v>
      </c>
      <c r="C17" s="83" t="s">
        <v>2090</v>
      </c>
      <c r="D17" s="70">
        <v>90148624</v>
      </c>
      <c r="E17" s="70"/>
      <c r="F17" s="70" t="s">
        <v>346</v>
      </c>
      <c r="G17" s="97">
        <v>42918</v>
      </c>
      <c r="H17" s="70" t="s">
        <v>284</v>
      </c>
      <c r="I17" s="77">
        <v>8.8000000000000007</v>
      </c>
      <c r="J17" s="83" t="s">
        <v>149</v>
      </c>
      <c r="K17" s="83" t="s">
        <v>157</v>
      </c>
      <c r="L17" s="84">
        <v>3.1899999999999998E-2</v>
      </c>
      <c r="M17" s="84">
        <v>2.0300000000000002E-2</v>
      </c>
      <c r="N17" s="77">
        <v>3683.71</v>
      </c>
      <c r="O17" s="79">
        <v>111.11</v>
      </c>
      <c r="P17" s="77">
        <v>4.0929799999999998</v>
      </c>
      <c r="Q17" s="78">
        <f t="shared" si="0"/>
        <v>3.1634494944318505E-3</v>
      </c>
      <c r="R17" s="78">
        <f>P17/'סכום נכסי הקרן'!$C$42</f>
        <v>5.0623449775766984E-5</v>
      </c>
      <c r="BC17" s="1" t="s">
        <v>166</v>
      </c>
    </row>
    <row r="18" spans="2:55">
      <c r="B18" s="76" t="s">
        <v>2108</v>
      </c>
      <c r="C18" s="83" t="s">
        <v>2090</v>
      </c>
      <c r="D18" s="70">
        <v>90148625</v>
      </c>
      <c r="E18" s="70"/>
      <c r="F18" s="70" t="s">
        <v>346</v>
      </c>
      <c r="G18" s="97">
        <v>43915</v>
      </c>
      <c r="H18" s="70" t="s">
        <v>284</v>
      </c>
      <c r="I18" s="77">
        <v>8.9999999999999982</v>
      </c>
      <c r="J18" s="83" t="s">
        <v>149</v>
      </c>
      <c r="K18" s="83" t="s">
        <v>157</v>
      </c>
      <c r="L18" s="84">
        <v>2.6600000000000002E-2</v>
      </c>
      <c r="M18" s="84">
        <v>1.6899999999999998E-2</v>
      </c>
      <c r="N18" s="77">
        <v>7755.13</v>
      </c>
      <c r="O18" s="79">
        <v>109.07</v>
      </c>
      <c r="P18" s="77">
        <v>8.45852</v>
      </c>
      <c r="Q18" s="78">
        <f t="shared" si="0"/>
        <v>6.5375596307926491E-3</v>
      </c>
      <c r="R18" s="78">
        <f>P18/'סכום נכסי הקרן'!$C$42</f>
        <v>1.0461801973069025E-4</v>
      </c>
      <c r="BC18" s="1" t="s">
        <v>167</v>
      </c>
    </row>
    <row r="19" spans="2:55">
      <c r="B19" s="76" t="s">
        <v>2110</v>
      </c>
      <c r="C19" s="83" t="s">
        <v>2090</v>
      </c>
      <c r="D19" s="70">
        <v>90150400</v>
      </c>
      <c r="E19" s="70"/>
      <c r="F19" s="70" t="s">
        <v>381</v>
      </c>
      <c r="G19" s="97">
        <v>42186</v>
      </c>
      <c r="H19" s="70" t="s">
        <v>153</v>
      </c>
      <c r="I19" s="77">
        <v>3.6899999999999995</v>
      </c>
      <c r="J19" s="83" t="s">
        <v>149</v>
      </c>
      <c r="K19" s="83" t="s">
        <v>156</v>
      </c>
      <c r="L19" s="84">
        <v>9.8519999999999996E-2</v>
      </c>
      <c r="M19" s="84">
        <v>1.5899999999999997E-2</v>
      </c>
      <c r="N19" s="77">
        <v>5984.51</v>
      </c>
      <c r="O19" s="79">
        <v>132.72999999999999</v>
      </c>
      <c r="P19" s="77">
        <v>27.531269999999999</v>
      </c>
      <c r="Q19" s="78">
        <f t="shared" si="0"/>
        <v>2.1278819384059237E-2</v>
      </c>
      <c r="R19" s="78">
        <f>P19/'סכום נכסי הקרן'!$C$42</f>
        <v>3.405166563501606E-4</v>
      </c>
      <c r="BC19" s="1" t="s">
        <v>168</v>
      </c>
    </row>
    <row r="20" spans="2:55">
      <c r="B20" s="76" t="s">
        <v>2110</v>
      </c>
      <c r="C20" s="83" t="s">
        <v>2090</v>
      </c>
      <c r="D20" s="70">
        <v>90150520</v>
      </c>
      <c r="E20" s="70"/>
      <c r="F20" s="70" t="s">
        <v>381</v>
      </c>
      <c r="G20" s="97">
        <v>38533</v>
      </c>
      <c r="H20" s="70" t="s">
        <v>153</v>
      </c>
      <c r="I20" s="77">
        <v>3.6</v>
      </c>
      <c r="J20" s="83" t="s">
        <v>149</v>
      </c>
      <c r="K20" s="83" t="s">
        <v>157</v>
      </c>
      <c r="L20" s="84">
        <v>3.8452E-2</v>
      </c>
      <c r="M20" s="84">
        <v>3.9000000000000003E-3</v>
      </c>
      <c r="N20" s="77">
        <v>170736.63</v>
      </c>
      <c r="O20" s="79">
        <v>144.38</v>
      </c>
      <c r="P20" s="77">
        <v>246.50964000000002</v>
      </c>
      <c r="Q20" s="78">
        <f t="shared" si="0"/>
        <v>0.1905264125479669</v>
      </c>
      <c r="R20" s="78">
        <f>P20/'סכום נכסי הקרן'!$C$42</f>
        <v>3.0489199506917703E-3</v>
      </c>
      <c r="BC20" s="1" t="s">
        <v>169</v>
      </c>
    </row>
    <row r="21" spans="2:55">
      <c r="B21" s="76" t="s">
        <v>2109</v>
      </c>
      <c r="C21" s="83" t="s">
        <v>2090</v>
      </c>
      <c r="D21" s="70">
        <v>91102799</v>
      </c>
      <c r="E21" s="70"/>
      <c r="F21" s="70" t="s">
        <v>381</v>
      </c>
      <c r="G21" s="97">
        <v>41339</v>
      </c>
      <c r="H21" s="70" t="s">
        <v>153</v>
      </c>
      <c r="I21" s="77">
        <v>1.49</v>
      </c>
      <c r="J21" s="83" t="s">
        <v>635</v>
      </c>
      <c r="K21" s="83" t="s">
        <v>157</v>
      </c>
      <c r="L21" s="84">
        <v>4.7500000000000001E-2</v>
      </c>
      <c r="M21" s="84">
        <v>9.5000000000000015E-3</v>
      </c>
      <c r="N21" s="77">
        <v>38231.39</v>
      </c>
      <c r="O21" s="79">
        <v>109.97</v>
      </c>
      <c r="P21" s="77">
        <v>42.043059999999997</v>
      </c>
      <c r="Q21" s="78">
        <f t="shared" si="0"/>
        <v>3.2494929587090077E-2</v>
      </c>
      <c r="R21" s="78">
        <f>P21/'סכום נכסי הקרן'!$C$42</f>
        <v>5.2000369811959935E-4</v>
      </c>
      <c r="BC21" s="1" t="s">
        <v>170</v>
      </c>
    </row>
    <row r="22" spans="2:55">
      <c r="B22" s="76" t="s">
        <v>2109</v>
      </c>
      <c r="C22" s="83" t="s">
        <v>2090</v>
      </c>
      <c r="D22" s="70">
        <v>91102798</v>
      </c>
      <c r="E22" s="70"/>
      <c r="F22" s="70" t="s">
        <v>381</v>
      </c>
      <c r="G22" s="97">
        <v>41339</v>
      </c>
      <c r="H22" s="70" t="s">
        <v>153</v>
      </c>
      <c r="I22" s="77">
        <v>1.49</v>
      </c>
      <c r="J22" s="83" t="s">
        <v>635</v>
      </c>
      <c r="K22" s="83" t="s">
        <v>157</v>
      </c>
      <c r="L22" s="84">
        <v>4.4999999999999998E-2</v>
      </c>
      <c r="M22" s="84">
        <v>9.0000000000000011E-3</v>
      </c>
      <c r="N22" s="77">
        <v>65026.92</v>
      </c>
      <c r="O22" s="79">
        <v>109.54</v>
      </c>
      <c r="P22" s="77">
        <v>71.23048</v>
      </c>
      <c r="Q22" s="78">
        <f t="shared" si="0"/>
        <v>5.5053781338813786E-2</v>
      </c>
      <c r="R22" s="78">
        <f>P22/'סכום נכסי הקרן'!$C$42</f>
        <v>8.8100421374738569E-4</v>
      </c>
      <c r="BC22" s="1" t="s">
        <v>26</v>
      </c>
    </row>
    <row r="23" spans="2:55">
      <c r="B23" s="76" t="s">
        <v>2111</v>
      </c>
      <c r="C23" s="83" t="s">
        <v>2091</v>
      </c>
      <c r="D23" s="70">
        <v>14811160</v>
      </c>
      <c r="E23" s="70"/>
      <c r="F23" s="70" t="s">
        <v>2092</v>
      </c>
      <c r="G23" s="97">
        <v>42201</v>
      </c>
      <c r="H23" s="70" t="s">
        <v>2089</v>
      </c>
      <c r="I23" s="77">
        <v>6.61</v>
      </c>
      <c r="J23" s="83" t="s">
        <v>345</v>
      </c>
      <c r="K23" s="83" t="s">
        <v>157</v>
      </c>
      <c r="L23" s="84">
        <v>4.2030000000000005E-2</v>
      </c>
      <c r="M23" s="84">
        <v>1.7899999999999999E-2</v>
      </c>
      <c r="N23" s="77">
        <v>4764</v>
      </c>
      <c r="O23" s="79">
        <v>117.89</v>
      </c>
      <c r="P23" s="77">
        <v>5.6162799999999997</v>
      </c>
      <c r="Q23" s="78">
        <f t="shared" si="0"/>
        <v>4.3408025757730832E-3</v>
      </c>
      <c r="R23" s="78">
        <f>P23/'סכום נכסי הקרן'!$C$42</f>
        <v>6.9464172438332125E-5</v>
      </c>
    </row>
    <row r="24" spans="2:55">
      <c r="B24" s="76" t="s">
        <v>2111</v>
      </c>
      <c r="C24" s="83" t="s">
        <v>2090</v>
      </c>
      <c r="D24" s="70">
        <v>14760843</v>
      </c>
      <c r="E24" s="70"/>
      <c r="F24" s="70" t="s">
        <v>2092</v>
      </c>
      <c r="G24" s="97">
        <v>40742</v>
      </c>
      <c r="H24" s="70" t="s">
        <v>2089</v>
      </c>
      <c r="I24" s="77">
        <v>4.6899999999999995</v>
      </c>
      <c r="J24" s="83" t="s">
        <v>345</v>
      </c>
      <c r="K24" s="83" t="s">
        <v>157</v>
      </c>
      <c r="L24" s="84">
        <v>4.4999999999999998E-2</v>
      </c>
      <c r="M24" s="84">
        <v>1.2999999999999999E-3</v>
      </c>
      <c r="N24" s="77">
        <v>57191.15</v>
      </c>
      <c r="O24" s="79">
        <v>126.67</v>
      </c>
      <c r="P24" s="77">
        <v>72.444029999999998</v>
      </c>
      <c r="Q24" s="78">
        <f t="shared" si="0"/>
        <v>5.5991729761226738E-2</v>
      </c>
      <c r="R24" s="78">
        <f>P24/'סכום נכסי הקרן'!$C$42</f>
        <v>8.9601383692545697E-4</v>
      </c>
    </row>
    <row r="25" spans="2:55">
      <c r="B25" s="76" t="s">
        <v>2112</v>
      </c>
      <c r="C25" s="83" t="s">
        <v>2091</v>
      </c>
      <c r="D25" s="70">
        <v>472710</v>
      </c>
      <c r="E25" s="70"/>
      <c r="F25" s="70" t="s">
        <v>2093</v>
      </c>
      <c r="G25" s="97">
        <v>42901</v>
      </c>
      <c r="H25" s="70" t="s">
        <v>2089</v>
      </c>
      <c r="I25" s="77">
        <v>2.2800000000000002</v>
      </c>
      <c r="J25" s="83" t="s">
        <v>184</v>
      </c>
      <c r="K25" s="83" t="s">
        <v>157</v>
      </c>
      <c r="L25" s="84">
        <v>0.04</v>
      </c>
      <c r="M25" s="84">
        <v>2.2499999999999996E-2</v>
      </c>
      <c r="N25" s="77">
        <v>29168.799999999999</v>
      </c>
      <c r="O25" s="79">
        <v>104.18</v>
      </c>
      <c r="P25" s="77">
        <v>30.388060000000003</v>
      </c>
      <c r="Q25" s="78">
        <f t="shared" si="0"/>
        <v>2.3486822081653161E-2</v>
      </c>
      <c r="R25" s="78">
        <f>P25/'סכום נכסי הקרן'!$C$42</f>
        <v>3.7585046327932067E-4</v>
      </c>
    </row>
    <row r="26" spans="2:55">
      <c r="B26" s="76" t="s">
        <v>2113</v>
      </c>
      <c r="C26" s="83" t="s">
        <v>2091</v>
      </c>
      <c r="D26" s="70">
        <v>4069</v>
      </c>
      <c r="E26" s="70"/>
      <c r="F26" s="70" t="s">
        <v>470</v>
      </c>
      <c r="G26" s="97">
        <v>42052</v>
      </c>
      <c r="H26" s="70" t="s">
        <v>153</v>
      </c>
      <c r="I26" s="77">
        <v>5.34</v>
      </c>
      <c r="J26" s="83" t="s">
        <v>409</v>
      </c>
      <c r="K26" s="83" t="s">
        <v>157</v>
      </c>
      <c r="L26" s="84">
        <v>2.9779E-2</v>
      </c>
      <c r="M26" s="84">
        <v>7.4000000000000003E-3</v>
      </c>
      <c r="N26" s="77">
        <v>16501.14</v>
      </c>
      <c r="O26" s="79">
        <v>113.98</v>
      </c>
      <c r="P26" s="77">
        <v>18.808</v>
      </c>
      <c r="Q26" s="78">
        <f t="shared" si="0"/>
        <v>1.4536635432197138E-2</v>
      </c>
      <c r="R26" s="78">
        <f>P26/'סכום נכסי הקרן'!$C$42</f>
        <v>2.3262411333127098E-4</v>
      </c>
    </row>
    <row r="27" spans="2:55">
      <c r="B27" s="76" t="s">
        <v>2114</v>
      </c>
      <c r="C27" s="83" t="s">
        <v>2090</v>
      </c>
      <c r="D27" s="70">
        <v>90145563</v>
      </c>
      <c r="E27" s="70"/>
      <c r="F27" s="70" t="s">
        <v>470</v>
      </c>
      <c r="G27" s="97">
        <v>42122</v>
      </c>
      <c r="H27" s="70" t="s">
        <v>153</v>
      </c>
      <c r="I27" s="77">
        <v>5.54</v>
      </c>
      <c r="J27" s="83" t="s">
        <v>409</v>
      </c>
      <c r="K27" s="83" t="s">
        <v>157</v>
      </c>
      <c r="L27" s="84">
        <v>2.4799999999999999E-2</v>
      </c>
      <c r="M27" s="84">
        <v>1.3599999999999999E-2</v>
      </c>
      <c r="N27" s="77">
        <v>94022.07</v>
      </c>
      <c r="O27" s="79">
        <v>107.63</v>
      </c>
      <c r="P27" s="77">
        <v>101.19596</v>
      </c>
      <c r="Q27" s="78">
        <f t="shared" si="0"/>
        <v>7.821399286108062E-2</v>
      </c>
      <c r="R27" s="78">
        <f>P27/'סכום נכסי הקרן'!$C$42</f>
        <v>1.2516280554927034E-3</v>
      </c>
    </row>
    <row r="28" spans="2:55">
      <c r="B28" s="76" t="s">
        <v>2115</v>
      </c>
      <c r="C28" s="83" t="s">
        <v>2091</v>
      </c>
      <c r="D28" s="70">
        <v>4100</v>
      </c>
      <c r="E28" s="70"/>
      <c r="F28" s="70" t="s">
        <v>470</v>
      </c>
      <c r="G28" s="97">
        <v>42052</v>
      </c>
      <c r="H28" s="70" t="s">
        <v>153</v>
      </c>
      <c r="I28" s="77">
        <v>5.3500000000000005</v>
      </c>
      <c r="J28" s="83" t="s">
        <v>409</v>
      </c>
      <c r="K28" s="83" t="s">
        <v>157</v>
      </c>
      <c r="L28" s="84">
        <v>2.9779E-2</v>
      </c>
      <c r="M28" s="84">
        <v>6.8999999999999999E-3</v>
      </c>
      <c r="N28" s="77">
        <v>13678.86</v>
      </c>
      <c r="O28" s="79">
        <v>114.26</v>
      </c>
      <c r="P28" s="77">
        <v>15.62947</v>
      </c>
      <c r="Q28" s="78">
        <f t="shared" si="0"/>
        <v>1.2079961047876554E-2</v>
      </c>
      <c r="R28" s="78">
        <f>P28/'סכום נכסי הקרן'!$C$42</f>
        <v>1.9331091028220435E-4</v>
      </c>
    </row>
    <row r="29" spans="2:55">
      <c r="B29" s="76" t="s">
        <v>2116</v>
      </c>
      <c r="C29" s="83" t="s">
        <v>2090</v>
      </c>
      <c r="D29" s="70">
        <v>95350502</v>
      </c>
      <c r="E29" s="70"/>
      <c r="F29" s="70" t="s">
        <v>470</v>
      </c>
      <c r="G29" s="97">
        <v>41767</v>
      </c>
      <c r="H29" s="70" t="s">
        <v>153</v>
      </c>
      <c r="I29" s="77">
        <v>5.9099999999999993</v>
      </c>
      <c r="J29" s="83" t="s">
        <v>409</v>
      </c>
      <c r="K29" s="83" t="s">
        <v>157</v>
      </c>
      <c r="L29" s="84">
        <v>5.3499999999999999E-2</v>
      </c>
      <c r="M29" s="84">
        <v>1.5399999999999999E-2</v>
      </c>
      <c r="N29" s="77">
        <v>1285.6600000000001</v>
      </c>
      <c r="O29" s="79">
        <v>125.69</v>
      </c>
      <c r="P29" s="77">
        <v>1.6159600000000001</v>
      </c>
      <c r="Q29" s="78">
        <f t="shared" si="0"/>
        <v>1.2489696614745476E-3</v>
      </c>
      <c r="R29" s="78">
        <f>P29/'סכום נכסי הקרן'!$C$42</f>
        <v>1.9986774892535126E-5</v>
      </c>
    </row>
    <row r="30" spans="2:55">
      <c r="B30" s="76" t="s">
        <v>2116</v>
      </c>
      <c r="C30" s="83" t="s">
        <v>2090</v>
      </c>
      <c r="D30" s="70">
        <v>95350101</v>
      </c>
      <c r="E30" s="70"/>
      <c r="F30" s="70" t="s">
        <v>470</v>
      </c>
      <c r="G30" s="97">
        <v>41269</v>
      </c>
      <c r="H30" s="70" t="s">
        <v>153</v>
      </c>
      <c r="I30" s="77">
        <v>6.05</v>
      </c>
      <c r="J30" s="83" t="s">
        <v>409</v>
      </c>
      <c r="K30" s="83" t="s">
        <v>157</v>
      </c>
      <c r="L30" s="84">
        <v>5.3499999999999999E-2</v>
      </c>
      <c r="M30" s="84">
        <v>4.3E-3</v>
      </c>
      <c r="N30" s="77">
        <v>6385.41</v>
      </c>
      <c r="O30" s="79">
        <v>136.26</v>
      </c>
      <c r="P30" s="77">
        <v>8.7007600000000007</v>
      </c>
      <c r="Q30" s="78">
        <f t="shared" si="0"/>
        <v>6.7247860539687149E-3</v>
      </c>
      <c r="R30" s="78">
        <f>P30/'סכום נכסי הקרן'!$C$42</f>
        <v>1.0761413123714321E-4</v>
      </c>
    </row>
    <row r="31" spans="2:55">
      <c r="B31" s="76" t="s">
        <v>2116</v>
      </c>
      <c r="C31" s="83" t="s">
        <v>2090</v>
      </c>
      <c r="D31" s="70">
        <v>95350102</v>
      </c>
      <c r="E31" s="70"/>
      <c r="F31" s="70" t="s">
        <v>470</v>
      </c>
      <c r="G31" s="97">
        <v>41767</v>
      </c>
      <c r="H31" s="70" t="s">
        <v>153</v>
      </c>
      <c r="I31" s="77">
        <v>6.42</v>
      </c>
      <c r="J31" s="83" t="s">
        <v>409</v>
      </c>
      <c r="K31" s="83" t="s">
        <v>157</v>
      </c>
      <c r="L31" s="84">
        <v>5.3499999999999999E-2</v>
      </c>
      <c r="M31" s="84">
        <v>1.8499999999999999E-2</v>
      </c>
      <c r="N31" s="77">
        <v>1006.19</v>
      </c>
      <c r="O31" s="79">
        <v>125.69</v>
      </c>
      <c r="P31" s="77">
        <v>1.2646900000000001</v>
      </c>
      <c r="Q31" s="78">
        <f t="shared" si="0"/>
        <v>9.7747434414852206E-4</v>
      </c>
      <c r="R31" s="78">
        <f>P31/'סכום נכסי הקרן'!$C$42</f>
        <v>1.564214110426016E-5</v>
      </c>
    </row>
    <row r="32" spans="2:55">
      <c r="B32" s="76" t="s">
        <v>2116</v>
      </c>
      <c r="C32" s="83" t="s">
        <v>2090</v>
      </c>
      <c r="D32" s="70">
        <v>95350202</v>
      </c>
      <c r="E32" s="70"/>
      <c r="F32" s="70" t="s">
        <v>470</v>
      </c>
      <c r="G32" s="97">
        <v>41767</v>
      </c>
      <c r="H32" s="70" t="s">
        <v>153</v>
      </c>
      <c r="I32" s="77">
        <v>5.91</v>
      </c>
      <c r="J32" s="83" t="s">
        <v>409</v>
      </c>
      <c r="K32" s="83" t="s">
        <v>157</v>
      </c>
      <c r="L32" s="84">
        <v>5.3499999999999999E-2</v>
      </c>
      <c r="M32" s="84">
        <v>1.54E-2</v>
      </c>
      <c r="N32" s="77">
        <v>1285.72</v>
      </c>
      <c r="O32" s="79">
        <v>125.69</v>
      </c>
      <c r="P32" s="77">
        <v>1.6160300000000001</v>
      </c>
      <c r="Q32" s="78">
        <f t="shared" si="0"/>
        <v>1.2490237642223279E-3</v>
      </c>
      <c r="R32" s="78">
        <f>P32/'סכום נכסי הקרן'!$C$42</f>
        <v>1.9987640677729361E-5</v>
      </c>
    </row>
    <row r="33" spans="2:18">
      <c r="B33" s="76" t="s">
        <v>2116</v>
      </c>
      <c r="C33" s="83" t="s">
        <v>2090</v>
      </c>
      <c r="D33" s="70">
        <v>95350201</v>
      </c>
      <c r="E33" s="70"/>
      <c r="F33" s="70" t="s">
        <v>470</v>
      </c>
      <c r="G33" s="97">
        <v>41269</v>
      </c>
      <c r="H33" s="70" t="s">
        <v>153</v>
      </c>
      <c r="I33" s="77">
        <v>6.0500000000000007</v>
      </c>
      <c r="J33" s="83" t="s">
        <v>409</v>
      </c>
      <c r="K33" s="83" t="s">
        <v>157</v>
      </c>
      <c r="L33" s="84">
        <v>5.3499999999999999E-2</v>
      </c>
      <c r="M33" s="84">
        <v>4.3000000000000009E-3</v>
      </c>
      <c r="N33" s="77">
        <v>6784.8</v>
      </c>
      <c r="O33" s="79">
        <v>136.26</v>
      </c>
      <c r="P33" s="77">
        <v>9.244959999999999</v>
      </c>
      <c r="Q33" s="78">
        <f t="shared" si="0"/>
        <v>7.1453962731414956E-3</v>
      </c>
      <c r="R33" s="78">
        <f>P33/'סכום נכסי הקרן'!$C$42</f>
        <v>1.1434499270433149E-4</v>
      </c>
    </row>
    <row r="34" spans="2:18">
      <c r="B34" s="76" t="s">
        <v>2116</v>
      </c>
      <c r="C34" s="83" t="s">
        <v>2090</v>
      </c>
      <c r="D34" s="70">
        <v>95350301</v>
      </c>
      <c r="E34" s="70"/>
      <c r="F34" s="70" t="s">
        <v>470</v>
      </c>
      <c r="G34" s="97">
        <v>41281</v>
      </c>
      <c r="H34" s="70" t="s">
        <v>153</v>
      </c>
      <c r="I34" s="77">
        <v>6.0500000000000007</v>
      </c>
      <c r="J34" s="83" t="s">
        <v>409</v>
      </c>
      <c r="K34" s="83" t="s">
        <v>157</v>
      </c>
      <c r="L34" s="84">
        <v>5.3499999999999999E-2</v>
      </c>
      <c r="M34" s="84">
        <v>4.5999999999999999E-3</v>
      </c>
      <c r="N34" s="77">
        <v>8547.49</v>
      </c>
      <c r="O34" s="79">
        <v>136.07</v>
      </c>
      <c r="P34" s="77">
        <v>11.630559999999999</v>
      </c>
      <c r="Q34" s="78">
        <f t="shared" si="0"/>
        <v>8.9892179174975943E-3</v>
      </c>
      <c r="R34" s="78">
        <f>P34/'סכום נכסי הקרן'!$C$42</f>
        <v>1.4385095212389126E-4</v>
      </c>
    </row>
    <row r="35" spans="2:18">
      <c r="B35" s="76" t="s">
        <v>2116</v>
      </c>
      <c r="C35" s="83" t="s">
        <v>2090</v>
      </c>
      <c r="D35" s="70">
        <v>95350302</v>
      </c>
      <c r="E35" s="70"/>
      <c r="F35" s="70" t="s">
        <v>470</v>
      </c>
      <c r="G35" s="97">
        <v>41767</v>
      </c>
      <c r="H35" s="70" t="s">
        <v>153</v>
      </c>
      <c r="I35" s="77">
        <v>5.91</v>
      </c>
      <c r="J35" s="83" t="s">
        <v>409</v>
      </c>
      <c r="K35" s="83" t="s">
        <v>157</v>
      </c>
      <c r="L35" s="84">
        <v>5.3499999999999999E-2</v>
      </c>
      <c r="M35" s="84">
        <v>1.54E-2</v>
      </c>
      <c r="N35" s="77">
        <v>1509.28</v>
      </c>
      <c r="O35" s="79">
        <v>125.69</v>
      </c>
      <c r="P35" s="77">
        <v>1.8970100000000001</v>
      </c>
      <c r="Q35" s="78">
        <f t="shared" si="0"/>
        <v>1.4661921938128614E-3</v>
      </c>
      <c r="R35" s="78">
        <f>P35/'סכום נכסי הקרן'!$C$42</f>
        <v>2.34629024473923E-5</v>
      </c>
    </row>
    <row r="36" spans="2:18">
      <c r="B36" s="76" t="s">
        <v>2116</v>
      </c>
      <c r="C36" s="83" t="s">
        <v>2090</v>
      </c>
      <c r="D36" s="70">
        <v>95350401</v>
      </c>
      <c r="E36" s="70"/>
      <c r="F36" s="70" t="s">
        <v>470</v>
      </c>
      <c r="G36" s="97">
        <v>41281</v>
      </c>
      <c r="H36" s="70" t="s">
        <v>153</v>
      </c>
      <c r="I36" s="77">
        <v>6.05</v>
      </c>
      <c r="J36" s="83" t="s">
        <v>409</v>
      </c>
      <c r="K36" s="83" t="s">
        <v>157</v>
      </c>
      <c r="L36" s="84">
        <v>5.3499999999999999E-2</v>
      </c>
      <c r="M36" s="84">
        <v>4.5999999999999999E-3</v>
      </c>
      <c r="N36" s="77">
        <v>6157.07</v>
      </c>
      <c r="O36" s="79">
        <v>136.07</v>
      </c>
      <c r="P36" s="77">
        <v>8.3779199999999996</v>
      </c>
      <c r="Q36" s="78">
        <f t="shared" si="0"/>
        <v>6.4752641812054999E-3</v>
      </c>
      <c r="R36" s="78">
        <f>P36/'סכום נכסי הקרן'!$C$42</f>
        <v>1.0362112992132719E-4</v>
      </c>
    </row>
    <row r="37" spans="2:18">
      <c r="B37" s="76" t="s">
        <v>2116</v>
      </c>
      <c r="C37" s="83" t="s">
        <v>2090</v>
      </c>
      <c r="D37" s="70">
        <v>95350402</v>
      </c>
      <c r="E37" s="70"/>
      <c r="F37" s="70" t="s">
        <v>470</v>
      </c>
      <c r="G37" s="97">
        <v>41767</v>
      </c>
      <c r="H37" s="70" t="s">
        <v>153</v>
      </c>
      <c r="I37" s="77">
        <v>5.910000000000001</v>
      </c>
      <c r="J37" s="83" t="s">
        <v>409</v>
      </c>
      <c r="K37" s="83" t="s">
        <v>157</v>
      </c>
      <c r="L37" s="84">
        <v>5.3499999999999999E-2</v>
      </c>
      <c r="M37" s="84">
        <v>1.5400000000000002E-2</v>
      </c>
      <c r="N37" s="77">
        <v>1229.48</v>
      </c>
      <c r="O37" s="79">
        <v>125.69</v>
      </c>
      <c r="P37" s="77">
        <v>1.54532</v>
      </c>
      <c r="Q37" s="78">
        <f t="shared" si="0"/>
        <v>1.1943722600001533E-3</v>
      </c>
      <c r="R37" s="78">
        <f>P37/'סכום נכסי הקרן'!$C$42</f>
        <v>1.9113073947951916E-5</v>
      </c>
    </row>
    <row r="38" spans="2:18">
      <c r="B38" s="76" t="s">
        <v>2116</v>
      </c>
      <c r="C38" s="83" t="s">
        <v>2090</v>
      </c>
      <c r="D38" s="70">
        <v>95350501</v>
      </c>
      <c r="E38" s="70"/>
      <c r="F38" s="70" t="s">
        <v>470</v>
      </c>
      <c r="G38" s="97">
        <v>41281</v>
      </c>
      <c r="H38" s="70" t="s">
        <v>153</v>
      </c>
      <c r="I38" s="77">
        <v>6.0500000000000007</v>
      </c>
      <c r="J38" s="83" t="s">
        <v>409</v>
      </c>
      <c r="K38" s="83" t="s">
        <v>157</v>
      </c>
      <c r="L38" s="84">
        <v>5.3499999999999999E-2</v>
      </c>
      <c r="M38" s="84">
        <v>4.6000000000000008E-3</v>
      </c>
      <c r="N38" s="77">
        <v>7394.53</v>
      </c>
      <c r="O38" s="79">
        <v>136.07</v>
      </c>
      <c r="P38" s="77">
        <v>10.06174</v>
      </c>
      <c r="Q38" s="78">
        <f t="shared" si="0"/>
        <v>7.7766825921711637E-3</v>
      </c>
      <c r="R38" s="78">
        <f>P38/'סכום נכסי הקרן'!$C$42</f>
        <v>1.2444722171787444E-4</v>
      </c>
    </row>
    <row r="39" spans="2:18">
      <c r="B39" s="76" t="s">
        <v>2117</v>
      </c>
      <c r="C39" s="83" t="s">
        <v>2091</v>
      </c>
      <c r="D39" s="70">
        <v>22333</v>
      </c>
      <c r="E39" s="70"/>
      <c r="F39" s="70" t="s">
        <v>2093</v>
      </c>
      <c r="G39" s="97">
        <v>41639</v>
      </c>
      <c r="H39" s="70" t="s">
        <v>2089</v>
      </c>
      <c r="I39" s="77">
        <v>1.7</v>
      </c>
      <c r="J39" s="83" t="s">
        <v>144</v>
      </c>
      <c r="K39" s="83" t="s">
        <v>157</v>
      </c>
      <c r="L39" s="84">
        <v>3.7000000000000005E-2</v>
      </c>
      <c r="M39" s="84">
        <v>1.15E-2</v>
      </c>
      <c r="N39" s="77">
        <v>38086.519999999997</v>
      </c>
      <c r="O39" s="79">
        <v>106.25</v>
      </c>
      <c r="P39" s="77">
        <v>40.466929999999998</v>
      </c>
      <c r="Q39" s="78">
        <f t="shared" si="0"/>
        <v>3.1276744389102579E-2</v>
      </c>
      <c r="R39" s="78">
        <f>P39/'סכום נכסי הקרן'!$C$42</f>
        <v>5.0050955500258447E-4</v>
      </c>
    </row>
    <row r="40" spans="2:18">
      <c r="B40" s="76" t="s">
        <v>2117</v>
      </c>
      <c r="C40" s="83" t="s">
        <v>2091</v>
      </c>
      <c r="D40" s="70">
        <v>22334</v>
      </c>
      <c r="E40" s="70"/>
      <c r="F40" s="70" t="s">
        <v>2093</v>
      </c>
      <c r="G40" s="97">
        <v>42004</v>
      </c>
      <c r="H40" s="70" t="s">
        <v>2089</v>
      </c>
      <c r="I40" s="77">
        <v>2.16</v>
      </c>
      <c r="J40" s="83" t="s">
        <v>144</v>
      </c>
      <c r="K40" s="83" t="s">
        <v>157</v>
      </c>
      <c r="L40" s="84">
        <v>3.7000000000000005E-2</v>
      </c>
      <c r="M40" s="84">
        <v>1.1899999999999999E-2</v>
      </c>
      <c r="N40" s="77">
        <v>15869.38</v>
      </c>
      <c r="O40" s="79">
        <v>107.38</v>
      </c>
      <c r="P40" s="77">
        <v>17.04054</v>
      </c>
      <c r="Q40" s="78">
        <f t="shared" si="0"/>
        <v>1.3170571966597865E-2</v>
      </c>
      <c r="R40" s="78">
        <f>P40/'סכום נכסי הקרן'!$C$42</f>
        <v>2.10763531911211E-4</v>
      </c>
    </row>
    <row r="41" spans="2:18">
      <c r="B41" s="76" t="s">
        <v>2118</v>
      </c>
      <c r="C41" s="83" t="s">
        <v>2091</v>
      </c>
      <c r="D41" s="70">
        <v>2963</v>
      </c>
      <c r="E41" s="70"/>
      <c r="F41" s="70" t="s">
        <v>581</v>
      </c>
      <c r="G41" s="97">
        <v>41423</v>
      </c>
      <c r="H41" s="70" t="s">
        <v>153</v>
      </c>
      <c r="I41" s="77">
        <v>4.419999999999999</v>
      </c>
      <c r="J41" s="83" t="s">
        <v>345</v>
      </c>
      <c r="K41" s="83" t="s">
        <v>157</v>
      </c>
      <c r="L41" s="84">
        <v>0.05</v>
      </c>
      <c r="M41" s="84">
        <v>9.499999999999998E-3</v>
      </c>
      <c r="N41" s="77">
        <v>15514.74</v>
      </c>
      <c r="O41" s="79">
        <v>119.93</v>
      </c>
      <c r="P41" s="77">
        <v>18.606830000000002</v>
      </c>
      <c r="Q41" s="78">
        <f t="shared" si="0"/>
        <v>1.4381151864040233E-2</v>
      </c>
      <c r="R41" s="78">
        <f>P41/'סכום נכסי הקרן'!$C$42</f>
        <v>2.3013597036663618E-4</v>
      </c>
    </row>
    <row r="42" spans="2:18">
      <c r="B42" s="76" t="s">
        <v>2118</v>
      </c>
      <c r="C42" s="83" t="s">
        <v>2091</v>
      </c>
      <c r="D42" s="70">
        <v>2968</v>
      </c>
      <c r="E42" s="70"/>
      <c r="F42" s="70" t="s">
        <v>581</v>
      </c>
      <c r="G42" s="97">
        <v>41423</v>
      </c>
      <c r="H42" s="70" t="s">
        <v>153</v>
      </c>
      <c r="I42" s="77">
        <v>4.42</v>
      </c>
      <c r="J42" s="83" t="s">
        <v>345</v>
      </c>
      <c r="K42" s="83" t="s">
        <v>157</v>
      </c>
      <c r="L42" s="84">
        <v>0.05</v>
      </c>
      <c r="M42" s="84">
        <v>9.5000000000000015E-3</v>
      </c>
      <c r="N42" s="77">
        <v>4989.8</v>
      </c>
      <c r="O42" s="79">
        <v>119.93</v>
      </c>
      <c r="P42" s="77">
        <v>5.9842700000000004</v>
      </c>
      <c r="Q42" s="78">
        <f t="shared" si="0"/>
        <v>4.6252207208546565E-3</v>
      </c>
      <c r="R42" s="78">
        <f>P42/'סכום נכסי הקרן'!$C$42</f>
        <v>7.4015605204430301E-5</v>
      </c>
    </row>
    <row r="43" spans="2:18">
      <c r="B43" s="76" t="s">
        <v>2118</v>
      </c>
      <c r="C43" s="83" t="s">
        <v>2091</v>
      </c>
      <c r="D43" s="70">
        <v>4605</v>
      </c>
      <c r="E43" s="70"/>
      <c r="F43" s="70" t="s">
        <v>581</v>
      </c>
      <c r="G43" s="97">
        <v>42352</v>
      </c>
      <c r="H43" s="70" t="s">
        <v>153</v>
      </c>
      <c r="I43" s="77">
        <v>6.58</v>
      </c>
      <c r="J43" s="83" t="s">
        <v>345</v>
      </c>
      <c r="K43" s="83" t="s">
        <v>157</v>
      </c>
      <c r="L43" s="84">
        <v>0.05</v>
      </c>
      <c r="M43" s="84">
        <v>1.7399999999999999E-2</v>
      </c>
      <c r="N43" s="77">
        <v>16029.32</v>
      </c>
      <c r="O43" s="79">
        <v>122.96</v>
      </c>
      <c r="P43" s="77">
        <v>19.70966</v>
      </c>
      <c r="Q43" s="78">
        <f t="shared" si="0"/>
        <v>1.5233525197392527E-2</v>
      </c>
      <c r="R43" s="78">
        <f>P43/'סכום נכסי הקרן'!$C$42</f>
        <v>2.4377616873462454E-4</v>
      </c>
    </row>
    <row r="44" spans="2:18">
      <c r="B44" s="76" t="s">
        <v>2118</v>
      </c>
      <c r="C44" s="83" t="s">
        <v>2091</v>
      </c>
      <c r="D44" s="70">
        <v>4606</v>
      </c>
      <c r="E44" s="70"/>
      <c r="F44" s="70" t="s">
        <v>581</v>
      </c>
      <c r="G44" s="97">
        <v>42352</v>
      </c>
      <c r="H44" s="70" t="s">
        <v>153</v>
      </c>
      <c r="I44" s="77">
        <v>8.6</v>
      </c>
      <c r="J44" s="83" t="s">
        <v>345</v>
      </c>
      <c r="K44" s="83" t="s">
        <v>157</v>
      </c>
      <c r="L44" s="84">
        <v>4.0999999999999995E-2</v>
      </c>
      <c r="M44" s="84">
        <v>1.6100000000000003E-2</v>
      </c>
      <c r="N44" s="77">
        <v>44434.97</v>
      </c>
      <c r="O44" s="79">
        <v>123.04</v>
      </c>
      <c r="P44" s="77">
        <v>54.672789999999999</v>
      </c>
      <c r="Q44" s="78">
        <f t="shared" si="0"/>
        <v>4.2256402397441162E-2</v>
      </c>
      <c r="R44" s="78">
        <f>P44/'סכום נכסי הקרן'!$C$42</f>
        <v>6.7621274442241481E-4</v>
      </c>
    </row>
    <row r="45" spans="2:18">
      <c r="B45" s="76" t="s">
        <v>2118</v>
      </c>
      <c r="C45" s="83" t="s">
        <v>2091</v>
      </c>
      <c r="D45" s="70">
        <v>5150</v>
      </c>
      <c r="E45" s="70"/>
      <c r="F45" s="70" t="s">
        <v>581</v>
      </c>
      <c r="G45" s="97">
        <v>42631</v>
      </c>
      <c r="H45" s="70" t="s">
        <v>153</v>
      </c>
      <c r="I45" s="77">
        <v>8.44</v>
      </c>
      <c r="J45" s="83" t="s">
        <v>345</v>
      </c>
      <c r="K45" s="83" t="s">
        <v>157</v>
      </c>
      <c r="L45" s="84">
        <v>4.0999999999999995E-2</v>
      </c>
      <c r="M45" s="84">
        <v>2.2299999999999997E-2</v>
      </c>
      <c r="N45" s="77">
        <v>13186.16</v>
      </c>
      <c r="O45" s="79">
        <v>117.3</v>
      </c>
      <c r="P45" s="77">
        <v>15.467370000000001</v>
      </c>
      <c r="Q45" s="78">
        <f t="shared" si="0"/>
        <v>1.1954674541945081E-2</v>
      </c>
      <c r="R45" s="78">
        <f>P45/'סכום נכסי הקרן'!$C$42</f>
        <v>1.9130599913955238E-4</v>
      </c>
    </row>
    <row r="46" spans="2:18">
      <c r="B46" s="76" t="s">
        <v>2119</v>
      </c>
      <c r="C46" s="83" t="s">
        <v>2091</v>
      </c>
      <c r="D46" s="70">
        <v>4099</v>
      </c>
      <c r="E46" s="70"/>
      <c r="F46" s="70" t="s">
        <v>581</v>
      </c>
      <c r="G46" s="97">
        <v>42052</v>
      </c>
      <c r="H46" s="70" t="s">
        <v>153</v>
      </c>
      <c r="I46" s="77">
        <v>5.12</v>
      </c>
      <c r="J46" s="83" t="s">
        <v>409</v>
      </c>
      <c r="K46" s="83" t="s">
        <v>157</v>
      </c>
      <c r="L46" s="84">
        <v>2.9779E-2</v>
      </c>
      <c r="M46" s="84">
        <v>2.8199999999999999E-2</v>
      </c>
      <c r="N46" s="77">
        <v>12005.32</v>
      </c>
      <c r="O46" s="79">
        <v>102.43</v>
      </c>
      <c r="P46" s="77">
        <v>12.297049999999999</v>
      </c>
      <c r="Q46" s="78">
        <f t="shared" si="0"/>
        <v>9.5043456370427371E-3</v>
      </c>
      <c r="R46" s="78">
        <f>P46/'סכום נכסי הקרן'!$C$42</f>
        <v>1.520943403254097E-4</v>
      </c>
    </row>
    <row r="47" spans="2:18">
      <c r="B47" s="76" t="s">
        <v>2119</v>
      </c>
      <c r="C47" s="83" t="s">
        <v>2091</v>
      </c>
      <c r="D47" s="70">
        <v>40999</v>
      </c>
      <c r="E47" s="70"/>
      <c r="F47" s="70" t="s">
        <v>581</v>
      </c>
      <c r="G47" s="97">
        <v>42054</v>
      </c>
      <c r="H47" s="70" t="s">
        <v>153</v>
      </c>
      <c r="I47" s="77">
        <v>5.12</v>
      </c>
      <c r="J47" s="83" t="s">
        <v>409</v>
      </c>
      <c r="K47" s="83" t="s">
        <v>157</v>
      </c>
      <c r="L47" s="84">
        <v>2.9779E-2</v>
      </c>
      <c r="M47" s="84">
        <v>2.8200000000000003E-2</v>
      </c>
      <c r="N47" s="77">
        <v>339.52</v>
      </c>
      <c r="O47" s="79">
        <v>102.43</v>
      </c>
      <c r="P47" s="77">
        <v>0.34776000000000001</v>
      </c>
      <c r="Q47" s="78">
        <f t="shared" si="0"/>
        <v>2.6878245097303687E-4</v>
      </c>
      <c r="R47" s="78">
        <f>P47/'סכום נכסי הקרן'!$C$42</f>
        <v>4.301220844963994E-6</v>
      </c>
    </row>
    <row r="48" spans="2:18">
      <c r="B48" s="76" t="s">
        <v>2111</v>
      </c>
      <c r="C48" s="83" t="s">
        <v>2091</v>
      </c>
      <c r="D48" s="70">
        <v>14760844</v>
      </c>
      <c r="E48" s="70"/>
      <c r="F48" s="70" t="s">
        <v>2094</v>
      </c>
      <c r="G48" s="97">
        <v>40742</v>
      </c>
      <c r="H48" s="70" t="s">
        <v>2089</v>
      </c>
      <c r="I48" s="77">
        <v>7.3299999999999983</v>
      </c>
      <c r="J48" s="83" t="s">
        <v>345</v>
      </c>
      <c r="K48" s="83" t="s">
        <v>157</v>
      </c>
      <c r="L48" s="84">
        <v>0.06</v>
      </c>
      <c r="M48" s="84">
        <v>3.0000000000000001E-3</v>
      </c>
      <c r="N48" s="77">
        <v>61873.760000000002</v>
      </c>
      <c r="O48" s="79">
        <v>155.51</v>
      </c>
      <c r="P48" s="77">
        <v>96.219880000000003</v>
      </c>
      <c r="Q48" s="78">
        <f t="shared" si="0"/>
        <v>7.436799855857916E-2</v>
      </c>
      <c r="R48" s="78">
        <f>P48/'סכום נכסי הקרן'!$C$42</f>
        <v>1.1900821070736545E-3</v>
      </c>
    </row>
    <row r="49" spans="2:18">
      <c r="B49" s="76" t="s">
        <v>2120</v>
      </c>
      <c r="C49" s="83" t="s">
        <v>2091</v>
      </c>
      <c r="D49" s="70">
        <v>414968</v>
      </c>
      <c r="E49" s="70"/>
      <c r="F49" s="70" t="s">
        <v>581</v>
      </c>
      <c r="G49" s="97">
        <v>42432</v>
      </c>
      <c r="H49" s="70" t="s">
        <v>153</v>
      </c>
      <c r="I49" s="77">
        <v>5.8100000000000005</v>
      </c>
      <c r="J49" s="83" t="s">
        <v>409</v>
      </c>
      <c r="K49" s="83" t="s">
        <v>157</v>
      </c>
      <c r="L49" s="84">
        <v>2.5399999999999999E-2</v>
      </c>
      <c r="M49" s="84">
        <v>8.5000000000000006E-3</v>
      </c>
      <c r="N49" s="77">
        <v>17568.5</v>
      </c>
      <c r="O49" s="79">
        <v>112.24</v>
      </c>
      <c r="P49" s="77">
        <v>19.718889999999998</v>
      </c>
      <c r="Q49" s="78">
        <f t="shared" si="0"/>
        <v>1.5240659031135572E-2</v>
      </c>
      <c r="R49" s="78">
        <f>P49/'סכום נכסי הקרן'!$C$42</f>
        <v>2.4389032869666448E-4</v>
      </c>
    </row>
    <row r="50" spans="2:18">
      <c r="B50" s="76" t="s">
        <v>2121</v>
      </c>
      <c r="C50" s="83" t="s">
        <v>2091</v>
      </c>
      <c r="D50" s="70">
        <v>7134</v>
      </c>
      <c r="E50" s="70"/>
      <c r="F50" s="70" t="s">
        <v>581</v>
      </c>
      <c r="G50" s="97">
        <v>43705</v>
      </c>
      <c r="H50" s="70" t="s">
        <v>153</v>
      </c>
      <c r="I50" s="77">
        <v>6.4799999999999995</v>
      </c>
      <c r="J50" s="83" t="s">
        <v>409</v>
      </c>
      <c r="K50" s="83" t="s">
        <v>157</v>
      </c>
      <c r="L50" s="84">
        <v>0.04</v>
      </c>
      <c r="M50" s="84">
        <v>4.1900000000000007E-2</v>
      </c>
      <c r="N50" s="77">
        <v>1594.08</v>
      </c>
      <c r="O50" s="79">
        <v>99.06</v>
      </c>
      <c r="P50" s="77">
        <v>1.5790899999999999</v>
      </c>
      <c r="Q50" s="78">
        <f t="shared" si="0"/>
        <v>1.2204729713222128E-3</v>
      </c>
      <c r="R50" s="78">
        <f>P50/'סכום נכסי הקרן'!$C$42</f>
        <v>1.9530753462371153E-5</v>
      </c>
    </row>
    <row r="51" spans="2:18">
      <c r="B51" s="76" t="s">
        <v>2121</v>
      </c>
      <c r="C51" s="83" t="s">
        <v>2091</v>
      </c>
      <c r="D51" s="70">
        <v>487742</v>
      </c>
      <c r="E51" s="70"/>
      <c r="F51" s="70" t="s">
        <v>581</v>
      </c>
      <c r="G51" s="97">
        <v>43256</v>
      </c>
      <c r="H51" s="70" t="s">
        <v>153</v>
      </c>
      <c r="I51" s="77">
        <v>6.54</v>
      </c>
      <c r="J51" s="83" t="s">
        <v>409</v>
      </c>
      <c r="K51" s="83" t="s">
        <v>157</v>
      </c>
      <c r="L51" s="84">
        <v>0.04</v>
      </c>
      <c r="M51" s="84">
        <v>3.8300000000000001E-2</v>
      </c>
      <c r="N51" s="77">
        <v>26190.45</v>
      </c>
      <c r="O51" s="79">
        <v>101.71</v>
      </c>
      <c r="P51" s="77">
        <v>26.638300000000001</v>
      </c>
      <c r="Q51" s="78">
        <f t="shared" si="0"/>
        <v>2.0588646088552588E-2</v>
      </c>
      <c r="R51" s="78">
        <f>P51/'סכום נכסי הקרן'!$C$42</f>
        <v>3.2947208199449147E-4</v>
      </c>
    </row>
    <row r="52" spans="2:18">
      <c r="B52" s="76" t="s">
        <v>2122</v>
      </c>
      <c r="C52" s="83" t="s">
        <v>2090</v>
      </c>
      <c r="D52" s="70">
        <v>90240690</v>
      </c>
      <c r="E52" s="70"/>
      <c r="F52" s="70" t="s">
        <v>581</v>
      </c>
      <c r="G52" s="97">
        <v>42326</v>
      </c>
      <c r="H52" s="70" t="s">
        <v>153</v>
      </c>
      <c r="I52" s="77">
        <v>9.85</v>
      </c>
      <c r="J52" s="83" t="s">
        <v>409</v>
      </c>
      <c r="K52" s="83" t="s">
        <v>157</v>
      </c>
      <c r="L52" s="84">
        <v>3.4000000000000002E-2</v>
      </c>
      <c r="M52" s="84">
        <v>1.67E-2</v>
      </c>
      <c r="N52" s="77">
        <v>580.38</v>
      </c>
      <c r="O52" s="79">
        <v>118.87</v>
      </c>
      <c r="P52" s="77">
        <v>0.68961000000000006</v>
      </c>
      <c r="Q52" s="78">
        <f t="shared" si="0"/>
        <v>5.3299708424061406E-4</v>
      </c>
      <c r="R52" s="78">
        <f>P52/'סכום נכסי הקרן'!$C$42</f>
        <v>8.5293446828146431E-6</v>
      </c>
    </row>
    <row r="53" spans="2:18">
      <c r="B53" s="76" t="s">
        <v>2122</v>
      </c>
      <c r="C53" s="83" t="s">
        <v>2090</v>
      </c>
      <c r="D53" s="70">
        <v>90240692</v>
      </c>
      <c r="E53" s="70"/>
      <c r="F53" s="70" t="s">
        <v>581</v>
      </c>
      <c r="G53" s="97">
        <v>42606</v>
      </c>
      <c r="H53" s="70" t="s">
        <v>153</v>
      </c>
      <c r="I53" s="77">
        <v>9.7200000000000006</v>
      </c>
      <c r="J53" s="83" t="s">
        <v>409</v>
      </c>
      <c r="K53" s="83" t="s">
        <v>157</v>
      </c>
      <c r="L53" s="84">
        <v>3.4000000000000002E-2</v>
      </c>
      <c r="M53" s="84">
        <v>2.0299999999999999E-2</v>
      </c>
      <c r="N53" s="77">
        <v>2441.23</v>
      </c>
      <c r="O53" s="79">
        <v>114.76</v>
      </c>
      <c r="P53" s="77">
        <v>2.8018100000000001</v>
      </c>
      <c r="Q53" s="78">
        <f t="shared" si="0"/>
        <v>2.1655088536943995E-3</v>
      </c>
      <c r="R53" s="78">
        <f>P53/'סכום נכסי הקרן'!$C$42</f>
        <v>3.4653794500887303E-5</v>
      </c>
    </row>
    <row r="54" spans="2:18">
      <c r="B54" s="76" t="s">
        <v>2122</v>
      </c>
      <c r="C54" s="83" t="s">
        <v>2090</v>
      </c>
      <c r="D54" s="70">
        <v>90240693</v>
      </c>
      <c r="E54" s="70"/>
      <c r="F54" s="70" t="s">
        <v>581</v>
      </c>
      <c r="G54" s="97">
        <v>42648</v>
      </c>
      <c r="H54" s="70" t="s">
        <v>153</v>
      </c>
      <c r="I54" s="77">
        <v>9.7200000000000006</v>
      </c>
      <c r="J54" s="83" t="s">
        <v>409</v>
      </c>
      <c r="K54" s="83" t="s">
        <v>157</v>
      </c>
      <c r="L54" s="84">
        <v>3.4000000000000002E-2</v>
      </c>
      <c r="M54" s="84">
        <v>2.0400000000000001E-2</v>
      </c>
      <c r="N54" s="77">
        <v>2239.35</v>
      </c>
      <c r="O54" s="79">
        <v>114.71</v>
      </c>
      <c r="P54" s="77">
        <v>2.5689099999999998</v>
      </c>
      <c r="Q54" s="78">
        <f t="shared" si="0"/>
        <v>1.9855012828650337E-3</v>
      </c>
      <c r="R54" s="78">
        <f>P54/'סכום נכסי הקרן'!$C$42</f>
        <v>3.1773203476065257E-5</v>
      </c>
    </row>
    <row r="55" spans="2:18">
      <c r="B55" s="76" t="s">
        <v>2122</v>
      </c>
      <c r="C55" s="83" t="s">
        <v>2090</v>
      </c>
      <c r="D55" s="70">
        <v>90240694</v>
      </c>
      <c r="E55" s="70"/>
      <c r="F55" s="70" t="s">
        <v>581</v>
      </c>
      <c r="G55" s="97">
        <v>42718</v>
      </c>
      <c r="H55" s="70" t="s">
        <v>153</v>
      </c>
      <c r="I55" s="77">
        <v>9.67</v>
      </c>
      <c r="J55" s="83" t="s">
        <v>409</v>
      </c>
      <c r="K55" s="83" t="s">
        <v>157</v>
      </c>
      <c r="L55" s="84">
        <v>3.4000000000000002E-2</v>
      </c>
      <c r="M55" s="84">
        <v>2.1700000000000004E-2</v>
      </c>
      <c r="N55" s="77">
        <v>1564.58</v>
      </c>
      <c r="O55" s="79">
        <v>113.26</v>
      </c>
      <c r="P55" s="77">
        <v>1.7724000000000002</v>
      </c>
      <c r="Q55" s="78">
        <f t="shared" si="0"/>
        <v>1.3698815737997773E-3</v>
      </c>
      <c r="R55" s="78">
        <f>P55/'סכום נכסי הקרן'!$C$42</f>
        <v>2.1921681118053206E-5</v>
      </c>
    </row>
    <row r="56" spans="2:18">
      <c r="B56" s="76" t="s">
        <v>2122</v>
      </c>
      <c r="C56" s="83" t="s">
        <v>2090</v>
      </c>
      <c r="D56" s="70">
        <v>90240695</v>
      </c>
      <c r="E56" s="70"/>
      <c r="F56" s="70" t="s">
        <v>581</v>
      </c>
      <c r="G56" s="97">
        <v>42900</v>
      </c>
      <c r="H56" s="70" t="s">
        <v>153</v>
      </c>
      <c r="I56" s="77">
        <v>9.4</v>
      </c>
      <c r="J56" s="83" t="s">
        <v>409</v>
      </c>
      <c r="K56" s="83" t="s">
        <v>157</v>
      </c>
      <c r="L56" s="84">
        <v>3.4000000000000002E-2</v>
      </c>
      <c r="M56" s="84">
        <v>2.9899999999999996E-2</v>
      </c>
      <c r="N56" s="77">
        <v>1853.29</v>
      </c>
      <c r="O56" s="79">
        <v>105.01</v>
      </c>
      <c r="P56" s="77">
        <v>1.94598</v>
      </c>
      <c r="Q56" s="78">
        <f t="shared" si="0"/>
        <v>1.5040409303672367E-3</v>
      </c>
      <c r="R56" s="78">
        <f>P56/'סכום נכסי הקרן'!$C$42</f>
        <v>2.4068581032559906E-5</v>
      </c>
    </row>
    <row r="57" spans="2:18">
      <c r="B57" s="76" t="s">
        <v>2122</v>
      </c>
      <c r="C57" s="83" t="s">
        <v>2090</v>
      </c>
      <c r="D57" s="70">
        <v>90240696</v>
      </c>
      <c r="E57" s="70"/>
      <c r="F57" s="70" t="s">
        <v>581</v>
      </c>
      <c r="G57" s="97">
        <v>43075</v>
      </c>
      <c r="H57" s="70" t="s">
        <v>153</v>
      </c>
      <c r="I57" s="77">
        <v>9.15</v>
      </c>
      <c r="J57" s="83" t="s">
        <v>409</v>
      </c>
      <c r="K57" s="83" t="s">
        <v>157</v>
      </c>
      <c r="L57" s="84">
        <v>3.4000000000000002E-2</v>
      </c>
      <c r="M57" s="84">
        <v>3.7200000000000004E-2</v>
      </c>
      <c r="N57" s="77">
        <v>1149.99</v>
      </c>
      <c r="O57" s="79">
        <v>98.33</v>
      </c>
      <c r="P57" s="77">
        <v>1.1310199999999999</v>
      </c>
      <c r="Q57" s="78">
        <f t="shared" si="0"/>
        <v>8.7416128277986E-4</v>
      </c>
      <c r="R57" s="78">
        <f>P57/'סכום נכסי הקרן'!$C$42</f>
        <v>1.3988862434067103E-5</v>
      </c>
    </row>
    <row r="58" spans="2:18">
      <c r="B58" s="76" t="s">
        <v>2122</v>
      </c>
      <c r="C58" s="83" t="s">
        <v>2090</v>
      </c>
      <c r="D58" s="70">
        <v>90240697</v>
      </c>
      <c r="E58" s="70"/>
      <c r="F58" s="70" t="s">
        <v>581</v>
      </c>
      <c r="G58" s="97">
        <v>43292</v>
      </c>
      <c r="H58" s="70" t="s">
        <v>153</v>
      </c>
      <c r="I58" s="77">
        <v>9.370000000000001</v>
      </c>
      <c r="J58" s="83" t="s">
        <v>409</v>
      </c>
      <c r="K58" s="83" t="s">
        <v>157</v>
      </c>
      <c r="L58" s="84">
        <v>3.4000000000000002E-2</v>
      </c>
      <c r="M58" s="84">
        <v>3.0900000000000004E-2</v>
      </c>
      <c r="N58" s="77">
        <v>3135.74</v>
      </c>
      <c r="O58" s="79">
        <v>104.05</v>
      </c>
      <c r="P58" s="77">
        <v>3.2626200000000001</v>
      </c>
      <c r="Q58" s="78">
        <f t="shared" si="0"/>
        <v>2.5216672423327858E-3</v>
      </c>
      <c r="R58" s="78">
        <f>P58/'סכום נכסי הקרן'!$C$42</f>
        <v>4.0353258434542285E-5</v>
      </c>
    </row>
    <row r="59" spans="2:18">
      <c r="B59" s="76" t="s">
        <v>2123</v>
      </c>
      <c r="C59" s="83" t="s">
        <v>2090</v>
      </c>
      <c r="D59" s="70">
        <v>90240790</v>
      </c>
      <c r="E59" s="70"/>
      <c r="F59" s="70" t="s">
        <v>581</v>
      </c>
      <c r="G59" s="97">
        <v>42326</v>
      </c>
      <c r="H59" s="70" t="s">
        <v>153</v>
      </c>
      <c r="I59" s="77">
        <v>9.57</v>
      </c>
      <c r="J59" s="83" t="s">
        <v>409</v>
      </c>
      <c r="K59" s="83" t="s">
        <v>157</v>
      </c>
      <c r="L59" s="84">
        <v>3.4000000000000002E-2</v>
      </c>
      <c r="M59" s="84">
        <v>2.46E-2</v>
      </c>
      <c r="N59" s="77">
        <v>1291.8</v>
      </c>
      <c r="O59" s="79">
        <v>110.26</v>
      </c>
      <c r="P59" s="77">
        <v>1.42435</v>
      </c>
      <c r="Q59" s="78">
        <f t="shared" si="0"/>
        <v>1.1008749828716501E-3</v>
      </c>
      <c r="R59" s="78">
        <f>P59/'סכום נכסי הקרן'!$C$42</f>
        <v>1.7616873448713092E-5</v>
      </c>
    </row>
    <row r="60" spans="2:18">
      <c r="B60" s="76" t="s">
        <v>2123</v>
      </c>
      <c r="C60" s="83" t="s">
        <v>2090</v>
      </c>
      <c r="D60" s="70">
        <v>90240792</v>
      </c>
      <c r="E60" s="70"/>
      <c r="F60" s="70" t="s">
        <v>581</v>
      </c>
      <c r="G60" s="97">
        <v>42606</v>
      </c>
      <c r="H60" s="70" t="s">
        <v>153</v>
      </c>
      <c r="I60" s="77">
        <v>9.4700000000000006</v>
      </c>
      <c r="J60" s="83" t="s">
        <v>409</v>
      </c>
      <c r="K60" s="83" t="s">
        <v>157</v>
      </c>
      <c r="L60" s="84">
        <v>3.4000000000000002E-2</v>
      </c>
      <c r="M60" s="84">
        <v>2.7399999999999997E-2</v>
      </c>
      <c r="N60" s="77">
        <v>5433.7</v>
      </c>
      <c r="O60" s="79">
        <v>107.39</v>
      </c>
      <c r="P60" s="77">
        <v>5.8348900000000006</v>
      </c>
      <c r="Q60" s="78">
        <f t="shared" si="0"/>
        <v>4.5097654570912787E-3</v>
      </c>
      <c r="R60" s="78">
        <f>P60/'סכום נכסי הקרן'!$C$42</f>
        <v>7.2168019599930868E-5</v>
      </c>
    </row>
    <row r="61" spans="2:18">
      <c r="B61" s="76" t="s">
        <v>2123</v>
      </c>
      <c r="C61" s="83" t="s">
        <v>2090</v>
      </c>
      <c r="D61" s="70">
        <v>90240793</v>
      </c>
      <c r="E61" s="70"/>
      <c r="F61" s="70" t="s">
        <v>581</v>
      </c>
      <c r="G61" s="97">
        <v>42648</v>
      </c>
      <c r="H61" s="70" t="s">
        <v>153</v>
      </c>
      <c r="I61" s="77">
        <v>9.48</v>
      </c>
      <c r="J61" s="83" t="s">
        <v>409</v>
      </c>
      <c r="K61" s="83" t="s">
        <v>157</v>
      </c>
      <c r="L61" s="84">
        <v>3.4000000000000002E-2</v>
      </c>
      <c r="M61" s="84">
        <v>2.7199999999999998E-2</v>
      </c>
      <c r="N61" s="77">
        <v>4984.38</v>
      </c>
      <c r="O61" s="79">
        <v>107.58</v>
      </c>
      <c r="P61" s="77">
        <v>5.3619599999999998</v>
      </c>
      <c r="Q61" s="78">
        <f t="shared" si="0"/>
        <v>4.1442395641229143E-3</v>
      </c>
      <c r="R61" s="78">
        <f>P61/'סכום נכסי הקרן'!$C$42</f>
        <v>6.6318651144073892E-5</v>
      </c>
    </row>
    <row r="62" spans="2:18">
      <c r="B62" s="76" t="s">
        <v>2123</v>
      </c>
      <c r="C62" s="83" t="s">
        <v>2090</v>
      </c>
      <c r="D62" s="70">
        <v>90240794</v>
      </c>
      <c r="E62" s="70"/>
      <c r="F62" s="70" t="s">
        <v>581</v>
      </c>
      <c r="G62" s="97">
        <v>42718</v>
      </c>
      <c r="H62" s="70" t="s">
        <v>153</v>
      </c>
      <c r="I62" s="77">
        <v>9.4600000000000009</v>
      </c>
      <c r="J62" s="83" t="s">
        <v>409</v>
      </c>
      <c r="K62" s="83" t="s">
        <v>157</v>
      </c>
      <c r="L62" s="84">
        <v>3.4000000000000002E-2</v>
      </c>
      <c r="M62" s="84">
        <v>2.7899999999999994E-2</v>
      </c>
      <c r="N62" s="77">
        <v>3482.46</v>
      </c>
      <c r="O62" s="79">
        <v>106.93</v>
      </c>
      <c r="P62" s="77">
        <v>3.7235300000000002</v>
      </c>
      <c r="Q62" s="78">
        <f t="shared" si="0"/>
        <v>2.8779029206108578E-3</v>
      </c>
      <c r="R62" s="78">
        <f>P62/'סכום נכסי הקרן'!$C$42</f>
        <v>4.605395920418904E-5</v>
      </c>
    </row>
    <row r="63" spans="2:18">
      <c r="B63" s="76" t="s">
        <v>2123</v>
      </c>
      <c r="C63" s="83" t="s">
        <v>2090</v>
      </c>
      <c r="D63" s="70">
        <v>90240796</v>
      </c>
      <c r="E63" s="70"/>
      <c r="F63" s="70" t="s">
        <v>581</v>
      </c>
      <c r="G63" s="97">
        <v>43075</v>
      </c>
      <c r="H63" s="70" t="s">
        <v>153</v>
      </c>
      <c r="I63" s="77">
        <v>9.009999999999998</v>
      </c>
      <c r="J63" s="83" t="s">
        <v>409</v>
      </c>
      <c r="K63" s="83" t="s">
        <v>157</v>
      </c>
      <c r="L63" s="84">
        <v>3.4000000000000002E-2</v>
      </c>
      <c r="M63" s="84">
        <v>4.1599999999999991E-2</v>
      </c>
      <c r="N63" s="77">
        <v>2559.64</v>
      </c>
      <c r="O63" s="79">
        <v>94.6</v>
      </c>
      <c r="P63" s="77">
        <v>2.4215900000000001</v>
      </c>
      <c r="Q63" s="78">
        <f t="shared" si="0"/>
        <v>1.8716381856791935E-3</v>
      </c>
      <c r="R63" s="78">
        <f>P63/'סכום נכסי הקרן'!$C$42</f>
        <v>2.9951096692996199E-5</v>
      </c>
    </row>
    <row r="64" spans="2:18">
      <c r="B64" s="76" t="s">
        <v>2123</v>
      </c>
      <c r="C64" s="83" t="s">
        <v>2090</v>
      </c>
      <c r="D64" s="70">
        <v>90240797</v>
      </c>
      <c r="E64" s="70"/>
      <c r="F64" s="70" t="s">
        <v>581</v>
      </c>
      <c r="G64" s="97">
        <v>43292</v>
      </c>
      <c r="H64" s="70" t="s">
        <v>153</v>
      </c>
      <c r="I64" s="77">
        <v>9.0400000000000009</v>
      </c>
      <c r="J64" s="83" t="s">
        <v>409</v>
      </c>
      <c r="K64" s="83" t="s">
        <v>157</v>
      </c>
      <c r="L64" s="84">
        <v>3.4000000000000002E-2</v>
      </c>
      <c r="M64" s="84">
        <v>4.0800000000000003E-2</v>
      </c>
      <c r="N64" s="77">
        <v>6979.57</v>
      </c>
      <c r="O64" s="79">
        <v>95.27</v>
      </c>
      <c r="P64" s="77">
        <v>6.6495800000000003</v>
      </c>
      <c r="Q64" s="78">
        <f t="shared" si="0"/>
        <v>5.1394364226515022E-3</v>
      </c>
      <c r="R64" s="78">
        <f>P64/'סכום נכסי הקרן'!$C$42</f>
        <v>8.2244398741245907E-5</v>
      </c>
    </row>
    <row r="65" spans="2:18">
      <c r="B65" s="76" t="s">
        <v>2123</v>
      </c>
      <c r="C65" s="83" t="s">
        <v>2090</v>
      </c>
      <c r="D65" s="70">
        <v>90240795</v>
      </c>
      <c r="E65" s="70"/>
      <c r="F65" s="70" t="s">
        <v>581</v>
      </c>
      <c r="G65" s="97">
        <v>42900</v>
      </c>
      <c r="H65" s="70" t="s">
        <v>153</v>
      </c>
      <c r="I65" s="77">
        <v>9.1</v>
      </c>
      <c r="J65" s="83" t="s">
        <v>409</v>
      </c>
      <c r="K65" s="83" t="s">
        <v>157</v>
      </c>
      <c r="L65" s="84">
        <v>3.4000000000000002E-2</v>
      </c>
      <c r="M65" s="84">
        <v>3.8900000000000004E-2</v>
      </c>
      <c r="N65" s="77">
        <v>4125.1000000000004</v>
      </c>
      <c r="O65" s="79">
        <v>96.87</v>
      </c>
      <c r="P65" s="77">
        <v>3.9957399999999996</v>
      </c>
      <c r="Q65" s="78">
        <f>P65/$P$10</f>
        <v>3.0882930488009036E-3</v>
      </c>
      <c r="R65" s="78">
        <f>P65/'סכום נכסי הקרן'!$C$42</f>
        <v>4.9420750457374132E-5</v>
      </c>
    </row>
    <row r="66" spans="2:18">
      <c r="B66" s="76" t="s">
        <v>2108</v>
      </c>
      <c r="C66" s="83" t="s">
        <v>2090</v>
      </c>
      <c r="D66" s="70">
        <v>90143221</v>
      </c>
      <c r="E66" s="70"/>
      <c r="F66" s="70" t="s">
        <v>585</v>
      </c>
      <c r="G66" s="97">
        <v>42516</v>
      </c>
      <c r="H66" s="70" t="s">
        <v>284</v>
      </c>
      <c r="I66" s="77">
        <v>4.7699999999999996</v>
      </c>
      <c r="J66" s="83" t="s">
        <v>409</v>
      </c>
      <c r="K66" s="83" t="s">
        <v>157</v>
      </c>
      <c r="L66" s="84">
        <v>2.3269999999999999E-2</v>
      </c>
      <c r="M66" s="84">
        <v>3.0299999999999997E-2</v>
      </c>
      <c r="N66" s="77">
        <v>25699.65</v>
      </c>
      <c r="O66" s="79">
        <v>98.34</v>
      </c>
      <c r="P66" s="77">
        <v>25.273019999999999</v>
      </c>
      <c r="Q66" s="78">
        <f t="shared" si="0"/>
        <v>1.9533426095843628E-2</v>
      </c>
      <c r="R66" s="78">
        <f>P66/'סכום נכסי הקרן'!$C$42</f>
        <v>3.1258580756611428E-4</v>
      </c>
    </row>
    <row r="67" spans="2:18">
      <c r="B67" s="76" t="s">
        <v>2124</v>
      </c>
      <c r="C67" s="83" t="s">
        <v>2090</v>
      </c>
      <c r="D67" s="70">
        <v>90145980</v>
      </c>
      <c r="E67" s="70"/>
      <c r="F67" s="70" t="s">
        <v>2095</v>
      </c>
      <c r="G67" s="97">
        <v>42242</v>
      </c>
      <c r="H67" s="70" t="s">
        <v>2089</v>
      </c>
      <c r="I67" s="77">
        <v>4.57</v>
      </c>
      <c r="J67" s="83" t="s">
        <v>635</v>
      </c>
      <c r="K67" s="83" t="s">
        <v>157</v>
      </c>
      <c r="L67" s="84">
        <v>2.6600000000000002E-2</v>
      </c>
      <c r="M67" s="84">
        <v>2.3300000000000001E-2</v>
      </c>
      <c r="N67" s="77">
        <v>30428.99</v>
      </c>
      <c r="O67" s="79">
        <v>101.56</v>
      </c>
      <c r="P67" s="77">
        <v>30.903680000000001</v>
      </c>
      <c r="Q67" s="78">
        <f t="shared" si="0"/>
        <v>2.3885342921803599E-2</v>
      </c>
      <c r="R67" s="78">
        <f>P67/'סכום נכסי הקרן'!$C$42</f>
        <v>3.8222783702006232E-4</v>
      </c>
    </row>
    <row r="68" spans="2:18">
      <c r="B68" s="76" t="s">
        <v>2125</v>
      </c>
      <c r="C68" s="83" t="s">
        <v>2090</v>
      </c>
      <c r="D68" s="70">
        <v>90839511</v>
      </c>
      <c r="E68" s="70"/>
      <c r="F68" s="70" t="s">
        <v>595</v>
      </c>
      <c r="G68" s="97">
        <v>41816</v>
      </c>
      <c r="H68" s="70" t="s">
        <v>153</v>
      </c>
      <c r="I68" s="77">
        <v>7.94</v>
      </c>
      <c r="J68" s="83" t="s">
        <v>409</v>
      </c>
      <c r="K68" s="83" t="s">
        <v>157</v>
      </c>
      <c r="L68" s="84">
        <v>4.4999999999999998E-2</v>
      </c>
      <c r="M68" s="84">
        <v>2.5600000000000001E-2</v>
      </c>
      <c r="N68" s="77">
        <v>5432.95</v>
      </c>
      <c r="O68" s="79">
        <v>116.22</v>
      </c>
      <c r="P68" s="77">
        <v>6.3141800000000003</v>
      </c>
      <c r="Q68" s="78">
        <f t="shared" si="0"/>
        <v>4.8802069711436904E-3</v>
      </c>
      <c r="R68" s="78">
        <f>P68/'סכום נכסי הקרן'!$C$42</f>
        <v>7.8096050824864139E-5</v>
      </c>
    </row>
    <row r="69" spans="2:18">
      <c r="B69" s="76" t="s">
        <v>2125</v>
      </c>
      <c r="C69" s="83" t="s">
        <v>2090</v>
      </c>
      <c r="D69" s="70">
        <v>90839541</v>
      </c>
      <c r="E69" s="70"/>
      <c r="F69" s="70" t="s">
        <v>595</v>
      </c>
      <c r="G69" s="97">
        <v>42625</v>
      </c>
      <c r="H69" s="70" t="s">
        <v>153</v>
      </c>
      <c r="I69" s="77">
        <v>9.0500000000000007</v>
      </c>
      <c r="J69" s="83" t="s">
        <v>409</v>
      </c>
      <c r="K69" s="83" t="s">
        <v>157</v>
      </c>
      <c r="L69" s="84">
        <v>4.4999999999999998E-2</v>
      </c>
      <c r="M69" s="84">
        <v>3.04E-2</v>
      </c>
      <c r="N69" s="77">
        <v>1512.84</v>
      </c>
      <c r="O69" s="79">
        <v>111.71</v>
      </c>
      <c r="P69" s="77">
        <v>1.69</v>
      </c>
      <c r="Q69" s="78">
        <f t="shared" si="0"/>
        <v>1.3061949106982754E-3</v>
      </c>
      <c r="R69" s="78">
        <f>P69/'סכום נכסי הקרן'!$C$42</f>
        <v>2.0902528260838363E-5</v>
      </c>
    </row>
    <row r="70" spans="2:18">
      <c r="B70" s="76" t="s">
        <v>2125</v>
      </c>
      <c r="C70" s="83" t="s">
        <v>2090</v>
      </c>
      <c r="D70" s="70">
        <v>90839542</v>
      </c>
      <c r="E70" s="70"/>
      <c r="F70" s="70" t="s">
        <v>595</v>
      </c>
      <c r="G70" s="97">
        <v>42716</v>
      </c>
      <c r="H70" s="70" t="s">
        <v>153</v>
      </c>
      <c r="I70" s="77">
        <v>9.08</v>
      </c>
      <c r="J70" s="83" t="s">
        <v>409</v>
      </c>
      <c r="K70" s="83" t="s">
        <v>157</v>
      </c>
      <c r="L70" s="84">
        <v>4.4999999999999998E-2</v>
      </c>
      <c r="M70" s="84">
        <v>2.7799999999999998E-2</v>
      </c>
      <c r="N70" s="77">
        <v>1144.54</v>
      </c>
      <c r="O70" s="79">
        <v>114</v>
      </c>
      <c r="P70" s="77">
        <v>1.3047800000000001</v>
      </c>
      <c r="Q70" s="78">
        <f t="shared" si="0"/>
        <v>1.008459760698755E-3</v>
      </c>
      <c r="R70" s="78">
        <f>P70/'סכום נכסי הקרן'!$C$42</f>
        <v>1.6137988653358983E-5</v>
      </c>
    </row>
    <row r="71" spans="2:18">
      <c r="B71" s="76" t="s">
        <v>2125</v>
      </c>
      <c r="C71" s="83" t="s">
        <v>2090</v>
      </c>
      <c r="D71" s="70">
        <v>90839544</v>
      </c>
      <c r="E71" s="70"/>
      <c r="F71" s="70" t="s">
        <v>595</v>
      </c>
      <c r="G71" s="97">
        <v>42803</v>
      </c>
      <c r="H71" s="70" t="s">
        <v>153</v>
      </c>
      <c r="I71" s="77">
        <v>8.98</v>
      </c>
      <c r="J71" s="83" t="s">
        <v>409</v>
      </c>
      <c r="K71" s="83" t="s">
        <v>157</v>
      </c>
      <c r="L71" s="84">
        <v>4.4999999999999998E-2</v>
      </c>
      <c r="M71" s="84">
        <v>3.4000000000000002E-2</v>
      </c>
      <c r="N71" s="77">
        <v>7335.19</v>
      </c>
      <c r="O71" s="79">
        <v>109.75</v>
      </c>
      <c r="P71" s="77">
        <v>8.0503699999999991</v>
      </c>
      <c r="Q71" s="78">
        <f t="shared" si="0"/>
        <v>6.2221019664130623E-3</v>
      </c>
      <c r="R71" s="78">
        <f>P71/'סכום נכסי הקרן'!$C$42</f>
        <v>9.9569873630299012E-5</v>
      </c>
    </row>
    <row r="72" spans="2:18">
      <c r="B72" s="76" t="s">
        <v>2125</v>
      </c>
      <c r="C72" s="83" t="s">
        <v>2090</v>
      </c>
      <c r="D72" s="70">
        <v>90839545</v>
      </c>
      <c r="E72" s="70"/>
      <c r="F72" s="70" t="s">
        <v>595</v>
      </c>
      <c r="G72" s="97">
        <v>42898</v>
      </c>
      <c r="H72" s="70" t="s">
        <v>153</v>
      </c>
      <c r="I72" s="77">
        <v>7.61</v>
      </c>
      <c r="J72" s="83" t="s">
        <v>409</v>
      </c>
      <c r="K72" s="83" t="s">
        <v>157</v>
      </c>
      <c r="L72" s="84">
        <v>4.4999999999999998E-2</v>
      </c>
      <c r="M72" s="84">
        <v>3.8600000000000002E-2</v>
      </c>
      <c r="N72" s="77">
        <v>1379.56</v>
      </c>
      <c r="O72" s="79">
        <v>106.19</v>
      </c>
      <c r="P72" s="77">
        <v>1.46496</v>
      </c>
      <c r="Q72" s="78">
        <f t="shared" si="0"/>
        <v>1.1322623055482518E-3</v>
      </c>
      <c r="R72" s="78">
        <f>P72/'סכום נכסי הקרן'!$C$42</f>
        <v>1.8119152544969095E-5</v>
      </c>
    </row>
    <row r="73" spans="2:18">
      <c r="B73" s="76" t="s">
        <v>2125</v>
      </c>
      <c r="C73" s="83" t="s">
        <v>2090</v>
      </c>
      <c r="D73" s="70">
        <v>90839546</v>
      </c>
      <c r="E73" s="70"/>
      <c r="F73" s="70" t="s">
        <v>595</v>
      </c>
      <c r="G73" s="97">
        <v>42989</v>
      </c>
      <c r="H73" s="70" t="s">
        <v>153</v>
      </c>
      <c r="I73" s="77">
        <v>7.59</v>
      </c>
      <c r="J73" s="83" t="s">
        <v>409</v>
      </c>
      <c r="K73" s="83" t="s">
        <v>157</v>
      </c>
      <c r="L73" s="84">
        <v>4.4999999999999998E-2</v>
      </c>
      <c r="M73" s="84">
        <v>3.9800000000000002E-2</v>
      </c>
      <c r="N73" s="77">
        <v>1738.42</v>
      </c>
      <c r="O73" s="79">
        <v>105.51</v>
      </c>
      <c r="P73" s="77">
        <v>1.8342100000000001</v>
      </c>
      <c r="Q73" s="78">
        <f t="shared" si="0"/>
        <v>1.4176543000898722E-3</v>
      </c>
      <c r="R73" s="78">
        <f>P73/'סכום נכסי הקרן'!$C$42</f>
        <v>2.2686169444563513E-5</v>
      </c>
    </row>
    <row r="74" spans="2:18">
      <c r="B74" s="76" t="s">
        <v>2125</v>
      </c>
      <c r="C74" s="83" t="s">
        <v>2090</v>
      </c>
      <c r="D74" s="70">
        <v>90839547</v>
      </c>
      <c r="E74" s="70"/>
      <c r="F74" s="70" t="s">
        <v>595</v>
      </c>
      <c r="G74" s="97">
        <v>43080</v>
      </c>
      <c r="H74" s="70" t="s">
        <v>153</v>
      </c>
      <c r="I74" s="77">
        <v>7.5</v>
      </c>
      <c r="J74" s="83" t="s">
        <v>409</v>
      </c>
      <c r="K74" s="83" t="s">
        <v>157</v>
      </c>
      <c r="L74" s="84">
        <v>4.4999999999999998E-2</v>
      </c>
      <c r="M74" s="84">
        <v>4.3799999999999992E-2</v>
      </c>
      <c r="N74" s="77">
        <v>538.63</v>
      </c>
      <c r="O74" s="79">
        <v>101.97</v>
      </c>
      <c r="P74" s="77">
        <v>0.54924000000000006</v>
      </c>
      <c r="Q74" s="78">
        <f t="shared" si="0"/>
        <v>4.2450561701297092E-4</v>
      </c>
      <c r="R74" s="78">
        <f>P74/'סכום נכסי הקרן'!$C$42</f>
        <v>6.7931980011732922E-6</v>
      </c>
    </row>
    <row r="75" spans="2:18">
      <c r="B75" s="76" t="s">
        <v>2125</v>
      </c>
      <c r="C75" s="83" t="s">
        <v>2090</v>
      </c>
      <c r="D75" s="70">
        <v>90839548</v>
      </c>
      <c r="E75" s="70"/>
      <c r="F75" s="70" t="s">
        <v>595</v>
      </c>
      <c r="G75" s="97">
        <v>43171</v>
      </c>
      <c r="H75" s="70" t="s">
        <v>153</v>
      </c>
      <c r="I75" s="77">
        <v>7.54</v>
      </c>
      <c r="J75" s="83" t="s">
        <v>409</v>
      </c>
      <c r="K75" s="83" t="s">
        <v>157</v>
      </c>
      <c r="L75" s="84">
        <v>4.4999999999999998E-2</v>
      </c>
      <c r="M75" s="84">
        <v>4.420000000000001E-2</v>
      </c>
      <c r="N75" s="77">
        <v>402.45</v>
      </c>
      <c r="O75" s="79">
        <v>102.39</v>
      </c>
      <c r="P75" s="77">
        <v>0.41206999999999999</v>
      </c>
      <c r="Q75" s="78">
        <f t="shared" ref="Q75:Q87" si="1">P75/$P$10</f>
        <v>3.1848741825528897E-4</v>
      </c>
      <c r="R75" s="78">
        <f>P75/'סכום נכסי הקרן'!$C$42</f>
        <v>5.0966300712684408E-6</v>
      </c>
    </row>
    <row r="76" spans="2:18">
      <c r="B76" s="76" t="s">
        <v>2125</v>
      </c>
      <c r="C76" s="83" t="s">
        <v>2090</v>
      </c>
      <c r="D76" s="70">
        <v>90839550</v>
      </c>
      <c r="E76" s="70"/>
      <c r="F76" s="70" t="s">
        <v>595</v>
      </c>
      <c r="G76" s="97">
        <v>43341</v>
      </c>
      <c r="H76" s="70" t="s">
        <v>153</v>
      </c>
      <c r="I76" s="77">
        <v>7.5499999999999989</v>
      </c>
      <c r="J76" s="83" t="s">
        <v>409</v>
      </c>
      <c r="K76" s="83" t="s">
        <v>157</v>
      </c>
      <c r="L76" s="84">
        <v>4.4999999999999998E-2</v>
      </c>
      <c r="M76" s="84">
        <v>4.1599999999999998E-2</v>
      </c>
      <c r="N76" s="77">
        <v>1009.64</v>
      </c>
      <c r="O76" s="79">
        <v>103.1</v>
      </c>
      <c r="P76" s="77">
        <v>1.0409300000000001</v>
      </c>
      <c r="Q76" s="78">
        <f t="shared" si="1"/>
        <v>8.0453104638648291E-4</v>
      </c>
      <c r="R76" s="78">
        <f>P76/'סכום נכסי הקרן'!$C$42</f>
        <v>1.2874596889085491E-5</v>
      </c>
    </row>
    <row r="77" spans="2:18">
      <c r="B77" s="76" t="s">
        <v>2125</v>
      </c>
      <c r="C77" s="83" t="s">
        <v>2090</v>
      </c>
      <c r="D77" s="70">
        <v>90839551</v>
      </c>
      <c r="E77" s="70"/>
      <c r="F77" s="70" t="s">
        <v>595</v>
      </c>
      <c r="G77" s="97">
        <v>43990</v>
      </c>
      <c r="H77" s="70" t="s">
        <v>153</v>
      </c>
      <c r="I77" s="77">
        <v>7.129999999999999</v>
      </c>
      <c r="J77" s="83" t="s">
        <v>409</v>
      </c>
      <c r="K77" s="83" t="s">
        <v>157</v>
      </c>
      <c r="L77" s="84">
        <v>4.4999999999999998E-2</v>
      </c>
      <c r="M77" s="84">
        <v>5.8900000000000008E-2</v>
      </c>
      <c r="N77" s="77">
        <v>1041.3399999999999</v>
      </c>
      <c r="O77" s="79">
        <v>91.33</v>
      </c>
      <c r="P77" s="77">
        <v>0.95105999999999991</v>
      </c>
      <c r="Q77" s="78">
        <f t="shared" si="1"/>
        <v>7.3507084720041528E-4</v>
      </c>
      <c r="R77" s="78">
        <f>P77/'סכום נכסי הקרן'!$C$42</f>
        <v>1.1763052383285759E-5</v>
      </c>
    </row>
    <row r="78" spans="2:18">
      <c r="B78" s="76" t="s">
        <v>2125</v>
      </c>
      <c r="C78" s="83" t="s">
        <v>2090</v>
      </c>
      <c r="D78" s="70">
        <v>90839512</v>
      </c>
      <c r="E78" s="70"/>
      <c r="F78" s="70" t="s">
        <v>595</v>
      </c>
      <c r="G78" s="97">
        <v>41893</v>
      </c>
      <c r="H78" s="70" t="s">
        <v>153</v>
      </c>
      <c r="I78" s="77">
        <v>9.15</v>
      </c>
      <c r="J78" s="83" t="s">
        <v>409</v>
      </c>
      <c r="K78" s="83" t="s">
        <v>157</v>
      </c>
      <c r="L78" s="84">
        <v>4.4999999999999998E-2</v>
      </c>
      <c r="M78" s="84">
        <v>2.41E-2</v>
      </c>
      <c r="N78" s="77">
        <v>1065.9100000000001</v>
      </c>
      <c r="O78" s="79">
        <v>116.25</v>
      </c>
      <c r="P78" s="77">
        <v>1.23912</v>
      </c>
      <c r="Q78" s="78">
        <f t="shared" si="1"/>
        <v>9.5771138328073796E-4</v>
      </c>
      <c r="R78" s="78">
        <f>P78/'סכום נכסי הקרן'!$C$42</f>
        <v>1.53258821411657E-5</v>
      </c>
    </row>
    <row r="79" spans="2:18">
      <c r="B79" s="76" t="s">
        <v>2125</v>
      </c>
      <c r="C79" s="83" t="s">
        <v>2090</v>
      </c>
      <c r="D79" s="70">
        <v>90839513</v>
      </c>
      <c r="E79" s="70"/>
      <c r="F79" s="70" t="s">
        <v>595</v>
      </c>
      <c r="G79" s="97">
        <v>42151</v>
      </c>
      <c r="H79" s="70" t="s">
        <v>153</v>
      </c>
      <c r="I79" s="77">
        <v>9.15</v>
      </c>
      <c r="J79" s="83" t="s">
        <v>409</v>
      </c>
      <c r="K79" s="83" t="s">
        <v>157</v>
      </c>
      <c r="L79" s="84">
        <v>4.4999999999999998E-2</v>
      </c>
      <c r="M79" s="84">
        <v>2.41E-2</v>
      </c>
      <c r="N79" s="77">
        <v>3903.46</v>
      </c>
      <c r="O79" s="79">
        <v>116.94</v>
      </c>
      <c r="P79" s="77">
        <v>4.5647000000000002</v>
      </c>
      <c r="Q79" s="78">
        <f t="shared" si="1"/>
        <v>3.5280401827600108E-3</v>
      </c>
      <c r="R79" s="78">
        <f>P79/'סכום נכסי הקרן'!$C$42</f>
        <v>5.6457852516123598E-5</v>
      </c>
    </row>
    <row r="80" spans="2:18">
      <c r="B80" s="76" t="s">
        <v>2125</v>
      </c>
      <c r="C80" s="83" t="s">
        <v>2090</v>
      </c>
      <c r="D80" s="70">
        <v>90839515</v>
      </c>
      <c r="E80" s="70"/>
      <c r="F80" s="70" t="s">
        <v>595</v>
      </c>
      <c r="G80" s="97">
        <v>42166</v>
      </c>
      <c r="H80" s="70" t="s">
        <v>153</v>
      </c>
      <c r="I80" s="77">
        <v>9.1499999999999986</v>
      </c>
      <c r="J80" s="83" t="s">
        <v>409</v>
      </c>
      <c r="K80" s="83" t="s">
        <v>157</v>
      </c>
      <c r="L80" s="84">
        <v>4.4999999999999998E-2</v>
      </c>
      <c r="M80" s="84">
        <v>2.41E-2</v>
      </c>
      <c r="N80" s="77">
        <v>3672.73</v>
      </c>
      <c r="O80" s="79">
        <v>116.94</v>
      </c>
      <c r="P80" s="77">
        <v>4.2948900000000005</v>
      </c>
      <c r="Q80" s="78">
        <f t="shared" si="1"/>
        <v>3.3195050059224361E-3</v>
      </c>
      <c r="R80" s="78">
        <f>P80/'סכום נכסי הקרן'!$C$42</f>
        <v>5.3120745326740883E-5</v>
      </c>
    </row>
    <row r="81" spans="2:18">
      <c r="B81" s="76" t="s">
        <v>2125</v>
      </c>
      <c r="C81" s="83" t="s">
        <v>2090</v>
      </c>
      <c r="D81" s="70">
        <v>90839516</v>
      </c>
      <c r="E81" s="70"/>
      <c r="F81" s="70" t="s">
        <v>595</v>
      </c>
      <c r="G81" s="97">
        <v>42257</v>
      </c>
      <c r="H81" s="70" t="s">
        <v>153</v>
      </c>
      <c r="I81" s="77">
        <v>9.16</v>
      </c>
      <c r="J81" s="83" t="s">
        <v>409</v>
      </c>
      <c r="K81" s="83" t="s">
        <v>157</v>
      </c>
      <c r="L81" s="84">
        <v>4.4999999999999998E-2</v>
      </c>
      <c r="M81" s="84">
        <v>2.4E-2</v>
      </c>
      <c r="N81" s="77">
        <v>1951.72</v>
      </c>
      <c r="O81" s="79">
        <v>116.3</v>
      </c>
      <c r="P81" s="77">
        <v>2.2698499999999999</v>
      </c>
      <c r="Q81" s="78">
        <f t="shared" si="1"/>
        <v>1.7543588864192192E-3</v>
      </c>
      <c r="R81" s="78">
        <f>P81/'סכום נכסי הקרן'!$C$42</f>
        <v>2.8074321759091101E-5</v>
      </c>
    </row>
    <row r="82" spans="2:18">
      <c r="B82" s="76" t="s">
        <v>2125</v>
      </c>
      <c r="C82" s="83" t="s">
        <v>2090</v>
      </c>
      <c r="D82" s="70">
        <v>90839517</v>
      </c>
      <c r="E82" s="70"/>
      <c r="F82" s="70" t="s">
        <v>595</v>
      </c>
      <c r="G82" s="97">
        <v>42348</v>
      </c>
      <c r="H82" s="70" t="s">
        <v>153</v>
      </c>
      <c r="I82" s="77">
        <v>9.15</v>
      </c>
      <c r="J82" s="83" t="s">
        <v>409</v>
      </c>
      <c r="K82" s="83" t="s">
        <v>157</v>
      </c>
      <c r="L82" s="84">
        <v>4.4999999999999998E-2</v>
      </c>
      <c r="M82" s="84">
        <v>2.41E-2</v>
      </c>
      <c r="N82" s="77">
        <v>3379.74</v>
      </c>
      <c r="O82" s="79">
        <v>116.7</v>
      </c>
      <c r="P82" s="77">
        <v>3.9441599999999997</v>
      </c>
      <c r="Q82" s="78">
        <f t="shared" si="1"/>
        <v>3.0484270526507156E-3</v>
      </c>
      <c r="R82" s="78">
        <f>P82/'סכום נכסי הקרן'!$C$42</f>
        <v>4.8782790452821444E-5</v>
      </c>
    </row>
    <row r="83" spans="2:18">
      <c r="B83" s="76" t="s">
        <v>2125</v>
      </c>
      <c r="C83" s="83" t="s">
        <v>2090</v>
      </c>
      <c r="D83" s="70">
        <v>90839518</v>
      </c>
      <c r="E83" s="70"/>
      <c r="F83" s="70" t="s">
        <v>595</v>
      </c>
      <c r="G83" s="97">
        <v>42439</v>
      </c>
      <c r="H83" s="70" t="s">
        <v>153</v>
      </c>
      <c r="I83" s="77">
        <v>9.1499999999999986</v>
      </c>
      <c r="J83" s="83" t="s">
        <v>409</v>
      </c>
      <c r="K83" s="83" t="s">
        <v>157</v>
      </c>
      <c r="L83" s="84">
        <v>4.4999999999999998E-2</v>
      </c>
      <c r="M83" s="84">
        <v>2.41E-2</v>
      </c>
      <c r="N83" s="77">
        <v>4014.07</v>
      </c>
      <c r="O83" s="79">
        <v>117.89</v>
      </c>
      <c r="P83" s="77">
        <v>4.7321800000000005</v>
      </c>
      <c r="Q83" s="78">
        <f t="shared" si="1"/>
        <v>3.6574848713066071E-3</v>
      </c>
      <c r="R83" s="78">
        <f>P83/'סכום נכסי הקרן'!$C$42</f>
        <v>5.8529305435132605E-5</v>
      </c>
    </row>
    <row r="84" spans="2:18">
      <c r="B84" s="76" t="s">
        <v>2125</v>
      </c>
      <c r="C84" s="83" t="s">
        <v>2090</v>
      </c>
      <c r="D84" s="70">
        <v>90839519</v>
      </c>
      <c r="E84" s="70"/>
      <c r="F84" s="70" t="s">
        <v>595</v>
      </c>
      <c r="G84" s="97">
        <v>42549</v>
      </c>
      <c r="H84" s="70" t="s">
        <v>153</v>
      </c>
      <c r="I84" s="77">
        <v>9.120000000000001</v>
      </c>
      <c r="J84" s="83" t="s">
        <v>409</v>
      </c>
      <c r="K84" s="83" t="s">
        <v>157</v>
      </c>
      <c r="L84" s="84">
        <v>4.4999999999999998E-2</v>
      </c>
      <c r="M84" s="84">
        <v>2.6099999999999998E-2</v>
      </c>
      <c r="N84" s="77">
        <v>2823.44</v>
      </c>
      <c r="O84" s="79">
        <v>116</v>
      </c>
      <c r="P84" s="77">
        <v>3.2751900000000003</v>
      </c>
      <c r="Q84" s="78">
        <f t="shared" si="1"/>
        <v>2.5313825500413523E-3</v>
      </c>
      <c r="R84" s="78">
        <f>P84/'סכום נכסי הקרן'!$C$42</f>
        <v>4.0508728718707223E-5</v>
      </c>
    </row>
    <row r="85" spans="2:18">
      <c r="B85" s="76" t="s">
        <v>2125</v>
      </c>
      <c r="C85" s="83" t="s">
        <v>2090</v>
      </c>
      <c r="D85" s="70">
        <v>90839520</v>
      </c>
      <c r="E85" s="70"/>
      <c r="F85" s="70" t="s">
        <v>595</v>
      </c>
      <c r="G85" s="97">
        <v>42604</v>
      </c>
      <c r="H85" s="70" t="s">
        <v>153</v>
      </c>
      <c r="I85" s="77">
        <v>9.0500000000000007</v>
      </c>
      <c r="J85" s="83" t="s">
        <v>409</v>
      </c>
      <c r="K85" s="83" t="s">
        <v>157</v>
      </c>
      <c r="L85" s="84">
        <v>4.4999999999999998E-2</v>
      </c>
      <c r="M85" s="84">
        <v>3.0299999999999997E-2</v>
      </c>
      <c r="N85" s="77">
        <v>3692.15</v>
      </c>
      <c r="O85" s="79">
        <v>111.72</v>
      </c>
      <c r="P85" s="77">
        <v>4.1248699999999996</v>
      </c>
      <c r="Q85" s="78">
        <f t="shared" si="1"/>
        <v>3.1880971605278076E-3</v>
      </c>
      <c r="R85" s="78">
        <f>P85/'סכום נכסי הקרן'!$C$42</f>
        <v>5.1017876773541027E-5</v>
      </c>
    </row>
    <row r="86" spans="2:18">
      <c r="B86" s="76" t="s">
        <v>2126</v>
      </c>
      <c r="C86" s="83" t="s">
        <v>2091</v>
      </c>
      <c r="D86" s="70">
        <v>90141407</v>
      </c>
      <c r="E86" s="70"/>
      <c r="F86" s="70" t="s">
        <v>2096</v>
      </c>
      <c r="G86" s="97">
        <v>42372</v>
      </c>
      <c r="H86" s="70" t="s">
        <v>153</v>
      </c>
      <c r="I86" s="77">
        <v>8.7899999999999991</v>
      </c>
      <c r="J86" s="83" t="s">
        <v>149</v>
      </c>
      <c r="K86" s="83" t="s">
        <v>157</v>
      </c>
      <c r="L86" s="84">
        <v>6.7000000000000004E-2</v>
      </c>
      <c r="M86" s="84">
        <v>2.63E-2</v>
      </c>
      <c r="N86" s="77">
        <v>21548.79</v>
      </c>
      <c r="O86" s="79">
        <v>140.01</v>
      </c>
      <c r="P86" s="77">
        <v>30.170470000000002</v>
      </c>
      <c r="Q86" s="78">
        <f t="shared" si="1"/>
        <v>2.3318647554659764E-2</v>
      </c>
      <c r="R86" s="78">
        <f>P86/'סכום נכסי הקרן'!$C$42</f>
        <v>3.7315923184483789E-4</v>
      </c>
    </row>
    <row r="87" spans="2:18">
      <c r="B87" s="76" t="s">
        <v>2127</v>
      </c>
      <c r="C87" s="83" t="s">
        <v>2090</v>
      </c>
      <c r="D87" s="70">
        <v>90800100</v>
      </c>
      <c r="E87" s="70"/>
      <c r="F87" s="70" t="s">
        <v>2097</v>
      </c>
      <c r="G87" s="97">
        <v>41529</v>
      </c>
      <c r="H87" s="70" t="s">
        <v>2089</v>
      </c>
      <c r="I87" s="77">
        <v>2.81</v>
      </c>
      <c r="J87" s="83" t="s">
        <v>790</v>
      </c>
      <c r="K87" s="83" t="s">
        <v>157</v>
      </c>
      <c r="L87" s="84">
        <v>7.6999999999999999E-2</v>
      </c>
      <c r="M87" s="84">
        <v>0</v>
      </c>
      <c r="N87" s="77">
        <v>32718.52</v>
      </c>
      <c r="O87" s="79">
        <v>0</v>
      </c>
      <c r="P87" s="79">
        <v>0</v>
      </c>
      <c r="Q87" s="78">
        <f t="shared" si="1"/>
        <v>0</v>
      </c>
      <c r="R87" s="78">
        <f>P87/'סכום נכסי הקרן'!$C$42</f>
        <v>0</v>
      </c>
    </row>
    <row r="88" spans="2:18">
      <c r="B88" s="73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7"/>
      <c r="O88" s="79"/>
      <c r="P88" s="70"/>
      <c r="Q88" s="78"/>
      <c r="R88" s="70"/>
    </row>
    <row r="89" spans="2:18">
      <c r="B89" s="71" t="s">
        <v>36</v>
      </c>
      <c r="C89" s="72"/>
      <c r="D89" s="72"/>
      <c r="E89" s="72"/>
      <c r="F89" s="72"/>
      <c r="G89" s="72"/>
      <c r="H89" s="72"/>
      <c r="I89" s="80">
        <v>2.4927018212070866</v>
      </c>
      <c r="J89" s="72"/>
      <c r="K89" s="72"/>
      <c r="L89" s="72"/>
      <c r="M89" s="94">
        <v>4.408495290838501E-2</v>
      </c>
      <c r="N89" s="80"/>
      <c r="O89" s="82"/>
      <c r="P89" s="80">
        <f>P90</f>
        <v>65.19632</v>
      </c>
      <c r="Q89" s="81">
        <f t="shared" ref="Q89:Q95" si="2">P89/$P$10</f>
        <v>5.0390000816719641E-2</v>
      </c>
      <c r="R89" s="81">
        <f>P89/'סכום נכסי הקרן'!$C$42</f>
        <v>8.0637155106666361E-4</v>
      </c>
    </row>
    <row r="90" spans="2:18">
      <c r="B90" s="89" t="s">
        <v>34</v>
      </c>
      <c r="C90" s="72"/>
      <c r="D90" s="72"/>
      <c r="E90" s="72"/>
      <c r="F90" s="72"/>
      <c r="G90" s="72"/>
      <c r="H90" s="72"/>
      <c r="I90" s="80">
        <v>2.4927018212070866</v>
      </c>
      <c r="J90" s="72"/>
      <c r="K90" s="72"/>
      <c r="L90" s="72"/>
      <c r="M90" s="94">
        <v>4.408495290838501E-2</v>
      </c>
      <c r="N90" s="80"/>
      <c r="O90" s="82"/>
      <c r="P90" s="80">
        <f>SUM(P91:P95)</f>
        <v>65.19632</v>
      </c>
      <c r="Q90" s="81">
        <f t="shared" si="2"/>
        <v>5.0390000816719641E-2</v>
      </c>
      <c r="R90" s="81">
        <f>P90/'סכום נכסי הקרן'!$C$42</f>
        <v>8.0637155106666361E-4</v>
      </c>
    </row>
    <row r="91" spans="2:18">
      <c r="B91" s="76" t="s">
        <v>2128</v>
      </c>
      <c r="C91" s="83" t="s">
        <v>2090</v>
      </c>
      <c r="D91" s="70">
        <v>4623</v>
      </c>
      <c r="E91" s="70"/>
      <c r="F91" s="70" t="s">
        <v>2098</v>
      </c>
      <c r="G91" s="97">
        <v>42354</v>
      </c>
      <c r="H91" s="70" t="s">
        <v>2099</v>
      </c>
      <c r="I91" s="77">
        <v>4.4000000000000004</v>
      </c>
      <c r="J91" s="83" t="s">
        <v>1793</v>
      </c>
      <c r="K91" s="83" t="s">
        <v>156</v>
      </c>
      <c r="L91" s="84">
        <v>5.0199999999999995E-2</v>
      </c>
      <c r="M91" s="84">
        <v>2.8700000000000007E-2</v>
      </c>
      <c r="N91" s="77">
        <v>4375</v>
      </c>
      <c r="O91" s="79">
        <v>112.43</v>
      </c>
      <c r="P91" s="77">
        <v>17.048599999999997</v>
      </c>
      <c r="Q91" s="78">
        <f t="shared" si="2"/>
        <v>1.3176801511556577E-2</v>
      </c>
      <c r="R91" s="78">
        <f>P91/'סכום נכסי הקרן'!$C$42</f>
        <v>2.1086322089214726E-4</v>
      </c>
    </row>
    <row r="92" spans="2:18">
      <c r="B92" s="76" t="s">
        <v>2129</v>
      </c>
      <c r="C92" s="83" t="s">
        <v>2090</v>
      </c>
      <c r="D92" s="70">
        <v>487557</v>
      </c>
      <c r="E92" s="70"/>
      <c r="F92" s="70" t="s">
        <v>2100</v>
      </c>
      <c r="G92" s="97">
        <v>42978</v>
      </c>
      <c r="H92" s="70" t="s">
        <v>1795</v>
      </c>
      <c r="I92" s="77">
        <v>1.71</v>
      </c>
      <c r="J92" s="83" t="s">
        <v>1793</v>
      </c>
      <c r="K92" s="83" t="s">
        <v>156</v>
      </c>
      <c r="L92" s="84">
        <v>3.9281999999999997E-2</v>
      </c>
      <c r="M92" s="84">
        <v>4.4600000000000001E-2</v>
      </c>
      <c r="N92" s="77">
        <v>4756.66</v>
      </c>
      <c r="O92" s="79">
        <v>99.29</v>
      </c>
      <c r="P92" s="77">
        <v>16.369530000000001</v>
      </c>
      <c r="Q92" s="78">
        <f t="shared" si="2"/>
        <v>1.2651950755338901E-2</v>
      </c>
      <c r="R92" s="78">
        <f>P92/'סכום נכסי הקרן'!$C$42</f>
        <v>2.0246423872286476E-4</v>
      </c>
    </row>
    <row r="93" spans="2:18">
      <c r="B93" s="76" t="s">
        <v>2129</v>
      </c>
      <c r="C93" s="83" t="s">
        <v>2090</v>
      </c>
      <c r="D93" s="70">
        <v>487556</v>
      </c>
      <c r="E93" s="70"/>
      <c r="F93" s="70" t="s">
        <v>2101</v>
      </c>
      <c r="G93" s="97">
        <v>42438</v>
      </c>
      <c r="H93" s="70" t="s">
        <v>1795</v>
      </c>
      <c r="I93" s="77">
        <v>2.15</v>
      </c>
      <c r="J93" s="83" t="s">
        <v>1793</v>
      </c>
      <c r="K93" s="83" t="s">
        <v>156</v>
      </c>
      <c r="L93" s="84">
        <v>6.3078999999999996E-2</v>
      </c>
      <c r="M93" s="84">
        <v>6.8900000000000003E-2</v>
      </c>
      <c r="N93" s="77">
        <v>1743.92</v>
      </c>
      <c r="O93" s="79">
        <v>99.32</v>
      </c>
      <c r="P93" s="77">
        <v>6.0033500000000002</v>
      </c>
      <c r="Q93" s="78">
        <f t="shared" si="2"/>
        <v>4.6399675841068003E-3</v>
      </c>
      <c r="R93" s="78">
        <f>P93/'סכום נכסי הקרן'!$C$42</f>
        <v>7.4251593511659176E-5</v>
      </c>
    </row>
    <row r="94" spans="2:18">
      <c r="B94" s="76" t="s">
        <v>2130</v>
      </c>
      <c r="C94" s="83" t="s">
        <v>2090</v>
      </c>
      <c r="D94" s="70">
        <v>474437</v>
      </c>
      <c r="E94" s="70"/>
      <c r="F94" s="70" t="s">
        <v>640</v>
      </c>
      <c r="G94" s="97">
        <v>42887</v>
      </c>
      <c r="H94" s="70"/>
      <c r="I94" s="77">
        <v>1.77</v>
      </c>
      <c r="J94" s="83" t="s">
        <v>1793</v>
      </c>
      <c r="K94" s="83" t="s">
        <v>156</v>
      </c>
      <c r="L94" s="84">
        <v>3.85E-2</v>
      </c>
      <c r="M94" s="84">
        <v>4.9599999999999998E-2</v>
      </c>
      <c r="N94" s="77">
        <v>4673.71</v>
      </c>
      <c r="O94" s="79">
        <v>98.58</v>
      </c>
      <c r="P94" s="77">
        <v>15.969040000000001</v>
      </c>
      <c r="Q94" s="78">
        <f t="shared" si="2"/>
        <v>1.2342413477359284E-2</v>
      </c>
      <c r="R94" s="78">
        <f>P94/'סכום נכסי הקרן'!$C$42</f>
        <v>1.9751083425944278E-4</v>
      </c>
    </row>
    <row r="95" spans="2:18">
      <c r="B95" s="76" t="s">
        <v>2130</v>
      </c>
      <c r="C95" s="83" t="s">
        <v>2090</v>
      </c>
      <c r="D95" s="70">
        <v>474436</v>
      </c>
      <c r="E95" s="70"/>
      <c r="F95" s="70" t="s">
        <v>640</v>
      </c>
      <c r="G95" s="97">
        <v>42887</v>
      </c>
      <c r="H95" s="70"/>
      <c r="I95" s="77">
        <v>1.8700000000000003</v>
      </c>
      <c r="J95" s="83" t="s">
        <v>1793</v>
      </c>
      <c r="K95" s="83" t="s">
        <v>156</v>
      </c>
      <c r="L95" s="84">
        <v>3.6782000000000002E-2</v>
      </c>
      <c r="M95" s="84">
        <v>4.5799999999999993E-2</v>
      </c>
      <c r="N95" s="77">
        <v>2869.9</v>
      </c>
      <c r="O95" s="79">
        <v>98.58</v>
      </c>
      <c r="P95" s="77">
        <v>9.8057999999999996</v>
      </c>
      <c r="Q95" s="78">
        <f t="shared" si="2"/>
        <v>7.5788674883580766E-3</v>
      </c>
      <c r="R95" s="78">
        <f>P95/'סכום נכסי הקרן'!$C$42</f>
        <v>1.212816636805496E-4</v>
      </c>
    </row>
    <row r="99" spans="2:2">
      <c r="B99" s="85" t="s">
        <v>244</v>
      </c>
    </row>
    <row r="100" spans="2:2">
      <c r="B100" s="85" t="s">
        <v>105</v>
      </c>
    </row>
    <row r="101" spans="2:2">
      <c r="B101" s="85" t="s">
        <v>227</v>
      </c>
    </row>
    <row r="102" spans="2:2">
      <c r="B102" s="85" t="s">
        <v>235</v>
      </c>
    </row>
  </sheetData>
  <sheetProtection sheet="1" objects="1" scenarios="1"/>
  <mergeCells count="1">
    <mergeCell ref="B6:R6"/>
  </mergeCells>
  <phoneticPr fontId="3" type="noConversion"/>
  <conditionalFormatting sqref="B88:B90">
    <cfRule type="cellIs" dxfId="7" priority="4" operator="equal">
      <formula>2958465</formula>
    </cfRule>
    <cfRule type="cellIs" dxfId="6" priority="5" operator="equal">
      <formula>"NR3"</formula>
    </cfRule>
    <cfRule type="cellIs" dxfId="5" priority="6" operator="equal">
      <formula>"דירוג פנימי"</formula>
    </cfRule>
  </conditionalFormatting>
  <conditionalFormatting sqref="B88:B90">
    <cfRule type="cellIs" dxfId="4" priority="3" operator="equal">
      <formula>2958465</formula>
    </cfRule>
  </conditionalFormatting>
  <conditionalFormatting sqref="B11:B87">
    <cfRule type="cellIs" dxfId="3" priority="2" operator="equal">
      <formula>"NR3"</formula>
    </cfRule>
  </conditionalFormatting>
  <conditionalFormatting sqref="B91:B95">
    <cfRule type="cellIs" dxfId="2" priority="1" operator="equal">
      <formula>"NR3"</formula>
    </cfRule>
  </conditionalFormatting>
  <dataValidations count="1">
    <dataValidation allowBlank="1" showInputMessage="1" showErrorMessage="1" sqref="C5 D1:R5 C7:R9 B1:B9 B96:R1048576 AA53:XFD56 A1:A1048576 S1:XFD52 S57:XFD1048576 S53:Y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172</v>
      </c>
      <c r="C1" s="68" t="s" vm="1">
        <v>252</v>
      </c>
    </row>
    <row r="2" spans="2:64">
      <c r="B2" s="47" t="s">
        <v>171</v>
      </c>
      <c r="C2" s="68" t="s">
        <v>253</v>
      </c>
    </row>
    <row r="3" spans="2:64">
      <c r="B3" s="47" t="s">
        <v>173</v>
      </c>
      <c r="C3" s="68" t="s">
        <v>254</v>
      </c>
    </row>
    <row r="4" spans="2:64">
      <c r="B4" s="47" t="s">
        <v>174</v>
      </c>
      <c r="C4" s="68">
        <v>8602</v>
      </c>
    </row>
    <row r="6" spans="2:64" ht="26.25" customHeight="1">
      <c r="B6" s="123" t="s">
        <v>205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64" s="3" customFormat="1" ht="78.75">
      <c r="B7" s="48" t="s">
        <v>109</v>
      </c>
      <c r="C7" s="49" t="s">
        <v>41</v>
      </c>
      <c r="D7" s="49" t="s">
        <v>110</v>
      </c>
      <c r="E7" s="49" t="s">
        <v>14</v>
      </c>
      <c r="F7" s="49" t="s">
        <v>62</v>
      </c>
      <c r="G7" s="49" t="s">
        <v>17</v>
      </c>
      <c r="H7" s="49" t="s">
        <v>96</v>
      </c>
      <c r="I7" s="49" t="s">
        <v>49</v>
      </c>
      <c r="J7" s="49" t="s">
        <v>18</v>
      </c>
      <c r="K7" s="49" t="s">
        <v>229</v>
      </c>
      <c r="L7" s="49" t="s">
        <v>228</v>
      </c>
      <c r="M7" s="49" t="s">
        <v>104</v>
      </c>
      <c r="N7" s="49" t="s">
        <v>175</v>
      </c>
      <c r="O7" s="51" t="s">
        <v>177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236</v>
      </c>
      <c r="L8" s="32"/>
      <c r="M8" s="32" t="s">
        <v>232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9">
        <v>0</v>
      </c>
      <c r="N10" s="69"/>
      <c r="O10" s="69"/>
      <c r="P10" s="1"/>
      <c r="Q10" s="1"/>
      <c r="R10" s="1"/>
      <c r="S10" s="1"/>
      <c r="T10" s="1"/>
      <c r="U10" s="1"/>
      <c r="BL10" s="1"/>
    </row>
    <row r="11" spans="2:64" ht="20.25" customHeight="1">
      <c r="B11" s="85" t="s">
        <v>244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64">
      <c r="B12" s="85" t="s">
        <v>105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64">
      <c r="B13" s="85" t="s">
        <v>227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64">
      <c r="B14" s="85" t="s">
        <v>235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64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64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1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1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1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1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172</v>
      </c>
      <c r="C1" s="68" t="s" vm="1">
        <v>252</v>
      </c>
    </row>
    <row r="2" spans="2:56">
      <c r="B2" s="47" t="s">
        <v>171</v>
      </c>
      <c r="C2" s="68" t="s">
        <v>253</v>
      </c>
    </row>
    <row r="3" spans="2:56">
      <c r="B3" s="47" t="s">
        <v>173</v>
      </c>
      <c r="C3" s="68" t="s">
        <v>254</v>
      </c>
    </row>
    <row r="4" spans="2:56">
      <c r="B4" s="47" t="s">
        <v>174</v>
      </c>
      <c r="C4" s="68">
        <v>8602</v>
      </c>
    </row>
    <row r="6" spans="2:56" ht="26.25" customHeight="1">
      <c r="B6" s="123" t="s">
        <v>206</v>
      </c>
      <c r="C6" s="124"/>
      <c r="D6" s="124"/>
      <c r="E6" s="124"/>
      <c r="F6" s="124"/>
      <c r="G6" s="124"/>
      <c r="H6" s="124"/>
      <c r="I6" s="124"/>
      <c r="J6" s="125"/>
    </row>
    <row r="7" spans="2:56" s="3" customFormat="1" ht="78.75">
      <c r="B7" s="48" t="s">
        <v>109</v>
      </c>
      <c r="C7" s="50" t="s">
        <v>51</v>
      </c>
      <c r="D7" s="50" t="s">
        <v>81</v>
      </c>
      <c r="E7" s="50" t="s">
        <v>52</v>
      </c>
      <c r="F7" s="50" t="s">
        <v>96</v>
      </c>
      <c r="G7" s="50" t="s">
        <v>217</v>
      </c>
      <c r="H7" s="50" t="s">
        <v>175</v>
      </c>
      <c r="I7" s="50" t="s">
        <v>176</v>
      </c>
      <c r="J7" s="65" t="s">
        <v>239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233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69"/>
      <c r="C10" s="69"/>
      <c r="D10" s="69"/>
      <c r="E10" s="69"/>
      <c r="F10" s="69"/>
      <c r="G10" s="79">
        <v>0</v>
      </c>
      <c r="H10" s="69"/>
      <c r="I10" s="69"/>
      <c r="J10" s="6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8"/>
      <c r="C11" s="69"/>
      <c r="D11" s="69"/>
      <c r="E11" s="69"/>
      <c r="F11" s="69"/>
      <c r="G11" s="69"/>
      <c r="H11" s="69"/>
      <c r="I11" s="69"/>
      <c r="J11" s="69"/>
    </row>
    <row r="12" spans="2:56">
      <c r="B12" s="108"/>
      <c r="C12" s="69"/>
      <c r="D12" s="69"/>
      <c r="E12" s="69"/>
      <c r="F12" s="69"/>
      <c r="G12" s="69"/>
      <c r="H12" s="69"/>
      <c r="I12" s="69"/>
      <c r="J12" s="69"/>
    </row>
    <row r="13" spans="2:56">
      <c r="B13" s="69"/>
      <c r="C13" s="69"/>
      <c r="D13" s="69"/>
      <c r="E13" s="69"/>
      <c r="F13" s="69"/>
      <c r="G13" s="69"/>
      <c r="H13" s="69"/>
      <c r="I13" s="69"/>
      <c r="J13" s="69"/>
    </row>
    <row r="14" spans="2:56">
      <c r="B14" s="69"/>
      <c r="C14" s="69"/>
      <c r="D14" s="69"/>
      <c r="E14" s="69"/>
      <c r="F14" s="69"/>
      <c r="G14" s="69"/>
      <c r="H14" s="69"/>
      <c r="I14" s="69"/>
      <c r="J14" s="69"/>
    </row>
    <row r="15" spans="2:56">
      <c r="B15" s="69"/>
      <c r="C15" s="69"/>
      <c r="D15" s="69"/>
      <c r="E15" s="69"/>
      <c r="F15" s="69"/>
      <c r="G15" s="69"/>
      <c r="H15" s="69"/>
      <c r="I15" s="69"/>
      <c r="J15" s="69"/>
    </row>
    <row r="16" spans="2:56">
      <c r="B16" s="69"/>
      <c r="C16" s="69"/>
      <c r="D16" s="69"/>
      <c r="E16" s="69"/>
      <c r="F16" s="69"/>
      <c r="G16" s="69"/>
      <c r="H16" s="69"/>
      <c r="I16" s="69"/>
      <c r="J16" s="69"/>
    </row>
    <row r="17" spans="2:10">
      <c r="B17" s="69"/>
      <c r="C17" s="69"/>
      <c r="D17" s="69"/>
      <c r="E17" s="69"/>
      <c r="F17" s="69"/>
      <c r="G17" s="69"/>
      <c r="H17" s="69"/>
      <c r="I17" s="69"/>
      <c r="J17" s="69"/>
    </row>
    <row r="18" spans="2:10">
      <c r="B18" s="69"/>
      <c r="C18" s="69"/>
      <c r="D18" s="69"/>
      <c r="E18" s="69"/>
      <c r="F18" s="69"/>
      <c r="G18" s="69"/>
      <c r="H18" s="69"/>
      <c r="I18" s="69"/>
      <c r="J18" s="69"/>
    </row>
    <row r="19" spans="2:10">
      <c r="B19" s="69"/>
      <c r="C19" s="69"/>
      <c r="D19" s="69"/>
      <c r="E19" s="69"/>
      <c r="F19" s="69"/>
      <c r="G19" s="69"/>
      <c r="H19" s="69"/>
      <c r="I19" s="69"/>
      <c r="J19" s="69"/>
    </row>
    <row r="20" spans="2:10">
      <c r="B20" s="69"/>
      <c r="C20" s="69"/>
      <c r="D20" s="69"/>
      <c r="E20" s="69"/>
      <c r="F20" s="69"/>
      <c r="G20" s="69"/>
      <c r="H20" s="69"/>
      <c r="I20" s="69"/>
      <c r="J20" s="69"/>
    </row>
    <row r="21" spans="2:10">
      <c r="B21" s="69"/>
      <c r="C21" s="69"/>
      <c r="D21" s="69"/>
      <c r="E21" s="69"/>
      <c r="F21" s="69"/>
      <c r="G21" s="69"/>
      <c r="H21" s="69"/>
      <c r="I21" s="69"/>
      <c r="J21" s="69"/>
    </row>
    <row r="22" spans="2:10">
      <c r="B22" s="69"/>
      <c r="C22" s="69"/>
      <c r="D22" s="69"/>
      <c r="E22" s="69"/>
      <c r="F22" s="69"/>
      <c r="G22" s="69"/>
      <c r="H22" s="69"/>
      <c r="I22" s="69"/>
      <c r="J22" s="69"/>
    </row>
    <row r="23" spans="2:10">
      <c r="B23" s="69"/>
      <c r="C23" s="69"/>
      <c r="D23" s="69"/>
      <c r="E23" s="69"/>
      <c r="F23" s="69"/>
      <c r="G23" s="69"/>
      <c r="H23" s="69"/>
      <c r="I23" s="69"/>
      <c r="J23" s="69"/>
    </row>
    <row r="24" spans="2:10">
      <c r="B24" s="69"/>
      <c r="C24" s="69"/>
      <c r="D24" s="69"/>
      <c r="E24" s="69"/>
      <c r="F24" s="69"/>
      <c r="G24" s="69"/>
      <c r="H24" s="69"/>
      <c r="I24" s="69"/>
      <c r="J24" s="69"/>
    </row>
    <row r="25" spans="2:10">
      <c r="B25" s="69"/>
      <c r="C25" s="69"/>
      <c r="D25" s="69"/>
      <c r="E25" s="69"/>
      <c r="F25" s="69"/>
      <c r="G25" s="69"/>
      <c r="H25" s="69"/>
      <c r="I25" s="69"/>
      <c r="J25" s="69"/>
    </row>
    <row r="26" spans="2:10">
      <c r="B26" s="69"/>
      <c r="C26" s="69"/>
      <c r="D26" s="69"/>
      <c r="E26" s="69"/>
      <c r="F26" s="69"/>
      <c r="G26" s="69"/>
      <c r="H26" s="69"/>
      <c r="I26" s="69"/>
      <c r="J26" s="69"/>
    </row>
    <row r="27" spans="2:10">
      <c r="B27" s="69"/>
      <c r="C27" s="69"/>
      <c r="D27" s="69"/>
      <c r="E27" s="69"/>
      <c r="F27" s="69"/>
      <c r="G27" s="69"/>
      <c r="H27" s="69"/>
      <c r="I27" s="69"/>
      <c r="J27" s="69"/>
    </row>
    <row r="28" spans="2:10">
      <c r="B28" s="69"/>
      <c r="C28" s="69"/>
      <c r="D28" s="69"/>
      <c r="E28" s="69"/>
      <c r="F28" s="69"/>
      <c r="G28" s="69"/>
      <c r="H28" s="69"/>
      <c r="I28" s="69"/>
      <c r="J28" s="69"/>
    </row>
    <row r="29" spans="2:10">
      <c r="B29" s="69"/>
      <c r="C29" s="69"/>
      <c r="D29" s="69"/>
      <c r="E29" s="69"/>
      <c r="F29" s="69"/>
      <c r="G29" s="69"/>
      <c r="H29" s="69"/>
      <c r="I29" s="69"/>
      <c r="J29" s="69"/>
    </row>
    <row r="30" spans="2:10">
      <c r="B30" s="69"/>
      <c r="C30" s="69"/>
      <c r="D30" s="69"/>
      <c r="E30" s="69"/>
      <c r="F30" s="69"/>
      <c r="G30" s="69"/>
      <c r="H30" s="69"/>
      <c r="I30" s="69"/>
      <c r="J30" s="69"/>
    </row>
    <row r="31" spans="2:10">
      <c r="B31" s="69"/>
      <c r="C31" s="69"/>
      <c r="D31" s="69"/>
      <c r="E31" s="69"/>
      <c r="F31" s="69"/>
      <c r="G31" s="69"/>
      <c r="H31" s="69"/>
      <c r="I31" s="69"/>
      <c r="J31" s="69"/>
    </row>
    <row r="32" spans="2:10">
      <c r="B32" s="69"/>
      <c r="C32" s="69"/>
      <c r="D32" s="69"/>
      <c r="E32" s="69"/>
      <c r="F32" s="69"/>
      <c r="G32" s="69"/>
      <c r="H32" s="69"/>
      <c r="I32" s="69"/>
      <c r="J32" s="69"/>
    </row>
    <row r="33" spans="2:10">
      <c r="B33" s="69"/>
      <c r="C33" s="69"/>
      <c r="D33" s="69"/>
      <c r="E33" s="69"/>
      <c r="F33" s="69"/>
      <c r="G33" s="69"/>
      <c r="H33" s="69"/>
      <c r="I33" s="69"/>
      <c r="J33" s="69"/>
    </row>
    <row r="34" spans="2:10">
      <c r="B34" s="69"/>
      <c r="C34" s="69"/>
      <c r="D34" s="69"/>
      <c r="E34" s="69"/>
      <c r="F34" s="69"/>
      <c r="G34" s="69"/>
      <c r="H34" s="69"/>
      <c r="I34" s="69"/>
      <c r="J34" s="69"/>
    </row>
    <row r="35" spans="2:10">
      <c r="B35" s="69"/>
      <c r="C35" s="69"/>
      <c r="D35" s="69"/>
      <c r="E35" s="69"/>
      <c r="F35" s="69"/>
      <c r="G35" s="69"/>
      <c r="H35" s="69"/>
      <c r="I35" s="69"/>
      <c r="J35" s="69"/>
    </row>
    <row r="36" spans="2:10">
      <c r="B36" s="69"/>
      <c r="C36" s="69"/>
      <c r="D36" s="69"/>
      <c r="E36" s="69"/>
      <c r="F36" s="69"/>
      <c r="G36" s="69"/>
      <c r="H36" s="69"/>
      <c r="I36" s="69"/>
      <c r="J36" s="69"/>
    </row>
    <row r="37" spans="2:10">
      <c r="B37" s="69"/>
      <c r="C37" s="69"/>
      <c r="D37" s="69"/>
      <c r="E37" s="69"/>
      <c r="F37" s="69"/>
      <c r="G37" s="69"/>
      <c r="H37" s="69"/>
      <c r="I37" s="69"/>
      <c r="J37" s="69"/>
    </row>
    <row r="38" spans="2:10">
      <c r="B38" s="69"/>
      <c r="C38" s="69"/>
      <c r="D38" s="69"/>
      <c r="E38" s="69"/>
      <c r="F38" s="69"/>
      <c r="G38" s="69"/>
      <c r="H38" s="69"/>
      <c r="I38" s="69"/>
      <c r="J38" s="69"/>
    </row>
    <row r="39" spans="2:10">
      <c r="B39" s="69"/>
      <c r="C39" s="69"/>
      <c r="D39" s="69"/>
      <c r="E39" s="69"/>
      <c r="F39" s="69"/>
      <c r="G39" s="69"/>
      <c r="H39" s="69"/>
      <c r="I39" s="69"/>
      <c r="J39" s="69"/>
    </row>
    <row r="40" spans="2:10">
      <c r="B40" s="69"/>
      <c r="C40" s="69"/>
      <c r="D40" s="69"/>
      <c r="E40" s="69"/>
      <c r="F40" s="69"/>
      <c r="G40" s="69"/>
      <c r="H40" s="69"/>
      <c r="I40" s="69"/>
      <c r="J40" s="69"/>
    </row>
    <row r="41" spans="2:10">
      <c r="B41" s="69"/>
      <c r="C41" s="69"/>
      <c r="D41" s="69"/>
      <c r="E41" s="69"/>
      <c r="F41" s="69"/>
      <c r="G41" s="69"/>
      <c r="H41" s="69"/>
      <c r="I41" s="69"/>
      <c r="J41" s="69"/>
    </row>
    <row r="42" spans="2:10">
      <c r="B42" s="69"/>
      <c r="C42" s="69"/>
      <c r="D42" s="69"/>
      <c r="E42" s="69"/>
      <c r="F42" s="69"/>
      <c r="G42" s="69"/>
      <c r="H42" s="69"/>
      <c r="I42" s="69"/>
      <c r="J42" s="69"/>
    </row>
    <row r="43" spans="2:10">
      <c r="B43" s="69"/>
      <c r="C43" s="69"/>
      <c r="D43" s="69"/>
      <c r="E43" s="69"/>
      <c r="F43" s="69"/>
      <c r="G43" s="69"/>
      <c r="H43" s="69"/>
      <c r="I43" s="69"/>
      <c r="J43" s="69"/>
    </row>
    <row r="44" spans="2:10">
      <c r="B44" s="69"/>
      <c r="C44" s="69"/>
      <c r="D44" s="69"/>
      <c r="E44" s="69"/>
      <c r="F44" s="69"/>
      <c r="G44" s="69"/>
      <c r="H44" s="69"/>
      <c r="I44" s="69"/>
      <c r="J44" s="69"/>
    </row>
    <row r="45" spans="2:10">
      <c r="B45" s="69"/>
      <c r="C45" s="69"/>
      <c r="D45" s="69"/>
      <c r="E45" s="69"/>
      <c r="F45" s="69"/>
      <c r="G45" s="69"/>
      <c r="H45" s="69"/>
      <c r="I45" s="69"/>
      <c r="J45" s="69"/>
    </row>
    <row r="46" spans="2:10">
      <c r="B46" s="69"/>
      <c r="C46" s="69"/>
      <c r="D46" s="69"/>
      <c r="E46" s="69"/>
      <c r="F46" s="69"/>
      <c r="G46" s="69"/>
      <c r="H46" s="69"/>
      <c r="I46" s="69"/>
      <c r="J46" s="69"/>
    </row>
    <row r="47" spans="2:10">
      <c r="B47" s="69"/>
      <c r="C47" s="69"/>
      <c r="D47" s="69"/>
      <c r="E47" s="69"/>
      <c r="F47" s="69"/>
      <c r="G47" s="69"/>
      <c r="H47" s="69"/>
      <c r="I47" s="69"/>
      <c r="J47" s="69"/>
    </row>
    <row r="48" spans="2:10">
      <c r="B48" s="69"/>
      <c r="C48" s="69"/>
      <c r="D48" s="69"/>
      <c r="E48" s="69"/>
      <c r="F48" s="69"/>
      <c r="G48" s="69"/>
      <c r="H48" s="69"/>
      <c r="I48" s="69"/>
      <c r="J48" s="69"/>
    </row>
    <row r="49" spans="2:10">
      <c r="B49" s="69"/>
      <c r="C49" s="69"/>
      <c r="D49" s="69"/>
      <c r="E49" s="69"/>
      <c r="F49" s="69"/>
      <c r="G49" s="69"/>
      <c r="H49" s="69"/>
      <c r="I49" s="69"/>
      <c r="J49" s="69"/>
    </row>
    <row r="50" spans="2:10">
      <c r="B50" s="69"/>
      <c r="C50" s="69"/>
      <c r="D50" s="69"/>
      <c r="E50" s="69"/>
      <c r="F50" s="69"/>
      <c r="G50" s="69"/>
      <c r="H50" s="69"/>
      <c r="I50" s="69"/>
      <c r="J50" s="69"/>
    </row>
    <row r="51" spans="2:10">
      <c r="B51" s="69"/>
      <c r="C51" s="69"/>
      <c r="D51" s="69"/>
      <c r="E51" s="69"/>
      <c r="F51" s="69"/>
      <c r="G51" s="69"/>
      <c r="H51" s="69"/>
      <c r="I51" s="69"/>
      <c r="J51" s="69"/>
    </row>
    <row r="52" spans="2:10">
      <c r="B52" s="69"/>
      <c r="C52" s="69"/>
      <c r="D52" s="69"/>
      <c r="E52" s="69"/>
      <c r="F52" s="69"/>
      <c r="G52" s="69"/>
      <c r="H52" s="69"/>
      <c r="I52" s="69"/>
      <c r="J52" s="69"/>
    </row>
    <row r="53" spans="2:10">
      <c r="B53" s="69"/>
      <c r="C53" s="69"/>
      <c r="D53" s="69"/>
      <c r="E53" s="69"/>
      <c r="F53" s="69"/>
      <c r="G53" s="69"/>
      <c r="H53" s="69"/>
      <c r="I53" s="69"/>
      <c r="J53" s="69"/>
    </row>
    <row r="54" spans="2:10">
      <c r="B54" s="69"/>
      <c r="C54" s="69"/>
      <c r="D54" s="69"/>
      <c r="E54" s="69"/>
      <c r="F54" s="69"/>
      <c r="G54" s="69"/>
      <c r="H54" s="69"/>
      <c r="I54" s="69"/>
      <c r="J54" s="69"/>
    </row>
    <row r="55" spans="2:10">
      <c r="B55" s="69"/>
      <c r="C55" s="69"/>
      <c r="D55" s="69"/>
      <c r="E55" s="69"/>
      <c r="F55" s="69"/>
      <c r="G55" s="69"/>
      <c r="H55" s="69"/>
      <c r="I55" s="69"/>
      <c r="J55" s="69"/>
    </row>
    <row r="56" spans="2:10">
      <c r="B56" s="69"/>
      <c r="C56" s="69"/>
      <c r="D56" s="69"/>
      <c r="E56" s="69"/>
      <c r="F56" s="69"/>
      <c r="G56" s="69"/>
      <c r="H56" s="69"/>
      <c r="I56" s="69"/>
      <c r="J56" s="69"/>
    </row>
    <row r="57" spans="2:10">
      <c r="B57" s="69"/>
      <c r="C57" s="69"/>
      <c r="D57" s="69"/>
      <c r="E57" s="69"/>
      <c r="F57" s="69"/>
      <c r="G57" s="69"/>
      <c r="H57" s="69"/>
      <c r="I57" s="69"/>
      <c r="J57" s="69"/>
    </row>
    <row r="58" spans="2:10">
      <c r="B58" s="69"/>
      <c r="C58" s="69"/>
      <c r="D58" s="69"/>
      <c r="E58" s="69"/>
      <c r="F58" s="69"/>
      <c r="G58" s="69"/>
      <c r="H58" s="69"/>
      <c r="I58" s="69"/>
      <c r="J58" s="69"/>
    </row>
    <row r="59" spans="2:10">
      <c r="B59" s="69"/>
      <c r="C59" s="69"/>
      <c r="D59" s="69"/>
      <c r="E59" s="69"/>
      <c r="F59" s="69"/>
      <c r="G59" s="69"/>
      <c r="H59" s="69"/>
      <c r="I59" s="69"/>
      <c r="J59" s="69"/>
    </row>
    <row r="60" spans="2:10">
      <c r="B60" s="69"/>
      <c r="C60" s="69"/>
      <c r="D60" s="69"/>
      <c r="E60" s="69"/>
      <c r="F60" s="69"/>
      <c r="G60" s="69"/>
      <c r="H60" s="69"/>
      <c r="I60" s="69"/>
      <c r="J60" s="69"/>
    </row>
    <row r="61" spans="2:10">
      <c r="B61" s="69"/>
      <c r="C61" s="69"/>
      <c r="D61" s="69"/>
      <c r="E61" s="69"/>
      <c r="F61" s="69"/>
      <c r="G61" s="69"/>
      <c r="H61" s="69"/>
      <c r="I61" s="69"/>
      <c r="J61" s="69"/>
    </row>
    <row r="62" spans="2:10">
      <c r="B62" s="69"/>
      <c r="C62" s="69"/>
      <c r="D62" s="69"/>
      <c r="E62" s="69"/>
      <c r="F62" s="69"/>
      <c r="G62" s="69"/>
      <c r="H62" s="69"/>
      <c r="I62" s="69"/>
      <c r="J62" s="69"/>
    </row>
    <row r="63" spans="2:10">
      <c r="B63" s="69"/>
      <c r="C63" s="69"/>
      <c r="D63" s="69"/>
      <c r="E63" s="69"/>
      <c r="F63" s="69"/>
      <c r="G63" s="69"/>
      <c r="H63" s="69"/>
      <c r="I63" s="69"/>
      <c r="J63" s="69"/>
    </row>
    <row r="64" spans="2:10">
      <c r="B64" s="69"/>
      <c r="C64" s="69"/>
      <c r="D64" s="69"/>
      <c r="E64" s="69"/>
      <c r="F64" s="69"/>
      <c r="G64" s="69"/>
      <c r="H64" s="69"/>
      <c r="I64" s="69"/>
      <c r="J64" s="69"/>
    </row>
    <row r="65" spans="2:10">
      <c r="B65" s="69"/>
      <c r="C65" s="69"/>
      <c r="D65" s="69"/>
      <c r="E65" s="69"/>
      <c r="F65" s="69"/>
      <c r="G65" s="69"/>
      <c r="H65" s="69"/>
      <c r="I65" s="69"/>
      <c r="J65" s="69"/>
    </row>
    <row r="66" spans="2:10">
      <c r="B66" s="69"/>
      <c r="C66" s="69"/>
      <c r="D66" s="69"/>
      <c r="E66" s="69"/>
      <c r="F66" s="69"/>
      <c r="G66" s="69"/>
      <c r="H66" s="69"/>
      <c r="I66" s="69"/>
      <c r="J66" s="69"/>
    </row>
    <row r="67" spans="2:10">
      <c r="B67" s="69"/>
      <c r="C67" s="69"/>
      <c r="D67" s="69"/>
      <c r="E67" s="69"/>
      <c r="F67" s="69"/>
      <c r="G67" s="69"/>
      <c r="H67" s="69"/>
      <c r="I67" s="69"/>
      <c r="J67" s="69"/>
    </row>
    <row r="68" spans="2:10">
      <c r="B68" s="69"/>
      <c r="C68" s="69"/>
      <c r="D68" s="69"/>
      <c r="E68" s="69"/>
      <c r="F68" s="69"/>
      <c r="G68" s="69"/>
      <c r="H68" s="69"/>
      <c r="I68" s="69"/>
      <c r="J68" s="69"/>
    </row>
    <row r="69" spans="2:10">
      <c r="B69" s="69"/>
      <c r="C69" s="69"/>
      <c r="D69" s="69"/>
      <c r="E69" s="69"/>
      <c r="F69" s="69"/>
      <c r="G69" s="69"/>
      <c r="H69" s="69"/>
      <c r="I69" s="69"/>
      <c r="J69" s="69"/>
    </row>
    <row r="70" spans="2:10">
      <c r="B70" s="69"/>
      <c r="C70" s="69"/>
      <c r="D70" s="69"/>
      <c r="E70" s="69"/>
      <c r="F70" s="69"/>
      <c r="G70" s="69"/>
      <c r="H70" s="69"/>
      <c r="I70" s="69"/>
      <c r="J70" s="69"/>
    </row>
    <row r="71" spans="2:10">
      <c r="B71" s="69"/>
      <c r="C71" s="69"/>
      <c r="D71" s="69"/>
      <c r="E71" s="69"/>
      <c r="F71" s="69"/>
      <c r="G71" s="69"/>
      <c r="H71" s="69"/>
      <c r="I71" s="69"/>
      <c r="J71" s="69"/>
    </row>
    <row r="72" spans="2:10">
      <c r="B72" s="69"/>
      <c r="C72" s="69"/>
      <c r="D72" s="69"/>
      <c r="E72" s="69"/>
      <c r="F72" s="69"/>
      <c r="G72" s="69"/>
      <c r="H72" s="69"/>
      <c r="I72" s="69"/>
      <c r="J72" s="69"/>
    </row>
    <row r="73" spans="2:10">
      <c r="B73" s="69"/>
      <c r="C73" s="69"/>
      <c r="D73" s="69"/>
      <c r="E73" s="69"/>
      <c r="F73" s="69"/>
      <c r="G73" s="69"/>
      <c r="H73" s="69"/>
      <c r="I73" s="69"/>
      <c r="J73" s="69"/>
    </row>
    <row r="74" spans="2:10">
      <c r="B74" s="69"/>
      <c r="C74" s="69"/>
      <c r="D74" s="69"/>
      <c r="E74" s="69"/>
      <c r="F74" s="69"/>
      <c r="G74" s="69"/>
      <c r="H74" s="69"/>
      <c r="I74" s="69"/>
      <c r="J74" s="69"/>
    </row>
    <row r="75" spans="2:10">
      <c r="B75" s="69"/>
      <c r="C75" s="69"/>
      <c r="D75" s="69"/>
      <c r="E75" s="69"/>
      <c r="F75" s="69"/>
      <c r="G75" s="69"/>
      <c r="H75" s="69"/>
      <c r="I75" s="69"/>
      <c r="J75" s="69"/>
    </row>
    <row r="76" spans="2:10">
      <c r="B76" s="69"/>
      <c r="C76" s="69"/>
      <c r="D76" s="69"/>
      <c r="E76" s="69"/>
      <c r="F76" s="69"/>
      <c r="G76" s="69"/>
      <c r="H76" s="69"/>
      <c r="I76" s="69"/>
      <c r="J76" s="69"/>
    </row>
    <row r="77" spans="2:10">
      <c r="B77" s="69"/>
      <c r="C77" s="69"/>
      <c r="D77" s="69"/>
      <c r="E77" s="69"/>
      <c r="F77" s="69"/>
      <c r="G77" s="69"/>
      <c r="H77" s="69"/>
      <c r="I77" s="69"/>
      <c r="J77" s="69"/>
    </row>
    <row r="78" spans="2:10">
      <c r="B78" s="69"/>
      <c r="C78" s="69"/>
      <c r="D78" s="69"/>
      <c r="E78" s="69"/>
      <c r="F78" s="69"/>
      <c r="G78" s="69"/>
      <c r="H78" s="69"/>
      <c r="I78" s="69"/>
      <c r="J78" s="69"/>
    </row>
    <row r="79" spans="2:10">
      <c r="B79" s="69"/>
      <c r="C79" s="69"/>
      <c r="D79" s="69"/>
      <c r="E79" s="69"/>
      <c r="F79" s="69"/>
      <c r="G79" s="69"/>
      <c r="H79" s="69"/>
      <c r="I79" s="69"/>
      <c r="J79" s="69"/>
    </row>
    <row r="80" spans="2:10">
      <c r="B80" s="69"/>
      <c r="C80" s="69"/>
      <c r="D80" s="69"/>
      <c r="E80" s="69"/>
      <c r="F80" s="69"/>
      <c r="G80" s="69"/>
      <c r="H80" s="69"/>
      <c r="I80" s="69"/>
      <c r="J80" s="69"/>
    </row>
    <row r="81" spans="2:10">
      <c r="B81" s="69"/>
      <c r="C81" s="69"/>
      <c r="D81" s="69"/>
      <c r="E81" s="69"/>
      <c r="F81" s="69"/>
      <c r="G81" s="69"/>
      <c r="H81" s="69"/>
      <c r="I81" s="69"/>
      <c r="J81" s="69"/>
    </row>
    <row r="82" spans="2:10">
      <c r="B82" s="69"/>
      <c r="C82" s="69"/>
      <c r="D82" s="69"/>
      <c r="E82" s="69"/>
      <c r="F82" s="69"/>
      <c r="G82" s="69"/>
      <c r="H82" s="69"/>
      <c r="I82" s="69"/>
      <c r="J82" s="69"/>
    </row>
    <row r="83" spans="2:10">
      <c r="B83" s="69"/>
      <c r="C83" s="69"/>
      <c r="D83" s="69"/>
      <c r="E83" s="69"/>
      <c r="F83" s="69"/>
      <c r="G83" s="69"/>
      <c r="H83" s="69"/>
      <c r="I83" s="69"/>
      <c r="J83" s="69"/>
    </row>
    <row r="84" spans="2:10">
      <c r="B84" s="69"/>
      <c r="C84" s="69"/>
      <c r="D84" s="69"/>
      <c r="E84" s="69"/>
      <c r="F84" s="69"/>
      <c r="G84" s="69"/>
      <c r="H84" s="69"/>
      <c r="I84" s="69"/>
      <c r="J84" s="69"/>
    </row>
    <row r="85" spans="2:10">
      <c r="B85" s="69"/>
      <c r="C85" s="69"/>
      <c r="D85" s="69"/>
      <c r="E85" s="69"/>
      <c r="F85" s="69"/>
      <c r="G85" s="69"/>
      <c r="H85" s="69"/>
      <c r="I85" s="69"/>
      <c r="J85" s="69"/>
    </row>
    <row r="86" spans="2:10">
      <c r="B86" s="69"/>
      <c r="C86" s="69"/>
      <c r="D86" s="69"/>
      <c r="E86" s="69"/>
      <c r="F86" s="69"/>
      <c r="G86" s="69"/>
      <c r="H86" s="69"/>
      <c r="I86" s="69"/>
      <c r="J86" s="69"/>
    </row>
    <row r="87" spans="2:10">
      <c r="B87" s="69"/>
      <c r="C87" s="69"/>
      <c r="D87" s="69"/>
      <c r="E87" s="69"/>
      <c r="F87" s="69"/>
      <c r="G87" s="69"/>
      <c r="H87" s="69"/>
      <c r="I87" s="69"/>
      <c r="J87" s="69"/>
    </row>
    <row r="88" spans="2:10">
      <c r="B88" s="69"/>
      <c r="C88" s="69"/>
      <c r="D88" s="69"/>
      <c r="E88" s="69"/>
      <c r="F88" s="69"/>
      <c r="G88" s="69"/>
      <c r="H88" s="69"/>
      <c r="I88" s="69"/>
      <c r="J88" s="69"/>
    </row>
    <row r="89" spans="2:10">
      <c r="B89" s="69"/>
      <c r="C89" s="69"/>
      <c r="D89" s="69"/>
      <c r="E89" s="69"/>
      <c r="F89" s="69"/>
      <c r="G89" s="69"/>
      <c r="H89" s="69"/>
      <c r="I89" s="69"/>
      <c r="J89" s="69"/>
    </row>
    <row r="90" spans="2:10">
      <c r="B90" s="69"/>
      <c r="C90" s="69"/>
      <c r="D90" s="69"/>
      <c r="E90" s="69"/>
      <c r="F90" s="69"/>
      <c r="G90" s="69"/>
      <c r="H90" s="69"/>
      <c r="I90" s="69"/>
      <c r="J90" s="69"/>
    </row>
    <row r="91" spans="2:10">
      <c r="B91" s="69"/>
      <c r="C91" s="69"/>
      <c r="D91" s="69"/>
      <c r="E91" s="69"/>
      <c r="F91" s="69"/>
      <c r="G91" s="69"/>
      <c r="H91" s="69"/>
      <c r="I91" s="69"/>
      <c r="J91" s="69"/>
    </row>
    <row r="92" spans="2:10">
      <c r="B92" s="69"/>
      <c r="C92" s="69"/>
      <c r="D92" s="69"/>
      <c r="E92" s="69"/>
      <c r="F92" s="69"/>
      <c r="G92" s="69"/>
      <c r="H92" s="69"/>
      <c r="I92" s="69"/>
      <c r="J92" s="69"/>
    </row>
    <row r="93" spans="2:10">
      <c r="B93" s="69"/>
      <c r="C93" s="69"/>
      <c r="D93" s="69"/>
      <c r="E93" s="69"/>
      <c r="F93" s="69"/>
      <c r="G93" s="69"/>
      <c r="H93" s="69"/>
      <c r="I93" s="69"/>
      <c r="J93" s="69"/>
    </row>
    <row r="94" spans="2:10">
      <c r="B94" s="69"/>
      <c r="C94" s="69"/>
      <c r="D94" s="69"/>
      <c r="E94" s="69"/>
      <c r="F94" s="69"/>
      <c r="G94" s="69"/>
      <c r="H94" s="69"/>
      <c r="I94" s="69"/>
      <c r="J94" s="69"/>
    </row>
    <row r="95" spans="2:10">
      <c r="B95" s="69"/>
      <c r="C95" s="69"/>
      <c r="D95" s="69"/>
      <c r="E95" s="69"/>
      <c r="F95" s="69"/>
      <c r="G95" s="69"/>
      <c r="H95" s="69"/>
      <c r="I95" s="69"/>
      <c r="J95" s="69"/>
    </row>
    <row r="96" spans="2:10">
      <c r="B96" s="69"/>
      <c r="C96" s="69"/>
      <c r="D96" s="69"/>
      <c r="E96" s="69"/>
      <c r="F96" s="69"/>
      <c r="G96" s="69"/>
      <c r="H96" s="69"/>
      <c r="I96" s="69"/>
      <c r="J96" s="69"/>
    </row>
    <row r="97" spans="2:10">
      <c r="B97" s="69"/>
      <c r="C97" s="69"/>
      <c r="D97" s="69"/>
      <c r="E97" s="69"/>
      <c r="F97" s="69"/>
      <c r="G97" s="69"/>
      <c r="H97" s="69"/>
      <c r="I97" s="69"/>
      <c r="J97" s="69"/>
    </row>
    <row r="98" spans="2:10">
      <c r="B98" s="69"/>
      <c r="C98" s="69"/>
      <c r="D98" s="69"/>
      <c r="E98" s="69"/>
      <c r="F98" s="69"/>
      <c r="G98" s="69"/>
      <c r="H98" s="69"/>
      <c r="I98" s="69"/>
      <c r="J98" s="69"/>
    </row>
    <row r="99" spans="2:10">
      <c r="B99" s="69"/>
      <c r="C99" s="69"/>
      <c r="D99" s="69"/>
      <c r="E99" s="69"/>
      <c r="F99" s="69"/>
      <c r="G99" s="69"/>
      <c r="H99" s="69"/>
      <c r="I99" s="69"/>
      <c r="J99" s="69"/>
    </row>
    <row r="100" spans="2:10"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2:10"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2:10"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2:10"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2:10"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2:10"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2:10"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2:10"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2:10"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2:10"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 G10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I10" sqref="I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172</v>
      </c>
      <c r="C1" s="68" t="s" vm="1">
        <v>252</v>
      </c>
    </row>
    <row r="2" spans="2:60">
      <c r="B2" s="47" t="s">
        <v>171</v>
      </c>
      <c r="C2" s="68" t="s">
        <v>253</v>
      </c>
    </row>
    <row r="3" spans="2:60">
      <c r="B3" s="47" t="s">
        <v>173</v>
      </c>
      <c r="C3" s="68" t="s">
        <v>254</v>
      </c>
    </row>
    <row r="4" spans="2:60">
      <c r="B4" s="47" t="s">
        <v>174</v>
      </c>
      <c r="C4" s="68">
        <v>8602</v>
      </c>
    </row>
    <row r="6" spans="2:60" ht="26.25" customHeight="1">
      <c r="B6" s="123" t="s">
        <v>207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60" s="3" customFormat="1" ht="63">
      <c r="B7" s="48" t="s">
        <v>109</v>
      </c>
      <c r="C7" s="50" t="s">
        <v>110</v>
      </c>
      <c r="D7" s="50" t="s">
        <v>14</v>
      </c>
      <c r="E7" s="50" t="s">
        <v>15</v>
      </c>
      <c r="F7" s="50" t="s">
        <v>54</v>
      </c>
      <c r="G7" s="50" t="s">
        <v>96</v>
      </c>
      <c r="H7" s="50" t="s">
        <v>50</v>
      </c>
      <c r="I7" s="50" t="s">
        <v>104</v>
      </c>
      <c r="J7" s="50" t="s">
        <v>175</v>
      </c>
      <c r="K7" s="65" t="s">
        <v>176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232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69"/>
      <c r="C10" s="69"/>
      <c r="D10" s="69"/>
      <c r="E10" s="69"/>
      <c r="F10" s="69"/>
      <c r="G10" s="69"/>
      <c r="H10" s="69"/>
      <c r="I10" s="79">
        <v>0</v>
      </c>
      <c r="J10" s="69"/>
      <c r="K10" s="6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69"/>
      <c r="D11" s="69"/>
      <c r="E11" s="69"/>
      <c r="F11" s="69"/>
      <c r="G11" s="69"/>
      <c r="H11" s="69"/>
      <c r="I11" s="69"/>
      <c r="J11" s="69"/>
      <c r="K11" s="69"/>
    </row>
    <row r="12" spans="2:60">
      <c r="B12" s="108"/>
      <c r="C12" s="69"/>
      <c r="D12" s="69"/>
      <c r="E12" s="69"/>
      <c r="F12" s="69"/>
      <c r="G12" s="69"/>
      <c r="H12" s="69"/>
      <c r="I12" s="69"/>
      <c r="J12" s="69"/>
      <c r="K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69"/>
      <c r="C13" s="69"/>
      <c r="D13" s="69"/>
      <c r="E13" s="69"/>
      <c r="F13" s="69"/>
      <c r="G13" s="69"/>
      <c r="H13" s="69"/>
      <c r="I13" s="69"/>
      <c r="J13" s="69"/>
      <c r="K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60">
      <c r="B15" s="69"/>
      <c r="C15" s="69"/>
      <c r="D15" s="69"/>
      <c r="E15" s="69"/>
      <c r="F15" s="69"/>
      <c r="G15" s="69"/>
      <c r="H15" s="69"/>
      <c r="I15" s="69"/>
      <c r="J15" s="69"/>
      <c r="K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A15" sqref="A15:XFD17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4.8554687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5703125" style="3" bestFit="1" customWidth="1"/>
    <col min="15" max="15" width="8" style="3" bestFit="1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172</v>
      </c>
      <c r="C1" s="68" t="s" vm="1">
        <v>252</v>
      </c>
    </row>
    <row r="2" spans="2:60">
      <c r="B2" s="47" t="s">
        <v>171</v>
      </c>
      <c r="C2" s="68" t="s">
        <v>253</v>
      </c>
    </row>
    <row r="3" spans="2:60">
      <c r="B3" s="47" t="s">
        <v>173</v>
      </c>
      <c r="C3" s="68" t="s">
        <v>254</v>
      </c>
    </row>
    <row r="4" spans="2:60">
      <c r="B4" s="47" t="s">
        <v>174</v>
      </c>
      <c r="C4" s="68">
        <v>8602</v>
      </c>
    </row>
    <row r="6" spans="2:60" ht="26.25" customHeight="1">
      <c r="B6" s="123" t="s">
        <v>208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60" s="3" customFormat="1" ht="63">
      <c r="B7" s="48" t="s">
        <v>109</v>
      </c>
      <c r="C7" s="50" t="s">
        <v>41</v>
      </c>
      <c r="D7" s="50" t="s">
        <v>14</v>
      </c>
      <c r="E7" s="50" t="s">
        <v>15</v>
      </c>
      <c r="F7" s="50" t="s">
        <v>54</v>
      </c>
      <c r="G7" s="50" t="s">
        <v>96</v>
      </c>
      <c r="H7" s="50" t="s">
        <v>50</v>
      </c>
      <c r="I7" s="50" t="s">
        <v>104</v>
      </c>
      <c r="J7" s="50" t="s">
        <v>175</v>
      </c>
      <c r="K7" s="52" t="s">
        <v>176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232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69" t="s">
        <v>53</v>
      </c>
      <c r="C10" s="70"/>
      <c r="D10" s="70"/>
      <c r="E10" s="70"/>
      <c r="F10" s="70"/>
      <c r="G10" s="70"/>
      <c r="H10" s="78"/>
      <c r="I10" s="77">
        <f>I11</f>
        <v>-1.003588878</v>
      </c>
      <c r="J10" s="78">
        <f>I10/$I$10</f>
        <v>1</v>
      </c>
      <c r="K10" s="78">
        <f>I10/'סכום נכסי הקרן'!$C$42</f>
        <v>-1.2412748452460393E-5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5" t="s">
        <v>223</v>
      </c>
      <c r="C11" s="70"/>
      <c r="D11" s="70"/>
      <c r="E11" s="70"/>
      <c r="F11" s="70"/>
      <c r="G11" s="70"/>
      <c r="H11" s="78"/>
      <c r="I11" s="77">
        <f>I12+I13+I14</f>
        <v>-1.003588878</v>
      </c>
      <c r="J11" s="78">
        <f t="shared" ref="J11:J14" si="0">I11/$I$10</f>
        <v>1</v>
      </c>
      <c r="K11" s="78">
        <f>I11/'סכום נכסי הקרן'!$C$42</f>
        <v>-1.2412748452460393E-5</v>
      </c>
    </row>
    <row r="12" spans="2:60">
      <c r="B12" s="73" t="s">
        <v>2102</v>
      </c>
      <c r="C12" s="70" t="s">
        <v>2103</v>
      </c>
      <c r="D12" s="70" t="s">
        <v>636</v>
      </c>
      <c r="E12" s="70" t="s">
        <v>284</v>
      </c>
      <c r="F12" s="84">
        <v>0</v>
      </c>
      <c r="G12" s="83" t="s">
        <v>157</v>
      </c>
      <c r="H12" s="84">
        <v>0</v>
      </c>
      <c r="I12" s="77">
        <v>0.111346088</v>
      </c>
      <c r="J12" s="78">
        <f>I12/$I$10</f>
        <v>-0.11094790948849076</v>
      </c>
      <c r="K12" s="78">
        <f>I12/'סכום נכסי הקרן'!$C$42</f>
        <v>1.3771684918069796E-6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6" t="s">
        <v>637</v>
      </c>
      <c r="C13" s="70" t="s">
        <v>638</v>
      </c>
      <c r="D13" s="70" t="s">
        <v>640</v>
      </c>
      <c r="E13" s="70"/>
      <c r="F13" s="84">
        <v>0</v>
      </c>
      <c r="G13" s="83" t="s">
        <v>157</v>
      </c>
      <c r="H13" s="84">
        <v>0</v>
      </c>
      <c r="I13" s="77">
        <v>-0.70637163000000003</v>
      </c>
      <c r="J13" s="78">
        <f t="shared" si="0"/>
        <v>0.70384561396066014</v>
      </c>
      <c r="K13" s="78">
        <f>I13/'סכום נכסי הקרן'!$C$42</f>
        <v>-8.736658555461219E-6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6" t="s">
        <v>1124</v>
      </c>
      <c r="C14" s="70" t="s">
        <v>1125</v>
      </c>
      <c r="D14" s="70" t="s">
        <v>640</v>
      </c>
      <c r="E14" s="69"/>
      <c r="F14" s="84">
        <v>0</v>
      </c>
      <c r="G14" s="83" t="s">
        <v>157</v>
      </c>
      <c r="H14" s="84">
        <v>0</v>
      </c>
      <c r="I14" s="77">
        <v>-0.408563336</v>
      </c>
      <c r="J14" s="78">
        <f t="shared" si="0"/>
        <v>0.40710229552783067</v>
      </c>
      <c r="K14" s="78">
        <f>I14/'סכום נכסי הקרן'!$C$42</f>
        <v>-5.0532583888061541E-6</v>
      </c>
    </row>
    <row r="15" spans="2:60">
      <c r="D15" s="83"/>
      <c r="E15" s="83"/>
      <c r="F15" s="70"/>
      <c r="G15" s="83"/>
      <c r="H15" s="70"/>
      <c r="I15" s="70"/>
      <c r="J15" s="78"/>
      <c r="K15" s="70"/>
      <c r="L15" s="83"/>
      <c r="M15" s="84"/>
      <c r="N15" s="70"/>
      <c r="O15" s="77"/>
      <c r="P15" s="79"/>
      <c r="Q15" s="70"/>
      <c r="R15" s="77"/>
      <c r="S15" s="70"/>
      <c r="T15" s="78"/>
      <c r="U15" s="78"/>
      <c r="V15" s="1"/>
      <c r="W15" s="1"/>
      <c r="X15" s="1"/>
      <c r="Y15" s="1"/>
      <c r="Z15" s="1"/>
    </row>
    <row r="16" spans="2:60">
      <c r="D16" s="83"/>
      <c r="E16" s="83"/>
      <c r="F16" s="70"/>
      <c r="G16" s="83"/>
      <c r="H16" s="83"/>
      <c r="I16" s="77"/>
      <c r="J16" s="79"/>
      <c r="K16" s="70"/>
      <c r="L16" s="77"/>
      <c r="M16" s="70"/>
      <c r="N16" s="78"/>
      <c r="O16" s="7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11">
      <c r="B17" s="108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2:11">
      <c r="B112" s="69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8">
    <dataValidation allowBlank="1" showInputMessage="1" showErrorMessage="1" sqref="A17:C1048576 AH28:XFD29 D30:XFD1048576 D28:AF29 C5:C12 D17:XFD27 B1:B12 A1:A14 D1:D12 E1:G14 H1:H11 J1:XFD14 I1:I12"/>
    <dataValidation type="list" allowBlank="1" showInputMessage="1" showErrorMessage="1" sqref="G15">
      <formula1>$BK$7:$BK$29</formula1>
    </dataValidation>
    <dataValidation type="list" allowBlank="1" showInputMessage="1" showErrorMessage="1" sqref="L15">
      <formula1>$BN$7:$BN$20</formula1>
    </dataValidation>
    <dataValidation type="list" allowBlank="1" showInputMessage="1" showErrorMessage="1" sqref="E15">
      <formula1>$BI$7:$BI$24</formula1>
    </dataValidation>
    <dataValidation type="list" allowBlank="1" showInputMessage="1" showErrorMessage="1" sqref="I15">
      <formula1>$BM$7:$BM$10</formula1>
    </dataValidation>
    <dataValidation type="list" allowBlank="1" showInputMessage="1" showErrorMessage="1" sqref="G16">
      <formula1>$BH$6:$BH$29</formula1>
    </dataValidation>
    <dataValidation type="list" allowBlank="1" showInputMessage="1" showErrorMessage="1" sqref="H16">
      <formula1>$BJ$6:$BJ$19</formula1>
    </dataValidation>
    <dataValidation type="list" allowBlank="1" showInputMessage="1" showErrorMessage="1" sqref="E16">
      <formula1>$BF$6:$BF$23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172</v>
      </c>
      <c r="C1" s="68" t="s" vm="1">
        <v>252</v>
      </c>
    </row>
    <row r="2" spans="2:47">
      <c r="B2" s="47" t="s">
        <v>171</v>
      </c>
      <c r="C2" s="68" t="s">
        <v>253</v>
      </c>
    </row>
    <row r="3" spans="2:47">
      <c r="B3" s="47" t="s">
        <v>173</v>
      </c>
      <c r="C3" s="68" t="s">
        <v>254</v>
      </c>
    </row>
    <row r="4" spans="2:47">
      <c r="B4" s="47" t="s">
        <v>174</v>
      </c>
      <c r="C4" s="68">
        <v>8602</v>
      </c>
    </row>
    <row r="6" spans="2:47" ht="26.25" customHeight="1">
      <c r="B6" s="123" t="s">
        <v>209</v>
      </c>
      <c r="C6" s="124"/>
      <c r="D6" s="125"/>
    </row>
    <row r="7" spans="2:47" s="3" customFormat="1" ht="33">
      <c r="B7" s="48" t="s">
        <v>109</v>
      </c>
      <c r="C7" s="53" t="s">
        <v>101</v>
      </c>
      <c r="D7" s="54" t="s">
        <v>100</v>
      </c>
    </row>
    <row r="8" spans="2:47" s="3" customFormat="1">
      <c r="B8" s="15"/>
      <c r="C8" s="32" t="s">
        <v>232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6" t="s">
        <v>2104</v>
      </c>
      <c r="C10" s="80">
        <v>24.54626</v>
      </c>
      <c r="D10" s="9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1" t="s">
        <v>24</v>
      </c>
      <c r="C11" s="80">
        <v>24.54626</v>
      </c>
      <c r="D11" s="119"/>
    </row>
    <row r="12" spans="2:47">
      <c r="B12" s="76" t="s">
        <v>2105</v>
      </c>
      <c r="C12" s="77">
        <v>19.78246</v>
      </c>
      <c r="D12" s="97">
        <v>44561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6" t="s">
        <v>2106</v>
      </c>
      <c r="C13" s="77">
        <v>4.7637999999999998</v>
      </c>
      <c r="D13" s="97">
        <v>44926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69"/>
      <c r="C14" s="69"/>
      <c r="D14" s="69"/>
    </row>
    <row r="15" spans="2:47">
      <c r="B15" s="69"/>
      <c r="C15" s="69"/>
      <c r="D15" s="6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69"/>
      <c r="C16" s="69"/>
      <c r="D16" s="6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69"/>
      <c r="C17" s="69"/>
      <c r="D17" s="69"/>
    </row>
    <row r="18" spans="2:4">
      <c r="B18" s="69"/>
      <c r="C18" s="69"/>
      <c r="D18" s="69"/>
    </row>
    <row r="19" spans="2:4">
      <c r="B19" s="69"/>
      <c r="C19" s="69"/>
      <c r="D19" s="69"/>
    </row>
    <row r="20" spans="2:4">
      <c r="B20" s="69"/>
      <c r="C20" s="69"/>
      <c r="D20" s="69"/>
    </row>
    <row r="21" spans="2:4">
      <c r="B21" s="69"/>
      <c r="C21" s="69"/>
      <c r="D21" s="69"/>
    </row>
    <row r="22" spans="2:4">
      <c r="B22" s="69"/>
      <c r="C22" s="69"/>
      <c r="D22" s="69"/>
    </row>
    <row r="23" spans="2:4">
      <c r="B23" s="69"/>
      <c r="C23" s="69"/>
      <c r="D23" s="69"/>
    </row>
    <row r="24" spans="2:4">
      <c r="B24" s="69"/>
      <c r="C24" s="69"/>
      <c r="D24" s="69"/>
    </row>
    <row r="25" spans="2:4">
      <c r="B25" s="69"/>
      <c r="C25" s="69"/>
      <c r="D25" s="69"/>
    </row>
    <row r="26" spans="2:4">
      <c r="B26" s="69"/>
      <c r="C26" s="69"/>
      <c r="D26" s="69"/>
    </row>
    <row r="27" spans="2:4">
      <c r="B27" s="69"/>
      <c r="C27" s="69"/>
      <c r="D27" s="69"/>
    </row>
    <row r="28" spans="2:4">
      <c r="B28" s="69"/>
      <c r="C28" s="69"/>
      <c r="D28" s="69"/>
    </row>
    <row r="29" spans="2:4">
      <c r="B29" s="69"/>
      <c r="C29" s="69"/>
      <c r="D29" s="69"/>
    </row>
    <row r="30" spans="2:4">
      <c r="B30" s="69"/>
      <c r="C30" s="69"/>
      <c r="D30" s="69"/>
    </row>
    <row r="31" spans="2:4">
      <c r="B31" s="69"/>
      <c r="C31" s="69"/>
      <c r="D31" s="69"/>
    </row>
    <row r="32" spans="2:4">
      <c r="B32" s="69"/>
      <c r="C32" s="69"/>
      <c r="D32" s="69"/>
    </row>
    <row r="33" spans="2:4">
      <c r="B33" s="69"/>
      <c r="C33" s="69"/>
      <c r="D33" s="69"/>
    </row>
    <row r="34" spans="2:4">
      <c r="B34" s="69"/>
      <c r="C34" s="69"/>
      <c r="D34" s="69"/>
    </row>
    <row r="35" spans="2:4">
      <c r="B35" s="69"/>
      <c r="C35" s="69"/>
      <c r="D35" s="69"/>
    </row>
    <row r="36" spans="2:4">
      <c r="B36" s="69"/>
      <c r="C36" s="69"/>
      <c r="D36" s="69"/>
    </row>
    <row r="37" spans="2:4">
      <c r="B37" s="69"/>
      <c r="C37" s="69"/>
      <c r="D37" s="69"/>
    </row>
    <row r="38" spans="2:4">
      <c r="B38" s="69"/>
      <c r="C38" s="69"/>
      <c r="D38" s="69"/>
    </row>
    <row r="39" spans="2:4">
      <c r="B39" s="69"/>
      <c r="C39" s="69"/>
      <c r="D39" s="69"/>
    </row>
    <row r="40" spans="2:4">
      <c r="B40" s="69"/>
      <c r="C40" s="69"/>
      <c r="D40" s="69"/>
    </row>
    <row r="41" spans="2:4">
      <c r="B41" s="69"/>
      <c r="C41" s="69"/>
      <c r="D41" s="69"/>
    </row>
    <row r="42" spans="2:4">
      <c r="B42" s="69"/>
      <c r="C42" s="69"/>
      <c r="D42" s="69"/>
    </row>
    <row r="43" spans="2:4">
      <c r="B43" s="69"/>
      <c r="C43" s="69"/>
      <c r="D43" s="69"/>
    </row>
    <row r="44" spans="2:4">
      <c r="B44" s="69"/>
      <c r="C44" s="69"/>
      <c r="D44" s="69"/>
    </row>
    <row r="45" spans="2:4">
      <c r="B45" s="69"/>
      <c r="C45" s="69"/>
      <c r="D45" s="69"/>
    </row>
    <row r="46" spans="2:4">
      <c r="B46" s="69"/>
      <c r="C46" s="69"/>
      <c r="D46" s="69"/>
    </row>
    <row r="47" spans="2:4">
      <c r="B47" s="69"/>
      <c r="C47" s="69"/>
      <c r="D47" s="69"/>
    </row>
    <row r="48" spans="2:4">
      <c r="B48" s="69"/>
      <c r="C48" s="69"/>
      <c r="D48" s="69"/>
    </row>
    <row r="49" spans="2:4">
      <c r="B49" s="69"/>
      <c r="C49" s="69"/>
      <c r="D49" s="69"/>
    </row>
    <row r="50" spans="2:4">
      <c r="B50" s="69"/>
      <c r="C50" s="69"/>
      <c r="D50" s="69"/>
    </row>
    <row r="51" spans="2:4">
      <c r="B51" s="69"/>
      <c r="C51" s="69"/>
      <c r="D51" s="69"/>
    </row>
    <row r="52" spans="2:4">
      <c r="B52" s="69"/>
      <c r="C52" s="69"/>
      <c r="D52" s="69"/>
    </row>
    <row r="53" spans="2:4">
      <c r="B53" s="69"/>
      <c r="C53" s="69"/>
      <c r="D53" s="69"/>
    </row>
    <row r="54" spans="2:4">
      <c r="B54" s="69"/>
      <c r="C54" s="69"/>
      <c r="D54" s="69"/>
    </row>
    <row r="55" spans="2:4">
      <c r="B55" s="69"/>
      <c r="C55" s="69"/>
      <c r="D55" s="69"/>
    </row>
    <row r="56" spans="2:4">
      <c r="B56" s="69"/>
      <c r="C56" s="69"/>
      <c r="D56" s="69"/>
    </row>
    <row r="57" spans="2:4">
      <c r="B57" s="69"/>
      <c r="C57" s="69"/>
      <c r="D57" s="69"/>
    </row>
    <row r="58" spans="2:4">
      <c r="B58" s="69"/>
      <c r="C58" s="69"/>
      <c r="D58" s="69"/>
    </row>
    <row r="59" spans="2:4">
      <c r="B59" s="69"/>
      <c r="C59" s="69"/>
      <c r="D59" s="69"/>
    </row>
    <row r="60" spans="2:4">
      <c r="B60" s="69"/>
      <c r="C60" s="69"/>
      <c r="D60" s="69"/>
    </row>
    <row r="61" spans="2:4">
      <c r="B61" s="69"/>
      <c r="C61" s="69"/>
      <c r="D61" s="69"/>
    </row>
    <row r="62" spans="2:4">
      <c r="B62" s="69"/>
      <c r="C62" s="69"/>
      <c r="D62" s="69"/>
    </row>
    <row r="63" spans="2:4">
      <c r="B63" s="69"/>
      <c r="C63" s="69"/>
      <c r="D63" s="69"/>
    </row>
    <row r="64" spans="2:4">
      <c r="B64" s="69"/>
      <c r="C64" s="69"/>
      <c r="D64" s="69"/>
    </row>
    <row r="65" spans="2:4">
      <c r="B65" s="69"/>
      <c r="C65" s="69"/>
      <c r="D65" s="69"/>
    </row>
    <row r="66" spans="2:4">
      <c r="B66" s="69"/>
      <c r="C66" s="69"/>
      <c r="D66" s="69"/>
    </row>
    <row r="67" spans="2:4">
      <c r="B67" s="69"/>
      <c r="C67" s="69"/>
      <c r="D67" s="69"/>
    </row>
    <row r="68" spans="2:4">
      <c r="B68" s="69"/>
      <c r="C68" s="69"/>
      <c r="D68" s="69"/>
    </row>
    <row r="69" spans="2:4">
      <c r="B69" s="69"/>
      <c r="C69" s="69"/>
      <c r="D69" s="69"/>
    </row>
    <row r="70" spans="2:4">
      <c r="B70" s="69"/>
      <c r="C70" s="69"/>
      <c r="D70" s="69"/>
    </row>
    <row r="71" spans="2:4">
      <c r="B71" s="69"/>
      <c r="C71" s="69"/>
      <c r="D71" s="69"/>
    </row>
    <row r="72" spans="2:4">
      <c r="B72" s="69"/>
      <c r="C72" s="69"/>
      <c r="D72" s="69"/>
    </row>
    <row r="73" spans="2:4">
      <c r="B73" s="69"/>
      <c r="C73" s="69"/>
      <c r="D73" s="69"/>
    </row>
    <row r="74" spans="2:4">
      <c r="B74" s="69"/>
      <c r="C74" s="69"/>
      <c r="D74" s="69"/>
    </row>
    <row r="75" spans="2:4">
      <c r="B75" s="69"/>
      <c r="C75" s="69"/>
      <c r="D75" s="69"/>
    </row>
    <row r="76" spans="2:4">
      <c r="B76" s="69"/>
      <c r="C76" s="69"/>
      <c r="D76" s="69"/>
    </row>
    <row r="77" spans="2:4">
      <c r="B77" s="69"/>
      <c r="C77" s="69"/>
      <c r="D77" s="69"/>
    </row>
    <row r="78" spans="2:4">
      <c r="B78" s="69"/>
      <c r="C78" s="69"/>
      <c r="D78" s="69"/>
    </row>
    <row r="79" spans="2:4">
      <c r="B79" s="69"/>
      <c r="C79" s="69"/>
      <c r="D79" s="69"/>
    </row>
    <row r="80" spans="2:4">
      <c r="B80" s="69"/>
      <c r="C80" s="69"/>
      <c r="D80" s="69"/>
    </row>
    <row r="81" spans="2:4">
      <c r="B81" s="69"/>
      <c r="C81" s="69"/>
      <c r="D81" s="69"/>
    </row>
    <row r="82" spans="2:4">
      <c r="B82" s="69"/>
      <c r="C82" s="69"/>
      <c r="D82" s="69"/>
    </row>
    <row r="83" spans="2:4">
      <c r="B83" s="69"/>
      <c r="C83" s="69"/>
      <c r="D83" s="69"/>
    </row>
    <row r="84" spans="2:4">
      <c r="B84" s="69"/>
      <c r="C84" s="69"/>
      <c r="D84" s="69"/>
    </row>
    <row r="85" spans="2:4">
      <c r="B85" s="69"/>
      <c r="C85" s="69"/>
      <c r="D85" s="69"/>
    </row>
    <row r="86" spans="2:4">
      <c r="B86" s="69"/>
      <c r="C86" s="69"/>
      <c r="D86" s="69"/>
    </row>
    <row r="87" spans="2:4">
      <c r="B87" s="69"/>
      <c r="C87" s="69"/>
      <c r="D87" s="69"/>
    </row>
    <row r="88" spans="2:4">
      <c r="B88" s="69"/>
      <c r="C88" s="69"/>
      <c r="D88" s="69"/>
    </row>
    <row r="89" spans="2:4">
      <c r="B89" s="69"/>
      <c r="C89" s="69"/>
      <c r="D89" s="69"/>
    </row>
    <row r="90" spans="2:4">
      <c r="B90" s="69"/>
      <c r="C90" s="69"/>
      <c r="D90" s="69"/>
    </row>
    <row r="91" spans="2:4">
      <c r="B91" s="69"/>
      <c r="C91" s="69"/>
      <c r="D91" s="69"/>
    </row>
    <row r="92" spans="2:4">
      <c r="B92" s="69"/>
      <c r="C92" s="69"/>
      <c r="D92" s="69"/>
    </row>
    <row r="93" spans="2:4">
      <c r="B93" s="69"/>
      <c r="C93" s="69"/>
      <c r="D93" s="69"/>
    </row>
    <row r="94" spans="2:4">
      <c r="B94" s="69"/>
      <c r="C94" s="69"/>
      <c r="D94" s="69"/>
    </row>
    <row r="95" spans="2:4">
      <c r="B95" s="69"/>
      <c r="C95" s="69"/>
      <c r="D95" s="69"/>
    </row>
    <row r="96" spans="2:4">
      <c r="B96" s="69"/>
      <c r="C96" s="69"/>
      <c r="D96" s="69"/>
    </row>
    <row r="97" spans="2:4">
      <c r="B97" s="69"/>
      <c r="C97" s="69"/>
      <c r="D97" s="69"/>
    </row>
    <row r="98" spans="2:4">
      <c r="B98" s="69"/>
      <c r="C98" s="69"/>
      <c r="D98" s="69"/>
    </row>
    <row r="99" spans="2:4">
      <c r="B99" s="69"/>
      <c r="C99" s="69"/>
      <c r="D99" s="69"/>
    </row>
    <row r="100" spans="2:4">
      <c r="B100" s="69"/>
      <c r="C100" s="69"/>
      <c r="D100" s="69"/>
    </row>
    <row r="101" spans="2:4">
      <c r="B101" s="69"/>
      <c r="C101" s="69"/>
      <c r="D101" s="69"/>
    </row>
    <row r="102" spans="2:4">
      <c r="B102" s="69"/>
      <c r="C102" s="69"/>
      <c r="D102" s="69"/>
    </row>
    <row r="103" spans="2:4">
      <c r="B103" s="69"/>
      <c r="C103" s="69"/>
      <c r="D103" s="69"/>
    </row>
    <row r="104" spans="2:4">
      <c r="B104" s="69"/>
      <c r="C104" s="69"/>
      <c r="D104" s="69"/>
    </row>
    <row r="105" spans="2:4">
      <c r="B105" s="69"/>
      <c r="C105" s="69"/>
      <c r="D105" s="69"/>
    </row>
    <row r="106" spans="2:4">
      <c r="B106" s="69"/>
      <c r="C106" s="69"/>
      <c r="D106" s="69"/>
    </row>
    <row r="107" spans="2:4">
      <c r="B107" s="69"/>
      <c r="C107" s="69"/>
      <c r="D107" s="69"/>
    </row>
    <row r="108" spans="2:4">
      <c r="B108" s="69"/>
      <c r="C108" s="69"/>
      <c r="D108" s="69"/>
    </row>
    <row r="109" spans="2:4">
      <c r="B109" s="69"/>
      <c r="C109" s="69"/>
      <c r="D109" s="6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172</v>
      </c>
      <c r="C1" s="68" t="s" vm="1">
        <v>252</v>
      </c>
    </row>
    <row r="2" spans="2:18">
      <c r="B2" s="47" t="s">
        <v>171</v>
      </c>
      <c r="C2" s="68" t="s">
        <v>253</v>
      </c>
    </row>
    <row r="3" spans="2:18">
      <c r="B3" s="47" t="s">
        <v>173</v>
      </c>
      <c r="C3" s="68" t="s">
        <v>254</v>
      </c>
    </row>
    <row r="4" spans="2:18">
      <c r="B4" s="47" t="s">
        <v>174</v>
      </c>
      <c r="C4" s="68">
        <v>8602</v>
      </c>
    </row>
    <row r="6" spans="2:18" ht="26.25" customHeight="1">
      <c r="B6" s="123" t="s">
        <v>212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8" s="3" customFormat="1" ht="78.75">
      <c r="B7" s="22" t="s">
        <v>109</v>
      </c>
      <c r="C7" s="30" t="s">
        <v>41</v>
      </c>
      <c r="D7" s="30" t="s">
        <v>61</v>
      </c>
      <c r="E7" s="30" t="s">
        <v>14</v>
      </c>
      <c r="F7" s="30" t="s">
        <v>62</v>
      </c>
      <c r="G7" s="30" t="s">
        <v>97</v>
      </c>
      <c r="H7" s="30" t="s">
        <v>17</v>
      </c>
      <c r="I7" s="30" t="s">
        <v>96</v>
      </c>
      <c r="J7" s="30" t="s">
        <v>16</v>
      </c>
      <c r="K7" s="30" t="s">
        <v>210</v>
      </c>
      <c r="L7" s="30" t="s">
        <v>234</v>
      </c>
      <c r="M7" s="30" t="s">
        <v>211</v>
      </c>
      <c r="N7" s="30" t="s">
        <v>55</v>
      </c>
      <c r="O7" s="30" t="s">
        <v>175</v>
      </c>
      <c r="P7" s="31" t="s">
        <v>177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236</v>
      </c>
      <c r="M8" s="32" t="s">
        <v>232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9">
        <v>0</v>
      </c>
      <c r="N10" s="69"/>
      <c r="O10" s="69"/>
      <c r="P10" s="69"/>
      <c r="Q10" s="5"/>
    </row>
    <row r="11" spans="2:18" ht="20.25" customHeight="1">
      <c r="B11" s="85" t="s">
        <v>244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105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235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P2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172</v>
      </c>
      <c r="C1" s="68" t="s" vm="1">
        <v>252</v>
      </c>
    </row>
    <row r="2" spans="2:18">
      <c r="B2" s="47" t="s">
        <v>171</v>
      </c>
      <c r="C2" s="68" t="s">
        <v>253</v>
      </c>
    </row>
    <row r="3" spans="2:18">
      <c r="B3" s="47" t="s">
        <v>173</v>
      </c>
      <c r="C3" s="68" t="s">
        <v>254</v>
      </c>
    </row>
    <row r="4" spans="2:18">
      <c r="B4" s="47" t="s">
        <v>174</v>
      </c>
      <c r="C4" s="68">
        <v>8602</v>
      </c>
    </row>
    <row r="6" spans="2:18" ht="26.25" customHeight="1">
      <c r="B6" s="123" t="s">
        <v>213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8" s="3" customFormat="1" ht="78.75">
      <c r="B7" s="22" t="s">
        <v>109</v>
      </c>
      <c r="C7" s="30" t="s">
        <v>41</v>
      </c>
      <c r="D7" s="30" t="s">
        <v>61</v>
      </c>
      <c r="E7" s="30" t="s">
        <v>14</v>
      </c>
      <c r="F7" s="30" t="s">
        <v>62</v>
      </c>
      <c r="G7" s="30" t="s">
        <v>97</v>
      </c>
      <c r="H7" s="30" t="s">
        <v>17</v>
      </c>
      <c r="I7" s="30" t="s">
        <v>96</v>
      </c>
      <c r="J7" s="30" t="s">
        <v>16</v>
      </c>
      <c r="K7" s="30" t="s">
        <v>210</v>
      </c>
      <c r="L7" s="30" t="s">
        <v>229</v>
      </c>
      <c r="M7" s="30" t="s">
        <v>211</v>
      </c>
      <c r="N7" s="30" t="s">
        <v>55</v>
      </c>
      <c r="O7" s="30" t="s">
        <v>175</v>
      </c>
      <c r="P7" s="31" t="s">
        <v>177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236</v>
      </c>
      <c r="M8" s="32" t="s">
        <v>232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9">
        <v>0</v>
      </c>
      <c r="N10" s="69"/>
      <c r="O10" s="69"/>
      <c r="P10" s="69"/>
      <c r="Q10" s="5"/>
    </row>
    <row r="11" spans="2:18" ht="20.25" customHeight="1">
      <c r="B11" s="85" t="s">
        <v>244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105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235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P2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4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64.855468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172</v>
      </c>
      <c r="C1" s="68" t="s" vm="1">
        <v>252</v>
      </c>
    </row>
    <row r="2" spans="2:53">
      <c r="B2" s="47" t="s">
        <v>171</v>
      </c>
      <c r="C2" s="68" t="s">
        <v>253</v>
      </c>
    </row>
    <row r="3" spans="2:53">
      <c r="B3" s="47" t="s">
        <v>173</v>
      </c>
      <c r="C3" s="68" t="s">
        <v>254</v>
      </c>
    </row>
    <row r="4" spans="2:53">
      <c r="B4" s="47" t="s">
        <v>174</v>
      </c>
      <c r="C4" s="68">
        <v>8602</v>
      </c>
    </row>
    <row r="6" spans="2:53" ht="21.75" customHeight="1">
      <c r="B6" s="126" t="s">
        <v>202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53" ht="27.75" customHeight="1">
      <c r="B7" s="129" t="s">
        <v>82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AU7" s="3"/>
      <c r="AV7" s="3"/>
    </row>
    <row r="8" spans="2:53" s="3" customFormat="1" ht="66" customHeight="1">
      <c r="B8" s="22" t="s">
        <v>108</v>
      </c>
      <c r="C8" s="30" t="s">
        <v>41</v>
      </c>
      <c r="D8" s="30" t="s">
        <v>112</v>
      </c>
      <c r="E8" s="30" t="s">
        <v>14</v>
      </c>
      <c r="F8" s="30" t="s">
        <v>62</v>
      </c>
      <c r="G8" s="30" t="s">
        <v>97</v>
      </c>
      <c r="H8" s="30" t="s">
        <v>17</v>
      </c>
      <c r="I8" s="30" t="s">
        <v>96</v>
      </c>
      <c r="J8" s="30" t="s">
        <v>16</v>
      </c>
      <c r="K8" s="30" t="s">
        <v>18</v>
      </c>
      <c r="L8" s="30" t="s">
        <v>229</v>
      </c>
      <c r="M8" s="30" t="s">
        <v>228</v>
      </c>
      <c r="N8" s="30" t="s">
        <v>243</v>
      </c>
      <c r="O8" s="30" t="s">
        <v>58</v>
      </c>
      <c r="P8" s="30" t="s">
        <v>231</v>
      </c>
      <c r="Q8" s="30" t="s">
        <v>175</v>
      </c>
      <c r="R8" s="60" t="s">
        <v>177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236</v>
      </c>
      <c r="M9" s="32"/>
      <c r="N9" s="16" t="s">
        <v>232</v>
      </c>
      <c r="O9" s="32" t="s">
        <v>237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106</v>
      </c>
      <c r="R10" s="20" t="s">
        <v>107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96" t="s">
        <v>25</v>
      </c>
      <c r="C11" s="72"/>
      <c r="D11" s="72"/>
      <c r="E11" s="72"/>
      <c r="F11" s="72"/>
      <c r="G11" s="72"/>
      <c r="H11" s="80">
        <v>17.037946840470042</v>
      </c>
      <c r="I11" s="72"/>
      <c r="J11" s="72"/>
      <c r="K11" s="81">
        <v>-1.4138467336412466E-3</v>
      </c>
      <c r="L11" s="80"/>
      <c r="M11" s="82"/>
      <c r="N11" s="72"/>
      <c r="O11" s="80">
        <v>14615.912408305998</v>
      </c>
      <c r="P11" s="72"/>
      <c r="Q11" s="81">
        <f>O11/$O$11</f>
        <v>1</v>
      </c>
      <c r="R11" s="81">
        <f>O11/'סכום נכסי הקרן'!$C$42</f>
        <v>0.1807748651908605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86"/>
      <c r="AV11" s="86"/>
      <c r="AW11" s="3"/>
      <c r="BA11" s="86"/>
    </row>
    <row r="12" spans="2:53" ht="22.5" customHeight="1">
      <c r="B12" s="71" t="s">
        <v>223</v>
      </c>
      <c r="C12" s="72"/>
      <c r="D12" s="72"/>
      <c r="E12" s="72"/>
      <c r="F12" s="72"/>
      <c r="G12" s="72"/>
      <c r="H12" s="80">
        <v>17.037946840470035</v>
      </c>
      <c r="I12" s="72"/>
      <c r="J12" s="72"/>
      <c r="K12" s="81">
        <v>-1.4138467336412463E-3</v>
      </c>
      <c r="L12" s="80"/>
      <c r="M12" s="82"/>
      <c r="N12" s="72"/>
      <c r="O12" s="80">
        <v>14615.912408306001</v>
      </c>
      <c r="P12" s="72"/>
      <c r="Q12" s="81">
        <f t="shared" ref="Q12:Q25" si="0">O12/$O$11</f>
        <v>1.0000000000000002</v>
      </c>
      <c r="R12" s="81">
        <f>O12/'סכום נכסי הקרן'!$C$42</f>
        <v>0.18077486519086053</v>
      </c>
      <c r="AW12" s="4"/>
    </row>
    <row r="13" spans="2:53" s="86" customFormat="1">
      <c r="B13" s="89" t="s">
        <v>23</v>
      </c>
      <c r="C13" s="72"/>
      <c r="D13" s="72"/>
      <c r="E13" s="72"/>
      <c r="F13" s="72"/>
      <c r="G13" s="72"/>
      <c r="H13" s="80">
        <v>17.037946840470035</v>
      </c>
      <c r="I13" s="72"/>
      <c r="J13" s="72"/>
      <c r="K13" s="81">
        <v>-1.4138467336412463E-3</v>
      </c>
      <c r="L13" s="80"/>
      <c r="M13" s="82"/>
      <c r="N13" s="72"/>
      <c r="O13" s="80">
        <v>14615.912408306001</v>
      </c>
      <c r="P13" s="72"/>
      <c r="Q13" s="81">
        <f t="shared" si="0"/>
        <v>1.0000000000000002</v>
      </c>
      <c r="R13" s="81">
        <f>O13/'סכום נכסי הקרן'!$C$42</f>
        <v>0.18077486519086053</v>
      </c>
    </row>
    <row r="14" spans="2:53">
      <c r="B14" s="74" t="s">
        <v>22</v>
      </c>
      <c r="C14" s="72"/>
      <c r="D14" s="72"/>
      <c r="E14" s="72"/>
      <c r="F14" s="72"/>
      <c r="G14" s="72"/>
      <c r="H14" s="80">
        <v>17.037946840470035</v>
      </c>
      <c r="I14" s="72"/>
      <c r="J14" s="72"/>
      <c r="K14" s="81">
        <v>-1.4138467336412463E-3</v>
      </c>
      <c r="L14" s="80"/>
      <c r="M14" s="82"/>
      <c r="N14" s="72"/>
      <c r="O14" s="80">
        <v>14615.912408306001</v>
      </c>
      <c r="P14" s="72"/>
      <c r="Q14" s="81">
        <f t="shared" si="0"/>
        <v>1.0000000000000002</v>
      </c>
      <c r="R14" s="81">
        <f>O14/'סכום נכסי הקרן'!$C$42</f>
        <v>0.18077486519086053</v>
      </c>
    </row>
    <row r="15" spans="2:53">
      <c r="B15" s="75" t="s">
        <v>255</v>
      </c>
      <c r="C15" s="70" t="s">
        <v>256</v>
      </c>
      <c r="D15" s="83" t="s">
        <v>113</v>
      </c>
      <c r="E15" s="70" t="s">
        <v>257</v>
      </c>
      <c r="F15" s="70"/>
      <c r="G15" s="70"/>
      <c r="H15" s="77">
        <v>1.0400000000109364</v>
      </c>
      <c r="I15" s="83" t="s">
        <v>157</v>
      </c>
      <c r="J15" s="84">
        <v>0.04</v>
      </c>
      <c r="K15" s="78">
        <v>-8.0000000021872698E-4</v>
      </c>
      <c r="L15" s="77">
        <v>12972.716680000001</v>
      </c>
      <c r="M15" s="79">
        <v>140.97</v>
      </c>
      <c r="N15" s="70"/>
      <c r="O15" s="77">
        <v>18.28763872</v>
      </c>
      <c r="P15" s="78">
        <v>8.3437597855440329E-7</v>
      </c>
      <c r="Q15" s="78">
        <f t="shared" si="0"/>
        <v>1.2512143073331102E-3</v>
      </c>
      <c r="R15" s="78">
        <f>O15/'סכום נכסי הקרן'!$C$42</f>
        <v>2.2618809773301889E-4</v>
      </c>
    </row>
    <row r="16" spans="2:53" ht="20.25">
      <c r="B16" s="75" t="s">
        <v>258</v>
      </c>
      <c r="C16" s="70" t="s">
        <v>259</v>
      </c>
      <c r="D16" s="83" t="s">
        <v>113</v>
      </c>
      <c r="E16" s="70" t="s">
        <v>257</v>
      </c>
      <c r="F16" s="70"/>
      <c r="G16" s="70"/>
      <c r="H16" s="77">
        <v>3.7599999999606757</v>
      </c>
      <c r="I16" s="83" t="s">
        <v>157</v>
      </c>
      <c r="J16" s="84">
        <v>0.04</v>
      </c>
      <c r="K16" s="78">
        <v>-5.0000000000000001E-3</v>
      </c>
      <c r="L16" s="77">
        <v>12127.050903999998</v>
      </c>
      <c r="M16" s="79">
        <v>150.97999999999999</v>
      </c>
      <c r="N16" s="70"/>
      <c r="O16" s="77">
        <v>18.309421671999999</v>
      </c>
      <c r="P16" s="78">
        <v>1.0438252323527826E-6</v>
      </c>
      <c r="Q16" s="78">
        <f t="shared" si="0"/>
        <v>1.2527046660183211E-3</v>
      </c>
      <c r="R16" s="78">
        <f>O16/'סכום נכסי הקרן'!$C$42</f>
        <v>2.2645751712342389E-4</v>
      </c>
      <c r="AU16" s="4"/>
    </row>
    <row r="17" spans="2:48" ht="20.25">
      <c r="B17" s="75" t="s">
        <v>260</v>
      </c>
      <c r="C17" s="70" t="s">
        <v>261</v>
      </c>
      <c r="D17" s="83" t="s">
        <v>113</v>
      </c>
      <c r="E17" s="70" t="s">
        <v>257</v>
      </c>
      <c r="F17" s="70"/>
      <c r="G17" s="70"/>
      <c r="H17" s="77">
        <v>6.7700000000077249</v>
      </c>
      <c r="I17" s="83" t="s">
        <v>157</v>
      </c>
      <c r="J17" s="84">
        <v>7.4999999999999997E-3</v>
      </c>
      <c r="K17" s="78">
        <v>-6.7000000000088013E-3</v>
      </c>
      <c r="L17" s="77">
        <v>183809.34016399999</v>
      </c>
      <c r="M17" s="79">
        <v>111.25</v>
      </c>
      <c r="N17" s="70"/>
      <c r="O17" s="77">
        <v>204.48788284600002</v>
      </c>
      <c r="P17" s="78">
        <v>1.1506892055795691E-5</v>
      </c>
      <c r="Q17" s="78">
        <f t="shared" si="0"/>
        <v>1.3990770957945308E-2</v>
      </c>
      <c r="R17" s="78">
        <f>O17/'סכום נכסי הקרן'!$C$42</f>
        <v>2.5291797338387692E-3</v>
      </c>
      <c r="AV17" s="4"/>
    </row>
    <row r="18" spans="2:48">
      <c r="B18" s="75" t="s">
        <v>262</v>
      </c>
      <c r="C18" s="70" t="s">
        <v>263</v>
      </c>
      <c r="D18" s="83" t="s">
        <v>113</v>
      </c>
      <c r="E18" s="70" t="s">
        <v>257</v>
      </c>
      <c r="F18" s="70"/>
      <c r="G18" s="70"/>
      <c r="H18" s="77">
        <v>13.069999999997291</v>
      </c>
      <c r="I18" s="83" t="s">
        <v>157</v>
      </c>
      <c r="J18" s="84">
        <v>0.04</v>
      </c>
      <c r="K18" s="78">
        <v>-3.6999999999987741E-3</v>
      </c>
      <c r="L18" s="77">
        <v>1795345.466943</v>
      </c>
      <c r="M18" s="79">
        <v>204.5</v>
      </c>
      <c r="N18" s="70"/>
      <c r="O18" s="77">
        <v>3671.4814890849998</v>
      </c>
      <c r="P18" s="78">
        <v>1.1067620548616558E-4</v>
      </c>
      <c r="Q18" s="78">
        <f t="shared" si="0"/>
        <v>0.25119755691738777</v>
      </c>
      <c r="R18" s="78">
        <f>O18/'סכום נכסי הקרן'!$C$42</f>
        <v>4.5410204488014277E-2</v>
      </c>
      <c r="AU18" s="3"/>
    </row>
    <row r="19" spans="2:48">
      <c r="B19" s="75" t="s">
        <v>264</v>
      </c>
      <c r="C19" s="70" t="s">
        <v>265</v>
      </c>
      <c r="D19" s="83" t="s">
        <v>113</v>
      </c>
      <c r="E19" s="70" t="s">
        <v>257</v>
      </c>
      <c r="F19" s="70"/>
      <c r="G19" s="70"/>
      <c r="H19" s="77">
        <v>17.24999999999978</v>
      </c>
      <c r="I19" s="83" t="s">
        <v>157</v>
      </c>
      <c r="J19" s="84">
        <v>2.75E-2</v>
      </c>
      <c r="K19" s="78">
        <v>-7.9999999999846101E-4</v>
      </c>
      <c r="L19" s="77">
        <v>1939290.3361170001</v>
      </c>
      <c r="M19" s="79">
        <v>174.21</v>
      </c>
      <c r="N19" s="70"/>
      <c r="O19" s="77">
        <v>3378.4377522189998</v>
      </c>
      <c r="P19" s="78">
        <v>1.0971898076069528E-4</v>
      </c>
      <c r="Q19" s="78">
        <f t="shared" si="0"/>
        <v>0.23114792000936499</v>
      </c>
      <c r="R19" s="78">
        <f>O19/'סכום נכסי הקרן'!$C$42</f>
        <v>4.1785734078840758E-2</v>
      </c>
      <c r="AV19" s="3"/>
    </row>
    <row r="20" spans="2:48">
      <c r="B20" s="75" t="s">
        <v>266</v>
      </c>
      <c r="C20" s="70" t="s">
        <v>267</v>
      </c>
      <c r="D20" s="83" t="s">
        <v>113</v>
      </c>
      <c r="E20" s="70" t="s">
        <v>257</v>
      </c>
      <c r="F20" s="70"/>
      <c r="G20" s="70"/>
      <c r="H20" s="77">
        <v>3.150000000083518</v>
      </c>
      <c r="I20" s="83" t="s">
        <v>157</v>
      </c>
      <c r="J20" s="84">
        <v>1.7500000000000002E-2</v>
      </c>
      <c r="K20" s="78">
        <v>-4.3000000001670357E-3</v>
      </c>
      <c r="L20" s="77">
        <v>18457.458106999999</v>
      </c>
      <c r="M20" s="79">
        <v>110.28</v>
      </c>
      <c r="N20" s="70"/>
      <c r="O20" s="77">
        <v>20.354884362</v>
      </c>
      <c r="P20" s="78">
        <v>1.0921930876905668E-6</v>
      </c>
      <c r="Q20" s="78">
        <f t="shared" si="0"/>
        <v>1.3926523225763609E-3</v>
      </c>
      <c r="R20" s="78">
        <f>O20/'סכום נכסי הקרן'!$C$42</f>
        <v>2.5175653587148039E-4</v>
      </c>
    </row>
    <row r="21" spans="2:48">
      <c r="B21" s="75" t="s">
        <v>268</v>
      </c>
      <c r="C21" s="70" t="s">
        <v>269</v>
      </c>
      <c r="D21" s="83" t="s">
        <v>113</v>
      </c>
      <c r="E21" s="70" t="s">
        <v>257</v>
      </c>
      <c r="F21" s="70"/>
      <c r="G21" s="70"/>
      <c r="H21" s="77">
        <v>0.32999999507186129</v>
      </c>
      <c r="I21" s="83" t="s">
        <v>157</v>
      </c>
      <c r="J21" s="84">
        <v>1E-3</v>
      </c>
      <c r="K21" s="78">
        <v>-8.3999999812261385E-3</v>
      </c>
      <c r="L21" s="77">
        <v>42.115476000000001</v>
      </c>
      <c r="M21" s="79">
        <v>101.18</v>
      </c>
      <c r="N21" s="70"/>
      <c r="O21" s="77">
        <v>4.2612437000000003E-2</v>
      </c>
      <c r="P21" s="78">
        <v>3.4983187540468343E-9</v>
      </c>
      <c r="Q21" s="78">
        <f t="shared" si="0"/>
        <v>2.9154825104031146E-6</v>
      </c>
      <c r="R21" s="78">
        <f>O21/'סכום נכסי הקרן'!$C$42</f>
        <v>5.2704595778443461E-7</v>
      </c>
    </row>
    <row r="22" spans="2:48">
      <c r="B22" s="75" t="s">
        <v>270</v>
      </c>
      <c r="C22" s="70" t="s">
        <v>271</v>
      </c>
      <c r="D22" s="83" t="s">
        <v>113</v>
      </c>
      <c r="E22" s="70" t="s">
        <v>257</v>
      </c>
      <c r="F22" s="70"/>
      <c r="G22" s="70"/>
      <c r="H22" s="77">
        <v>5.2299999999597908</v>
      </c>
      <c r="I22" s="83" t="s">
        <v>157</v>
      </c>
      <c r="J22" s="84">
        <v>7.4999999999999997E-3</v>
      </c>
      <c r="K22" s="78">
        <v>-6.10000000000256E-3</v>
      </c>
      <c r="L22" s="77">
        <v>36046.165223999997</v>
      </c>
      <c r="M22" s="79">
        <v>108.32</v>
      </c>
      <c r="N22" s="70"/>
      <c r="O22" s="77">
        <v>39.045206759000003</v>
      </c>
      <c r="P22" s="78">
        <v>2.1276865654086187E-6</v>
      </c>
      <c r="Q22" s="78">
        <f t="shared" si="0"/>
        <v>2.6714176760399312E-3</v>
      </c>
      <c r="R22" s="78">
        <f>O22/'סכום נכסי הקרן'!$C$42</f>
        <v>4.8292517025460039E-4</v>
      </c>
    </row>
    <row r="23" spans="2:48">
      <c r="B23" s="75" t="s">
        <v>272</v>
      </c>
      <c r="C23" s="70" t="s">
        <v>273</v>
      </c>
      <c r="D23" s="83" t="s">
        <v>113</v>
      </c>
      <c r="E23" s="70" t="s">
        <v>257</v>
      </c>
      <c r="F23" s="70"/>
      <c r="G23" s="70"/>
      <c r="H23" s="77">
        <v>8.7500000000050147</v>
      </c>
      <c r="I23" s="83" t="s">
        <v>157</v>
      </c>
      <c r="J23" s="84">
        <v>5.0000000000000001E-3</v>
      </c>
      <c r="K23" s="78">
        <v>-6.9000000000005012E-3</v>
      </c>
      <c r="L23" s="77">
        <v>1437388.260517</v>
      </c>
      <c r="M23" s="79">
        <v>111</v>
      </c>
      <c r="N23" s="70"/>
      <c r="O23" s="77">
        <v>1595.5009100680002</v>
      </c>
      <c r="P23" s="78">
        <v>1.0562584267624591E-4</v>
      </c>
      <c r="Q23" s="78">
        <f t="shared" si="0"/>
        <v>0.10916190967053836</v>
      </c>
      <c r="R23" s="78">
        <f>O23/'סכום נכסי הקרן'!$C$42</f>
        <v>1.9733729504668462E-2</v>
      </c>
    </row>
    <row r="24" spans="2:48">
      <c r="B24" s="75" t="s">
        <v>274</v>
      </c>
      <c r="C24" s="70" t="s">
        <v>275</v>
      </c>
      <c r="D24" s="83" t="s">
        <v>113</v>
      </c>
      <c r="E24" s="70" t="s">
        <v>257</v>
      </c>
      <c r="F24" s="70"/>
      <c r="G24" s="70"/>
      <c r="H24" s="77">
        <v>22.480000000001343</v>
      </c>
      <c r="I24" s="83" t="s">
        <v>157</v>
      </c>
      <c r="J24" s="84">
        <v>0.01</v>
      </c>
      <c r="K24" s="78">
        <v>1.5000000000004424E-3</v>
      </c>
      <c r="L24" s="77">
        <v>4639306.2693910003</v>
      </c>
      <c r="M24" s="79">
        <v>121.79</v>
      </c>
      <c r="N24" s="70"/>
      <c r="O24" s="77">
        <v>5650.2109437050003</v>
      </c>
      <c r="P24" s="78">
        <v>2.8098064489074157E-4</v>
      </c>
      <c r="Q24" s="78">
        <f t="shared" si="0"/>
        <v>0.38657942014581809</v>
      </c>
      <c r="R24" s="78">
        <f>O24/'סכום נכסי הקרן'!$C$42</f>
        <v>6.9883842562421292E-2</v>
      </c>
    </row>
    <row r="25" spans="2:48">
      <c r="B25" s="75" t="s">
        <v>276</v>
      </c>
      <c r="C25" s="70" t="s">
        <v>277</v>
      </c>
      <c r="D25" s="83" t="s">
        <v>113</v>
      </c>
      <c r="E25" s="70" t="s">
        <v>257</v>
      </c>
      <c r="F25" s="70"/>
      <c r="G25" s="70"/>
      <c r="H25" s="77">
        <v>2.1699999999691202</v>
      </c>
      <c r="I25" s="83" t="s">
        <v>157</v>
      </c>
      <c r="J25" s="84">
        <v>2.75E-2</v>
      </c>
      <c r="K25" s="78">
        <v>-2.1000000000354368E-3</v>
      </c>
      <c r="L25" s="77">
        <v>17536.991286</v>
      </c>
      <c r="M25" s="79">
        <v>112.64</v>
      </c>
      <c r="N25" s="70"/>
      <c r="O25" s="77">
        <v>19.753666432999999</v>
      </c>
      <c r="P25" s="78">
        <v>1.0443254213003904E-6</v>
      </c>
      <c r="Q25" s="78">
        <f t="shared" si="0"/>
        <v>1.3515178444675337E-3</v>
      </c>
      <c r="R25" s="78">
        <f>O25/'סכום נכסי הקרן'!$C$42</f>
        <v>2.4432045613666074E-4</v>
      </c>
    </row>
    <row r="26" spans="2:48">
      <c r="B26" s="76"/>
      <c r="C26" s="70"/>
      <c r="D26" s="70"/>
      <c r="E26" s="70"/>
      <c r="F26" s="70"/>
      <c r="G26" s="70"/>
      <c r="H26" s="70"/>
      <c r="I26" s="70"/>
      <c r="J26" s="70"/>
      <c r="K26" s="78"/>
      <c r="L26" s="77"/>
      <c r="M26" s="79"/>
      <c r="N26" s="70"/>
      <c r="O26" s="70"/>
      <c r="P26" s="70"/>
      <c r="Q26" s="78"/>
      <c r="R26" s="70"/>
    </row>
    <row r="27" spans="2:48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48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48">
      <c r="B29" s="85" t="s">
        <v>105</v>
      </c>
      <c r="C29" s="86"/>
      <c r="D29" s="86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48">
      <c r="B30" s="85" t="s">
        <v>227</v>
      </c>
      <c r="C30" s="86"/>
      <c r="D30" s="86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48">
      <c r="B31" s="132" t="s">
        <v>235</v>
      </c>
      <c r="C31" s="132"/>
      <c r="D31" s="132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2:48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8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2:18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2: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2:18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2:18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2:18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8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2: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2:18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18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2: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2: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8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2:18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2:18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2:18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2:18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2:18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2:18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2:18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2:18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2:18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2:18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2:18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2:18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2:18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2:18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2:18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2: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2: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2:18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2:18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2:18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2:18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2:18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2:18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2:18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2:18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2:18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2:18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2:18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2:18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2:18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2:18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2:18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2:18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2:18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2:18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2:18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2:18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2:18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2:18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2:18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2:18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2:18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2:18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2:18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2:18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2:18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2:18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2:18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2:18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2:18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2:18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2:18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2:18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2:18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2:18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2:18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2:18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B32:B1048576 O1:Q9 O11:Q1048576 C32:I1048576 J1:M1048576 E1:I30 D1:D28 B29:B31 R1:AF1048576 AJ1:XFD1048576 AG1:AI27 AG31:AI1048576 C29:D30 A1:A1048576 B1:B28 C5:C28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172</v>
      </c>
      <c r="C1" s="68" t="s" vm="1">
        <v>252</v>
      </c>
    </row>
    <row r="2" spans="2:18">
      <c r="B2" s="47" t="s">
        <v>171</v>
      </c>
      <c r="C2" s="68" t="s">
        <v>253</v>
      </c>
    </row>
    <row r="3" spans="2:18">
      <c r="B3" s="47" t="s">
        <v>173</v>
      </c>
      <c r="C3" s="68" t="s">
        <v>254</v>
      </c>
    </row>
    <row r="4" spans="2:18">
      <c r="B4" s="47" t="s">
        <v>174</v>
      </c>
      <c r="C4" s="68">
        <v>8602</v>
      </c>
    </row>
    <row r="6" spans="2:18" ht="26.25" customHeight="1">
      <c r="B6" s="123" t="s">
        <v>215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8" s="3" customFormat="1" ht="78.75">
      <c r="B7" s="22" t="s">
        <v>109</v>
      </c>
      <c r="C7" s="30" t="s">
        <v>41</v>
      </c>
      <c r="D7" s="30" t="s">
        <v>61</v>
      </c>
      <c r="E7" s="30" t="s">
        <v>14</v>
      </c>
      <c r="F7" s="30" t="s">
        <v>62</v>
      </c>
      <c r="G7" s="30" t="s">
        <v>97</v>
      </c>
      <c r="H7" s="30" t="s">
        <v>17</v>
      </c>
      <c r="I7" s="30" t="s">
        <v>96</v>
      </c>
      <c r="J7" s="30" t="s">
        <v>16</v>
      </c>
      <c r="K7" s="30" t="s">
        <v>210</v>
      </c>
      <c r="L7" s="30" t="s">
        <v>229</v>
      </c>
      <c r="M7" s="30" t="s">
        <v>211</v>
      </c>
      <c r="N7" s="30" t="s">
        <v>55</v>
      </c>
      <c r="O7" s="30" t="s">
        <v>175</v>
      </c>
      <c r="P7" s="31" t="s">
        <v>177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236</v>
      </c>
      <c r="M8" s="32" t="s">
        <v>232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9">
        <v>0</v>
      </c>
      <c r="N10" s="69"/>
      <c r="O10" s="69"/>
      <c r="P10" s="69"/>
      <c r="Q10" s="5"/>
    </row>
    <row r="11" spans="2:18" ht="20.25" customHeight="1">
      <c r="B11" s="85" t="s">
        <v>244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105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235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2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2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23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23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23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2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2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2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2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2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2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2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2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2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2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2"/>
      <c r="R31" s="2"/>
      <c r="S31" s="2"/>
      <c r="T31" s="2"/>
      <c r="U31" s="2"/>
      <c r="V31" s="2"/>
      <c r="W31" s="2"/>
    </row>
    <row r="32" spans="2:2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2"/>
      <c r="R32" s="2"/>
      <c r="S32" s="2"/>
      <c r="T32" s="2"/>
      <c r="U32" s="2"/>
      <c r="V32" s="2"/>
      <c r="W32" s="2"/>
    </row>
    <row r="33" spans="2:2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2"/>
      <c r="R33" s="2"/>
      <c r="S33" s="2"/>
      <c r="T33" s="2"/>
      <c r="U33" s="2"/>
      <c r="V33" s="2"/>
      <c r="W33" s="2"/>
    </row>
    <row r="34" spans="2:2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2"/>
      <c r="R34" s="2"/>
      <c r="S34" s="2"/>
      <c r="T34" s="2"/>
      <c r="U34" s="2"/>
      <c r="V34" s="2"/>
      <c r="W34" s="2"/>
    </row>
    <row r="35" spans="2:2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2"/>
      <c r="R35" s="2"/>
      <c r="S35" s="2"/>
      <c r="T35" s="2"/>
      <c r="U35" s="2"/>
      <c r="V35" s="2"/>
      <c r="W35" s="2"/>
    </row>
    <row r="36" spans="2:2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2"/>
      <c r="R36" s="2"/>
      <c r="S36" s="2"/>
      <c r="T36" s="2"/>
      <c r="U36" s="2"/>
      <c r="V36" s="2"/>
      <c r="W36" s="2"/>
    </row>
    <row r="37" spans="2:2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2"/>
      <c r="R37" s="2"/>
      <c r="S37" s="2"/>
      <c r="T37" s="2"/>
      <c r="U37" s="2"/>
      <c r="V37" s="2"/>
      <c r="W37" s="2"/>
    </row>
    <row r="38" spans="2:2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2"/>
      <c r="R38" s="2"/>
      <c r="S38" s="2"/>
      <c r="T38" s="2"/>
      <c r="U38" s="2"/>
      <c r="V38" s="2"/>
      <c r="W38" s="2"/>
    </row>
    <row r="39" spans="2:2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2"/>
      <c r="R39" s="2"/>
      <c r="S39" s="2"/>
      <c r="T39" s="2"/>
      <c r="U39" s="2"/>
      <c r="V39" s="2"/>
      <c r="W39" s="2"/>
    </row>
    <row r="40" spans="2:2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2"/>
      <c r="R40" s="2"/>
      <c r="S40" s="2"/>
      <c r="T40" s="2"/>
      <c r="U40" s="2"/>
      <c r="V40" s="2"/>
      <c r="W40" s="2"/>
    </row>
    <row r="41" spans="2:2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2"/>
      <c r="R41" s="2"/>
      <c r="S41" s="2"/>
      <c r="T41" s="2"/>
      <c r="U41" s="2"/>
      <c r="V41" s="2"/>
      <c r="W41" s="2"/>
    </row>
    <row r="42" spans="2:2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2"/>
      <c r="R42" s="2"/>
      <c r="S42" s="2"/>
      <c r="T42" s="2"/>
      <c r="U42" s="2"/>
      <c r="V42" s="2"/>
      <c r="W42" s="2"/>
    </row>
    <row r="43" spans="2:2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2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2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2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2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2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P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Q11" sqref="Q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172</v>
      </c>
      <c r="C1" s="68" t="s" vm="1">
        <v>252</v>
      </c>
    </row>
    <row r="2" spans="2:67">
      <c r="B2" s="47" t="s">
        <v>171</v>
      </c>
      <c r="C2" s="68" t="s">
        <v>253</v>
      </c>
    </row>
    <row r="3" spans="2:67">
      <c r="B3" s="47" t="s">
        <v>173</v>
      </c>
      <c r="C3" s="68" t="s">
        <v>254</v>
      </c>
    </row>
    <row r="4" spans="2:67">
      <c r="B4" s="47" t="s">
        <v>174</v>
      </c>
      <c r="C4" s="68">
        <v>8602</v>
      </c>
    </row>
    <row r="6" spans="2:67" ht="26.25" customHeight="1">
      <c r="B6" s="129" t="s">
        <v>202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  <c r="BO6" s="3"/>
    </row>
    <row r="7" spans="2:67" ht="26.25" customHeight="1">
      <c r="B7" s="129" t="s">
        <v>83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AZ7" s="42"/>
      <c r="BJ7" s="3"/>
      <c r="BO7" s="3"/>
    </row>
    <row r="8" spans="2:67" s="3" customFormat="1" ht="78.75">
      <c r="B8" s="37" t="s">
        <v>108</v>
      </c>
      <c r="C8" s="13" t="s">
        <v>41</v>
      </c>
      <c r="D8" s="13" t="s">
        <v>112</v>
      </c>
      <c r="E8" s="13" t="s">
        <v>218</v>
      </c>
      <c r="F8" s="13" t="s">
        <v>110</v>
      </c>
      <c r="G8" s="13" t="s">
        <v>61</v>
      </c>
      <c r="H8" s="13" t="s">
        <v>14</v>
      </c>
      <c r="I8" s="13" t="s">
        <v>62</v>
      </c>
      <c r="J8" s="13" t="s">
        <v>97</v>
      </c>
      <c r="K8" s="13" t="s">
        <v>17</v>
      </c>
      <c r="L8" s="13" t="s">
        <v>96</v>
      </c>
      <c r="M8" s="13" t="s">
        <v>16</v>
      </c>
      <c r="N8" s="13" t="s">
        <v>18</v>
      </c>
      <c r="O8" s="13" t="s">
        <v>229</v>
      </c>
      <c r="P8" s="13" t="s">
        <v>228</v>
      </c>
      <c r="Q8" s="13" t="s">
        <v>58</v>
      </c>
      <c r="R8" s="13" t="s">
        <v>55</v>
      </c>
      <c r="S8" s="13" t="s">
        <v>175</v>
      </c>
      <c r="T8" s="38" t="s">
        <v>177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236</v>
      </c>
      <c r="P9" s="16"/>
      <c r="Q9" s="16" t="s">
        <v>232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106</v>
      </c>
      <c r="R10" s="19" t="s">
        <v>107</v>
      </c>
      <c r="S10" s="44" t="s">
        <v>178</v>
      </c>
      <c r="T10" s="61" t="s">
        <v>219</v>
      </c>
      <c r="U10" s="5"/>
      <c r="BJ10" s="1"/>
      <c r="BK10" s="3"/>
      <c r="BL10" s="1"/>
      <c r="BO10" s="1"/>
    </row>
    <row r="11" spans="2:67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13">
        <v>0</v>
      </c>
      <c r="R11" s="69"/>
      <c r="S11" s="69"/>
      <c r="T11" s="69"/>
      <c r="U11" s="5"/>
      <c r="BJ11" s="1"/>
      <c r="BK11" s="3"/>
      <c r="BL11" s="1"/>
      <c r="BO11" s="1"/>
    </row>
    <row r="12" spans="2:67" ht="20.25">
      <c r="B12" s="85" t="s">
        <v>244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BK12" s="4"/>
    </row>
    <row r="13" spans="2:67">
      <c r="B13" s="85" t="s">
        <v>105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2:67">
      <c r="B14" s="85" t="s">
        <v>227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2:67">
      <c r="B15" s="85" t="s">
        <v>235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2:67" ht="20.2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BJ16" s="4"/>
    </row>
    <row r="17" spans="2:20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2:20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2:20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0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0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2:20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2:20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2:20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2:20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2:20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2:20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2:20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2:20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2:20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2:20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2:20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2:20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2:20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2:20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2:20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2:20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2:20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2:20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2:20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:20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2:20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2:20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2:20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2:20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2:20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2:20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2:20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2:20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2:20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2:20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2:20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2:20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2:20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2:20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2:20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2:20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2:20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2:20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2:20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2:20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2:20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2:20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</row>
    <row r="67" spans="2:20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2:20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</row>
    <row r="69" spans="2:20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</row>
    <row r="70" spans="2:20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</row>
    <row r="71" spans="2:20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2:20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2:20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2:20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2:20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2:20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2:20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  <row r="78" spans="2:20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</row>
    <row r="79" spans="2:20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</row>
    <row r="80" spans="2:20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</row>
    <row r="81" spans="2:20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</row>
    <row r="82" spans="2:20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</row>
    <row r="83" spans="2:20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</row>
    <row r="84" spans="2:20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</row>
    <row r="85" spans="2:20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</row>
    <row r="86" spans="2:20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2:20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</row>
    <row r="88" spans="2:20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</row>
    <row r="89" spans="2:20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</row>
    <row r="90" spans="2:20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</row>
    <row r="91" spans="2:20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</row>
    <row r="92" spans="2:20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</row>
    <row r="93" spans="2:20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</row>
    <row r="94" spans="2:20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2:20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2:20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</row>
    <row r="97" spans="2:20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</row>
    <row r="98" spans="2:20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</row>
    <row r="99" spans="2:20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</row>
    <row r="100" spans="2:20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2:20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2:20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2:20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2:20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2:20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2:20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  <row r="107" spans="2:20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</row>
    <row r="108" spans="2:20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2:20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2:20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9"/>
  <sheetViews>
    <sheetView rightToLeft="1" zoomScale="90" zoomScaleNormal="90" workbookViewId="0">
      <selection activeCell="R13" sqref="R13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64.855468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6.140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8" style="1" bestFit="1" customWidth="1"/>
    <col min="15" max="15" width="10.140625" style="1" bestFit="1" customWidth="1"/>
    <col min="16" max="16" width="11.8554687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172</v>
      </c>
      <c r="C1" s="68" t="s" vm="1">
        <v>252</v>
      </c>
    </row>
    <row r="2" spans="2:66">
      <c r="B2" s="47" t="s">
        <v>171</v>
      </c>
      <c r="C2" s="68" t="s">
        <v>253</v>
      </c>
    </row>
    <row r="3" spans="2:66">
      <c r="B3" s="47" t="s">
        <v>173</v>
      </c>
      <c r="C3" s="68" t="s">
        <v>254</v>
      </c>
    </row>
    <row r="4" spans="2:66">
      <c r="B4" s="47" t="s">
        <v>174</v>
      </c>
      <c r="C4" s="68">
        <v>8602</v>
      </c>
    </row>
    <row r="6" spans="2:66" ht="26.25" customHeight="1">
      <c r="B6" s="123" t="s">
        <v>202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66" ht="26.25" customHeight="1">
      <c r="B7" s="123" t="s">
        <v>84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BN7" s="3"/>
    </row>
    <row r="8" spans="2:66" s="3" customFormat="1" ht="78.75">
      <c r="B8" s="22" t="s">
        <v>108</v>
      </c>
      <c r="C8" s="30" t="s">
        <v>41</v>
      </c>
      <c r="D8" s="30" t="s">
        <v>112</v>
      </c>
      <c r="E8" s="30" t="s">
        <v>218</v>
      </c>
      <c r="F8" s="30" t="s">
        <v>110</v>
      </c>
      <c r="G8" s="30" t="s">
        <v>61</v>
      </c>
      <c r="H8" s="30" t="s">
        <v>14</v>
      </c>
      <c r="I8" s="30" t="s">
        <v>62</v>
      </c>
      <c r="J8" s="30" t="s">
        <v>97</v>
      </c>
      <c r="K8" s="30" t="s">
        <v>17</v>
      </c>
      <c r="L8" s="30" t="s">
        <v>96</v>
      </c>
      <c r="M8" s="30" t="s">
        <v>16</v>
      </c>
      <c r="N8" s="30" t="s">
        <v>18</v>
      </c>
      <c r="O8" s="13" t="s">
        <v>229</v>
      </c>
      <c r="P8" s="30" t="s">
        <v>228</v>
      </c>
      <c r="Q8" s="30" t="s">
        <v>243</v>
      </c>
      <c r="R8" s="30" t="s">
        <v>58</v>
      </c>
      <c r="S8" s="13" t="s">
        <v>55</v>
      </c>
      <c r="T8" s="30" t="s">
        <v>175</v>
      </c>
      <c r="U8" s="14" t="s">
        <v>177</v>
      </c>
      <c r="V8" s="1"/>
      <c r="W8" s="1"/>
      <c r="BJ8" s="1"/>
      <c r="BK8" s="1"/>
    </row>
    <row r="9" spans="2:6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236</v>
      </c>
      <c r="P9" s="32"/>
      <c r="Q9" s="16" t="s">
        <v>232</v>
      </c>
      <c r="R9" s="32" t="s">
        <v>232</v>
      </c>
      <c r="S9" s="16" t="s">
        <v>19</v>
      </c>
      <c r="T9" s="32" t="s">
        <v>232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106</v>
      </c>
      <c r="R10" s="19" t="s">
        <v>107</v>
      </c>
      <c r="S10" s="19" t="s">
        <v>178</v>
      </c>
      <c r="T10" s="19" t="s">
        <v>219</v>
      </c>
      <c r="U10" s="20" t="s">
        <v>238</v>
      </c>
      <c r="V10" s="5"/>
      <c r="BI10" s="1"/>
      <c r="BJ10" s="3"/>
      <c r="BK10" s="1"/>
    </row>
    <row r="11" spans="2:66" s="4" customFormat="1" ht="18" customHeight="1">
      <c r="B11" s="87" t="s">
        <v>31</v>
      </c>
      <c r="C11" s="88"/>
      <c r="D11" s="88"/>
      <c r="E11" s="88"/>
      <c r="F11" s="88"/>
      <c r="G11" s="88"/>
      <c r="H11" s="88"/>
      <c r="I11" s="88"/>
      <c r="J11" s="88"/>
      <c r="K11" s="90">
        <v>4.6210243097759758</v>
      </c>
      <c r="L11" s="88"/>
      <c r="M11" s="88"/>
      <c r="N11" s="91">
        <v>2.2733004115566061E-2</v>
      </c>
      <c r="O11" s="90"/>
      <c r="P11" s="92"/>
      <c r="Q11" s="90">
        <v>21.544659137</v>
      </c>
      <c r="R11" s="90">
        <f>R12</f>
        <v>1312.6474573876126</v>
      </c>
      <c r="S11" s="88"/>
      <c r="T11" s="93">
        <f t="shared" ref="T11:T42" si="0">R11/$R$11</f>
        <v>1</v>
      </c>
      <c r="U11" s="93">
        <f>R11/'סכום נכסי הקרן'!$C$42</f>
        <v>1.6235296197965796E-2</v>
      </c>
      <c r="V11" s="5"/>
      <c r="BI11" s="1"/>
      <c r="BJ11" s="3"/>
      <c r="BK11" s="1"/>
      <c r="BN11" s="1"/>
    </row>
    <row r="12" spans="2:66">
      <c r="B12" s="71" t="s">
        <v>223</v>
      </c>
      <c r="C12" s="72"/>
      <c r="D12" s="72"/>
      <c r="E12" s="72"/>
      <c r="F12" s="72"/>
      <c r="G12" s="72"/>
      <c r="H12" s="72"/>
      <c r="I12" s="72"/>
      <c r="J12" s="72"/>
      <c r="K12" s="80">
        <v>4.6210243097759758</v>
      </c>
      <c r="L12" s="72"/>
      <c r="M12" s="72"/>
      <c r="N12" s="94">
        <v>2.2733004115566054E-2</v>
      </c>
      <c r="O12" s="80"/>
      <c r="P12" s="82"/>
      <c r="Q12" s="80">
        <v>21.544659137</v>
      </c>
      <c r="R12" s="80">
        <f>R13+R161+R245</f>
        <v>1312.6474573876126</v>
      </c>
      <c r="S12" s="72"/>
      <c r="T12" s="81">
        <f t="shared" si="0"/>
        <v>1</v>
      </c>
      <c r="U12" s="81">
        <f>R12/'סכום נכסי הקרן'!$C$42</f>
        <v>1.6235296197965796E-2</v>
      </c>
      <c r="BJ12" s="3"/>
    </row>
    <row r="13" spans="2:66" ht="20.25">
      <c r="B13" s="89" t="s">
        <v>30</v>
      </c>
      <c r="C13" s="72"/>
      <c r="D13" s="72"/>
      <c r="E13" s="72"/>
      <c r="F13" s="72"/>
      <c r="G13" s="72"/>
      <c r="H13" s="72"/>
      <c r="I13" s="72"/>
      <c r="J13" s="72"/>
      <c r="K13" s="80">
        <v>4.596036518360135</v>
      </c>
      <c r="L13" s="72"/>
      <c r="M13" s="72"/>
      <c r="N13" s="94">
        <v>1.5695788178572388E-2</v>
      </c>
      <c r="O13" s="80"/>
      <c r="P13" s="82"/>
      <c r="Q13" s="80">
        <v>20.523687013</v>
      </c>
      <c r="R13" s="80">
        <f>SUM(R14:R159)</f>
        <v>1013.8789775630004</v>
      </c>
      <c r="S13" s="72"/>
      <c r="T13" s="81">
        <f t="shared" si="0"/>
        <v>0.77239244387886807</v>
      </c>
      <c r="U13" s="81">
        <f>R13/'סכום נכסי הקרן'!$C$42</f>
        <v>1.2540020107444096E-2</v>
      </c>
      <c r="BJ13" s="4"/>
    </row>
    <row r="14" spans="2:66">
      <c r="B14" s="76" t="s">
        <v>278</v>
      </c>
      <c r="C14" s="70" t="s">
        <v>279</v>
      </c>
      <c r="D14" s="83" t="s">
        <v>113</v>
      </c>
      <c r="E14" s="83" t="s">
        <v>280</v>
      </c>
      <c r="F14" s="70" t="s">
        <v>281</v>
      </c>
      <c r="G14" s="83" t="s">
        <v>282</v>
      </c>
      <c r="H14" s="70" t="s">
        <v>283</v>
      </c>
      <c r="I14" s="70" t="s">
        <v>284</v>
      </c>
      <c r="J14" s="70"/>
      <c r="K14" s="77">
        <v>2.3199999999739109</v>
      </c>
      <c r="L14" s="83" t="s">
        <v>157</v>
      </c>
      <c r="M14" s="84">
        <v>6.1999999999999998E-3</v>
      </c>
      <c r="N14" s="84">
        <v>8.9000000000217412E-3</v>
      </c>
      <c r="O14" s="77">
        <v>22863.207415000001</v>
      </c>
      <c r="P14" s="79">
        <v>100.59</v>
      </c>
      <c r="Q14" s="70"/>
      <c r="R14" s="77">
        <v>22.998100454999999</v>
      </c>
      <c r="S14" s="78">
        <v>4.6165849081063008E-6</v>
      </c>
      <c r="T14" s="78">
        <f t="shared" si="0"/>
        <v>1.7520393861707586E-2</v>
      </c>
      <c r="U14" s="78">
        <f>R14/'סכום נכסי הקרן'!$C$42</f>
        <v>2.8444878384984443E-4</v>
      </c>
    </row>
    <row r="15" spans="2:66">
      <c r="B15" s="76" t="s">
        <v>285</v>
      </c>
      <c r="C15" s="70" t="s">
        <v>286</v>
      </c>
      <c r="D15" s="83" t="s">
        <v>113</v>
      </c>
      <c r="E15" s="83" t="s">
        <v>280</v>
      </c>
      <c r="F15" s="70" t="s">
        <v>281</v>
      </c>
      <c r="G15" s="83" t="s">
        <v>282</v>
      </c>
      <c r="H15" s="70" t="s">
        <v>283</v>
      </c>
      <c r="I15" s="70" t="s">
        <v>284</v>
      </c>
      <c r="J15" s="70"/>
      <c r="K15" s="77">
        <v>5.5400000000467093</v>
      </c>
      <c r="L15" s="83" t="s">
        <v>157</v>
      </c>
      <c r="M15" s="84">
        <v>5.0000000000000001E-4</v>
      </c>
      <c r="N15" s="84">
        <v>7.1000000004547946E-3</v>
      </c>
      <c r="O15" s="77">
        <v>8496.6756960000002</v>
      </c>
      <c r="P15" s="79">
        <v>95.75</v>
      </c>
      <c r="Q15" s="70"/>
      <c r="R15" s="77">
        <v>8.1355669529999979</v>
      </c>
      <c r="S15" s="78">
        <v>1.065651731170092E-5</v>
      </c>
      <c r="T15" s="78">
        <f t="shared" si="0"/>
        <v>6.1978308853704962E-3</v>
      </c>
      <c r="U15" s="78">
        <f>R15/'סכום נכסי הקרן'!$C$42</f>
        <v>1.0062362020889059E-4</v>
      </c>
    </row>
    <row r="16" spans="2:66">
      <c r="B16" s="76" t="s">
        <v>287</v>
      </c>
      <c r="C16" s="70" t="s">
        <v>288</v>
      </c>
      <c r="D16" s="83" t="s">
        <v>113</v>
      </c>
      <c r="E16" s="83" t="s">
        <v>280</v>
      </c>
      <c r="F16" s="70" t="s">
        <v>289</v>
      </c>
      <c r="G16" s="83" t="s">
        <v>290</v>
      </c>
      <c r="H16" s="70" t="s">
        <v>283</v>
      </c>
      <c r="I16" s="70" t="s">
        <v>284</v>
      </c>
      <c r="J16" s="70"/>
      <c r="K16" s="77">
        <v>1.5300000003610652</v>
      </c>
      <c r="L16" s="83" t="s">
        <v>157</v>
      </c>
      <c r="M16" s="84">
        <v>3.5499999999999997E-2</v>
      </c>
      <c r="N16" s="84">
        <v>1.3300000002023551E-2</v>
      </c>
      <c r="O16" s="77">
        <v>2191.5828449999999</v>
      </c>
      <c r="P16" s="79">
        <v>115</v>
      </c>
      <c r="Q16" s="70"/>
      <c r="R16" s="77">
        <v>2.5203201530000001</v>
      </c>
      <c r="S16" s="78">
        <v>7.6872424134538321E-6</v>
      </c>
      <c r="T16" s="78">
        <f t="shared" si="0"/>
        <v>1.9200282138327207E-3</v>
      </c>
      <c r="U16" s="78">
        <f>R16/'סכום נכסי הקרן'!$C$42</f>
        <v>3.1172226760025429E-5</v>
      </c>
    </row>
    <row r="17" spans="2:61" ht="20.25">
      <c r="B17" s="76" t="s">
        <v>291</v>
      </c>
      <c r="C17" s="70" t="s">
        <v>292</v>
      </c>
      <c r="D17" s="83" t="s">
        <v>113</v>
      </c>
      <c r="E17" s="83" t="s">
        <v>280</v>
      </c>
      <c r="F17" s="70" t="s">
        <v>289</v>
      </c>
      <c r="G17" s="83" t="s">
        <v>290</v>
      </c>
      <c r="H17" s="70" t="s">
        <v>283</v>
      </c>
      <c r="I17" s="70" t="s">
        <v>284</v>
      </c>
      <c r="J17" s="70"/>
      <c r="K17" s="77">
        <v>0.43999999995555517</v>
      </c>
      <c r="L17" s="83" t="s">
        <v>157</v>
      </c>
      <c r="M17" s="84">
        <v>4.6500000000000007E-2</v>
      </c>
      <c r="N17" s="84">
        <v>2.5999999982222063E-3</v>
      </c>
      <c r="O17" s="77">
        <v>716.15493900000001</v>
      </c>
      <c r="P17" s="79">
        <v>125.67</v>
      </c>
      <c r="Q17" s="70"/>
      <c r="R17" s="77">
        <v>0.89999186599999992</v>
      </c>
      <c r="S17" s="78">
        <v>3.6056169813555873E-6</v>
      </c>
      <c r="T17" s="78">
        <f t="shared" si="0"/>
        <v>6.8563105876968207E-4</v>
      </c>
      <c r="U17" s="78">
        <f>R17/'סכום נכסי הקרן'!$C$42</f>
        <v>1.1131423321650681E-5</v>
      </c>
      <c r="BI17" s="4"/>
    </row>
    <row r="18" spans="2:61">
      <c r="B18" s="76" t="s">
        <v>293</v>
      </c>
      <c r="C18" s="70" t="s">
        <v>294</v>
      </c>
      <c r="D18" s="83" t="s">
        <v>113</v>
      </c>
      <c r="E18" s="83" t="s">
        <v>280</v>
      </c>
      <c r="F18" s="70" t="s">
        <v>289</v>
      </c>
      <c r="G18" s="83" t="s">
        <v>290</v>
      </c>
      <c r="H18" s="70" t="s">
        <v>283</v>
      </c>
      <c r="I18" s="70" t="s">
        <v>284</v>
      </c>
      <c r="J18" s="70"/>
      <c r="K18" s="77">
        <v>4.9400000003616578</v>
      </c>
      <c r="L18" s="83" t="s">
        <v>157</v>
      </c>
      <c r="M18" s="84">
        <v>1.4999999999999999E-2</v>
      </c>
      <c r="N18" s="84">
        <v>4.1000000007482568E-3</v>
      </c>
      <c r="O18" s="77">
        <v>6053.5100240000002</v>
      </c>
      <c r="P18" s="79">
        <v>105.97</v>
      </c>
      <c r="Q18" s="70"/>
      <c r="R18" s="77">
        <v>6.4149045720000002</v>
      </c>
      <c r="S18" s="78">
        <v>1.3024773318810561E-5</v>
      </c>
      <c r="T18" s="78">
        <f t="shared" si="0"/>
        <v>4.8869972938253587E-3</v>
      </c>
      <c r="U18" s="78">
        <f>R18/'סכום נכסי הקרן'!$C$42</f>
        <v>7.9341848583911972E-5</v>
      </c>
    </row>
    <row r="19" spans="2:61">
      <c r="B19" s="76" t="s">
        <v>295</v>
      </c>
      <c r="C19" s="70" t="s">
        <v>296</v>
      </c>
      <c r="D19" s="83" t="s">
        <v>113</v>
      </c>
      <c r="E19" s="83" t="s">
        <v>280</v>
      </c>
      <c r="F19" s="70" t="s">
        <v>297</v>
      </c>
      <c r="G19" s="83" t="s">
        <v>290</v>
      </c>
      <c r="H19" s="70" t="s">
        <v>298</v>
      </c>
      <c r="I19" s="70" t="s">
        <v>153</v>
      </c>
      <c r="J19" s="70"/>
      <c r="K19" s="77">
        <v>5.1799999999979871</v>
      </c>
      <c r="L19" s="83" t="s">
        <v>157</v>
      </c>
      <c r="M19" s="84">
        <v>1E-3</v>
      </c>
      <c r="N19" s="84">
        <v>2.5999999998590788E-3</v>
      </c>
      <c r="O19" s="77">
        <v>10079.779614999999</v>
      </c>
      <c r="P19" s="79">
        <v>98.56</v>
      </c>
      <c r="Q19" s="70"/>
      <c r="R19" s="77">
        <v>9.9346309889999986</v>
      </c>
      <c r="S19" s="78">
        <v>6.719853076666666E-6</v>
      </c>
      <c r="T19" s="78">
        <f t="shared" si="0"/>
        <v>7.5683923608640298E-3</v>
      </c>
      <c r="U19" s="78">
        <f>R19/'סכום נכסי הקרן'!$C$42</f>
        <v>1.2287509172104915E-4</v>
      </c>
      <c r="BI19" s="3"/>
    </row>
    <row r="20" spans="2:61">
      <c r="B20" s="76" t="s">
        <v>299</v>
      </c>
      <c r="C20" s="70" t="s">
        <v>300</v>
      </c>
      <c r="D20" s="83" t="s">
        <v>113</v>
      </c>
      <c r="E20" s="83" t="s">
        <v>280</v>
      </c>
      <c r="F20" s="70" t="s">
        <v>297</v>
      </c>
      <c r="G20" s="83" t="s">
        <v>290</v>
      </c>
      <c r="H20" s="70" t="s">
        <v>298</v>
      </c>
      <c r="I20" s="70" t="s">
        <v>153</v>
      </c>
      <c r="J20" s="70"/>
      <c r="K20" s="77">
        <v>0.74999999981506671</v>
      </c>
      <c r="L20" s="83" t="s">
        <v>157</v>
      </c>
      <c r="M20" s="84">
        <v>8.0000000000000002E-3</v>
      </c>
      <c r="N20" s="84">
        <v>6.2000000000000006E-3</v>
      </c>
      <c r="O20" s="77">
        <v>2654.5664999999995</v>
      </c>
      <c r="P20" s="79">
        <v>101.85</v>
      </c>
      <c r="Q20" s="70"/>
      <c r="R20" s="77">
        <v>2.7036759500000001</v>
      </c>
      <c r="S20" s="78">
        <v>1.2355608008776621E-5</v>
      </c>
      <c r="T20" s="78">
        <f t="shared" si="0"/>
        <v>2.0597121754082899E-3</v>
      </c>
      <c r="U20" s="78">
        <f>R20/'סכום נכסי הקרן'!$C$42</f>
        <v>3.3440037250310067E-5</v>
      </c>
    </row>
    <row r="21" spans="2:61">
      <c r="B21" s="76" t="s">
        <v>301</v>
      </c>
      <c r="C21" s="70" t="s">
        <v>302</v>
      </c>
      <c r="D21" s="83" t="s">
        <v>113</v>
      </c>
      <c r="E21" s="83" t="s">
        <v>280</v>
      </c>
      <c r="F21" s="70" t="s">
        <v>303</v>
      </c>
      <c r="G21" s="83" t="s">
        <v>290</v>
      </c>
      <c r="H21" s="70" t="s">
        <v>298</v>
      </c>
      <c r="I21" s="70" t="s">
        <v>153</v>
      </c>
      <c r="J21" s="70"/>
      <c r="K21" s="77">
        <v>4.9200000002863398</v>
      </c>
      <c r="L21" s="83" t="s">
        <v>157</v>
      </c>
      <c r="M21" s="84">
        <v>8.3000000000000001E-3</v>
      </c>
      <c r="N21" s="84">
        <v>2.3999999993636872E-3</v>
      </c>
      <c r="O21" s="77">
        <v>6114.4043039999997</v>
      </c>
      <c r="P21" s="79">
        <v>102.81</v>
      </c>
      <c r="Q21" s="70"/>
      <c r="R21" s="77">
        <v>6.2862190850000008</v>
      </c>
      <c r="S21" s="78">
        <v>4.7547021345754563E-6</v>
      </c>
      <c r="T21" s="78">
        <f t="shared" si="0"/>
        <v>4.788962222583835E-3</v>
      </c>
      <c r="U21" s="78">
        <f>R21/'סכום נכסי הקרן'!$C$42</f>
        <v>7.7750220164517157E-5</v>
      </c>
    </row>
    <row r="22" spans="2:61">
      <c r="B22" s="76" t="s">
        <v>304</v>
      </c>
      <c r="C22" s="70" t="s">
        <v>305</v>
      </c>
      <c r="D22" s="83" t="s">
        <v>113</v>
      </c>
      <c r="E22" s="83" t="s">
        <v>280</v>
      </c>
      <c r="F22" s="70" t="s">
        <v>306</v>
      </c>
      <c r="G22" s="83" t="s">
        <v>290</v>
      </c>
      <c r="H22" s="70" t="s">
        <v>298</v>
      </c>
      <c r="I22" s="70" t="s">
        <v>153</v>
      </c>
      <c r="J22" s="70"/>
      <c r="K22" s="77">
        <v>0.69696969696969691</v>
      </c>
      <c r="L22" s="83" t="s">
        <v>157</v>
      </c>
      <c r="M22" s="84">
        <v>4.0999999999999995E-3</v>
      </c>
      <c r="N22" s="84">
        <v>2.2727272727272726E-3</v>
      </c>
      <c r="O22" s="77">
        <v>6.6000000000000005E-5</v>
      </c>
      <c r="P22" s="79">
        <v>100.05</v>
      </c>
      <c r="Q22" s="70"/>
      <c r="R22" s="77">
        <v>6.6000000000000009E-8</v>
      </c>
      <c r="S22" s="78">
        <v>8.0297900148349403E-14</v>
      </c>
      <c r="T22" s="78">
        <f t="shared" si="0"/>
        <v>5.028006539650107E-11</v>
      </c>
      <c r="U22" s="78">
        <f>R22/'סכום נכסי הקרן'!$C$42</f>
        <v>8.1631175456528531E-13</v>
      </c>
    </row>
    <row r="23" spans="2:61">
      <c r="B23" s="76" t="s">
        <v>307</v>
      </c>
      <c r="C23" s="70" t="s">
        <v>308</v>
      </c>
      <c r="D23" s="83" t="s">
        <v>113</v>
      </c>
      <c r="E23" s="83" t="s">
        <v>280</v>
      </c>
      <c r="F23" s="70" t="s">
        <v>306</v>
      </c>
      <c r="G23" s="83" t="s">
        <v>290</v>
      </c>
      <c r="H23" s="70" t="s">
        <v>298</v>
      </c>
      <c r="I23" s="70" t="s">
        <v>153</v>
      </c>
      <c r="J23" s="70"/>
      <c r="K23" s="77">
        <v>2.2100000001112852</v>
      </c>
      <c r="L23" s="83" t="s">
        <v>157</v>
      </c>
      <c r="M23" s="84">
        <v>9.8999999999999991E-3</v>
      </c>
      <c r="N23" s="84">
        <v>7.7000000013121659E-3</v>
      </c>
      <c r="O23" s="77">
        <v>5899.6388749999996</v>
      </c>
      <c r="P23" s="79">
        <v>102.05</v>
      </c>
      <c r="Q23" s="70"/>
      <c r="R23" s="77">
        <v>6.0205812729999995</v>
      </c>
      <c r="S23" s="78">
        <v>1.9574935365579314E-6</v>
      </c>
      <c r="T23" s="78">
        <f t="shared" si="0"/>
        <v>4.5865942444149937E-3</v>
      </c>
      <c r="U23" s="78">
        <f>R23/'סכום נכסי הקרן'!$C$42</f>
        <v>7.4464716097962541E-5</v>
      </c>
    </row>
    <row r="24" spans="2:61">
      <c r="B24" s="76" t="s">
        <v>309</v>
      </c>
      <c r="C24" s="70" t="s">
        <v>310</v>
      </c>
      <c r="D24" s="83" t="s">
        <v>113</v>
      </c>
      <c r="E24" s="83" t="s">
        <v>280</v>
      </c>
      <c r="F24" s="70" t="s">
        <v>306</v>
      </c>
      <c r="G24" s="83" t="s">
        <v>290</v>
      </c>
      <c r="H24" s="70" t="s">
        <v>298</v>
      </c>
      <c r="I24" s="70" t="s">
        <v>153</v>
      </c>
      <c r="J24" s="70"/>
      <c r="K24" s="77">
        <v>4.1699999998960662</v>
      </c>
      <c r="L24" s="83" t="s">
        <v>157</v>
      </c>
      <c r="M24" s="84">
        <v>8.6E-3</v>
      </c>
      <c r="N24" s="84">
        <v>4.4999999997112966E-3</v>
      </c>
      <c r="O24" s="77">
        <v>13413.693815000001</v>
      </c>
      <c r="P24" s="79">
        <v>103.29</v>
      </c>
      <c r="Q24" s="70"/>
      <c r="R24" s="77">
        <v>13.855004431999998</v>
      </c>
      <c r="S24" s="78">
        <v>5.3625795879906498E-6</v>
      </c>
      <c r="T24" s="78">
        <f t="shared" si="0"/>
        <v>1.0555008013784423E-2</v>
      </c>
      <c r="U24" s="78">
        <f>R24/'סכום נכסי הקרן'!$C$42</f>
        <v>1.7136368147569275E-4</v>
      </c>
    </row>
    <row r="25" spans="2:61">
      <c r="B25" s="76" t="s">
        <v>311</v>
      </c>
      <c r="C25" s="70" t="s">
        <v>312</v>
      </c>
      <c r="D25" s="83" t="s">
        <v>113</v>
      </c>
      <c r="E25" s="83" t="s">
        <v>280</v>
      </c>
      <c r="F25" s="70" t="s">
        <v>306</v>
      </c>
      <c r="G25" s="83" t="s">
        <v>290</v>
      </c>
      <c r="H25" s="70" t="s">
        <v>298</v>
      </c>
      <c r="I25" s="70" t="s">
        <v>153</v>
      </c>
      <c r="J25" s="70"/>
      <c r="K25" s="77">
        <v>5.920000000050365</v>
      </c>
      <c r="L25" s="83" t="s">
        <v>157</v>
      </c>
      <c r="M25" s="84">
        <v>3.8E-3</v>
      </c>
      <c r="N25" s="84">
        <v>3.2999999999460384E-3</v>
      </c>
      <c r="O25" s="77">
        <v>22526.30184</v>
      </c>
      <c r="P25" s="79">
        <v>98.72</v>
      </c>
      <c r="Q25" s="70"/>
      <c r="R25" s="77">
        <v>22.237965664000001</v>
      </c>
      <c r="S25" s="78">
        <v>7.5087672799999999E-6</v>
      </c>
      <c r="T25" s="78">
        <f t="shared" si="0"/>
        <v>1.6941308604107048E-2</v>
      </c>
      <c r="U25" s="78">
        <f>R25/'סכום נכסי הקרן'!$C$42</f>
        <v>2.7504716316882437E-4</v>
      </c>
    </row>
    <row r="26" spans="2:61">
      <c r="B26" s="76" t="s">
        <v>313</v>
      </c>
      <c r="C26" s="70" t="s">
        <v>314</v>
      </c>
      <c r="D26" s="83" t="s">
        <v>113</v>
      </c>
      <c r="E26" s="83" t="s">
        <v>280</v>
      </c>
      <c r="F26" s="70" t="s">
        <v>306</v>
      </c>
      <c r="G26" s="83" t="s">
        <v>290</v>
      </c>
      <c r="H26" s="70" t="s">
        <v>298</v>
      </c>
      <c r="I26" s="70" t="s">
        <v>153</v>
      </c>
      <c r="J26" s="70"/>
      <c r="K26" s="77">
        <v>3.3200000005556594</v>
      </c>
      <c r="L26" s="83" t="s">
        <v>157</v>
      </c>
      <c r="M26" s="84">
        <v>1E-3</v>
      </c>
      <c r="N26" s="84">
        <v>4.6000000010772988E-3</v>
      </c>
      <c r="O26" s="77">
        <v>3591.6284030000006</v>
      </c>
      <c r="P26" s="79">
        <v>98.21</v>
      </c>
      <c r="Q26" s="70"/>
      <c r="R26" s="77">
        <v>3.527338447</v>
      </c>
      <c r="S26" s="78">
        <v>1.4117858592187522E-6</v>
      </c>
      <c r="T26" s="78">
        <f t="shared" si="0"/>
        <v>2.6871940574356439E-3</v>
      </c>
      <c r="U26" s="78">
        <f>R26/'סכום נכסי הקרן'!$C$42</f>
        <v>4.3627391463881189E-5</v>
      </c>
    </row>
    <row r="27" spans="2:61">
      <c r="B27" s="76" t="s">
        <v>315</v>
      </c>
      <c r="C27" s="70" t="s">
        <v>316</v>
      </c>
      <c r="D27" s="83" t="s">
        <v>113</v>
      </c>
      <c r="E27" s="83" t="s">
        <v>280</v>
      </c>
      <c r="F27" s="70" t="s">
        <v>306</v>
      </c>
      <c r="G27" s="83" t="s">
        <v>290</v>
      </c>
      <c r="H27" s="70" t="s">
        <v>298</v>
      </c>
      <c r="I27" s="70" t="s">
        <v>153</v>
      </c>
      <c r="J27" s="70"/>
      <c r="K27" s="77">
        <v>9.7599999999284286</v>
      </c>
      <c r="L27" s="83" t="s">
        <v>157</v>
      </c>
      <c r="M27" s="84">
        <v>5.1000000000000004E-3</v>
      </c>
      <c r="N27" s="84">
        <v>5.6999999949898439E-3</v>
      </c>
      <c r="O27" s="77">
        <v>561.89898000000005</v>
      </c>
      <c r="P27" s="79">
        <v>99.46</v>
      </c>
      <c r="Q27" s="70"/>
      <c r="R27" s="77">
        <v>0.55886470399999999</v>
      </c>
      <c r="S27" s="78">
        <v>8.0050914126397763E-7</v>
      </c>
      <c r="T27" s="78">
        <f t="shared" si="0"/>
        <v>4.2575384643812436E-4</v>
      </c>
      <c r="U27" s="78">
        <f>R27/'סכום נכסי הקרן'!$C$42</f>
        <v>6.9122398043461938E-6</v>
      </c>
    </row>
    <row r="28" spans="2:61">
      <c r="B28" s="76" t="s">
        <v>317</v>
      </c>
      <c r="C28" s="70" t="s">
        <v>318</v>
      </c>
      <c r="D28" s="83" t="s">
        <v>113</v>
      </c>
      <c r="E28" s="83" t="s">
        <v>280</v>
      </c>
      <c r="F28" s="70" t="s">
        <v>319</v>
      </c>
      <c r="G28" s="83" t="s">
        <v>149</v>
      </c>
      <c r="H28" s="70" t="s">
        <v>283</v>
      </c>
      <c r="I28" s="70" t="s">
        <v>284</v>
      </c>
      <c r="J28" s="70"/>
      <c r="K28" s="77">
        <v>15.399999999713735</v>
      </c>
      <c r="L28" s="83" t="s">
        <v>157</v>
      </c>
      <c r="M28" s="84">
        <v>2.07E-2</v>
      </c>
      <c r="N28" s="84">
        <v>7.4000000000000003E-3</v>
      </c>
      <c r="O28" s="77">
        <v>17502.791899</v>
      </c>
      <c r="P28" s="79">
        <v>119.75</v>
      </c>
      <c r="Q28" s="70"/>
      <c r="R28" s="77">
        <v>20.959593300000002</v>
      </c>
      <c r="S28" s="78">
        <v>1.1838128858783504E-5</v>
      </c>
      <c r="T28" s="78">
        <f t="shared" si="0"/>
        <v>1.5967420027394933E-2</v>
      </c>
      <c r="U28" s="78">
        <f>R28/'סכום נכסי הקרן'!$C$42</f>
        <v>2.5923579366208784E-4</v>
      </c>
    </row>
    <row r="29" spans="2:61">
      <c r="B29" s="76" t="s">
        <v>320</v>
      </c>
      <c r="C29" s="70" t="s">
        <v>321</v>
      </c>
      <c r="D29" s="83" t="s">
        <v>113</v>
      </c>
      <c r="E29" s="83" t="s">
        <v>280</v>
      </c>
      <c r="F29" s="70" t="s">
        <v>322</v>
      </c>
      <c r="G29" s="83" t="s">
        <v>290</v>
      </c>
      <c r="H29" s="70" t="s">
        <v>298</v>
      </c>
      <c r="I29" s="70" t="s">
        <v>153</v>
      </c>
      <c r="J29" s="70"/>
      <c r="K29" s="77">
        <v>2</v>
      </c>
      <c r="L29" s="83" t="s">
        <v>157</v>
      </c>
      <c r="M29" s="84">
        <v>0.05</v>
      </c>
      <c r="N29" s="84">
        <v>8.0999999997063126E-3</v>
      </c>
      <c r="O29" s="77">
        <v>9838.4225760000008</v>
      </c>
      <c r="P29" s="79">
        <v>114.21</v>
      </c>
      <c r="Q29" s="70"/>
      <c r="R29" s="77">
        <v>11.236462493000001</v>
      </c>
      <c r="S29" s="78">
        <v>3.1217161835216131E-6</v>
      </c>
      <c r="T29" s="78">
        <f t="shared" si="0"/>
        <v>8.5601525602025975E-3</v>
      </c>
      <c r="U29" s="78">
        <f>R29/'סכום נכסי הקרן'!$C$42</f>
        <v>1.389766123146644E-4</v>
      </c>
    </row>
    <row r="30" spans="2:61">
      <c r="B30" s="76" t="s">
        <v>323</v>
      </c>
      <c r="C30" s="70" t="s">
        <v>324</v>
      </c>
      <c r="D30" s="83" t="s">
        <v>113</v>
      </c>
      <c r="E30" s="83" t="s">
        <v>280</v>
      </c>
      <c r="F30" s="70" t="s">
        <v>322</v>
      </c>
      <c r="G30" s="83" t="s">
        <v>290</v>
      </c>
      <c r="H30" s="70" t="s">
        <v>298</v>
      </c>
      <c r="I30" s="70" t="s">
        <v>153</v>
      </c>
      <c r="J30" s="70"/>
      <c r="K30" s="77">
        <v>0.2061855670103093</v>
      </c>
      <c r="L30" s="83" t="s">
        <v>157</v>
      </c>
      <c r="M30" s="84">
        <v>1.6E-2</v>
      </c>
      <c r="N30" s="84">
        <v>-1.3092783505154639E-2</v>
      </c>
      <c r="O30" s="77">
        <v>9.4999999999999992E-5</v>
      </c>
      <c r="P30" s="79">
        <v>101.47</v>
      </c>
      <c r="Q30" s="70"/>
      <c r="R30" s="77">
        <v>9.6999999999999995E-8</v>
      </c>
      <c r="S30" s="78">
        <v>9.0510107544290798E-14</v>
      </c>
      <c r="T30" s="78">
        <f t="shared" si="0"/>
        <v>7.3896459749403071E-11</v>
      </c>
      <c r="U30" s="78">
        <f>R30/'סכום נכסי הקרן'!$C$42</f>
        <v>1.199730912012616E-12</v>
      </c>
    </row>
    <row r="31" spans="2:61">
      <c r="B31" s="76" t="s">
        <v>325</v>
      </c>
      <c r="C31" s="70" t="s">
        <v>326</v>
      </c>
      <c r="D31" s="83" t="s">
        <v>113</v>
      </c>
      <c r="E31" s="83" t="s">
        <v>280</v>
      </c>
      <c r="F31" s="70" t="s">
        <v>322</v>
      </c>
      <c r="G31" s="83" t="s">
        <v>290</v>
      </c>
      <c r="H31" s="70" t="s">
        <v>298</v>
      </c>
      <c r="I31" s="70" t="s">
        <v>153</v>
      </c>
      <c r="J31" s="70"/>
      <c r="K31" s="77">
        <v>1.7200000000648139</v>
      </c>
      <c r="L31" s="83" t="s">
        <v>157</v>
      </c>
      <c r="M31" s="84">
        <v>6.9999999999999993E-3</v>
      </c>
      <c r="N31" s="84">
        <v>8.1000000009542068E-3</v>
      </c>
      <c r="O31" s="77">
        <v>5472.2715879999996</v>
      </c>
      <c r="P31" s="79">
        <v>101.5</v>
      </c>
      <c r="Q31" s="70"/>
      <c r="R31" s="77">
        <v>5.5543558869999998</v>
      </c>
      <c r="S31" s="78">
        <v>2.5665331302093218E-6</v>
      </c>
      <c r="T31" s="78">
        <f t="shared" si="0"/>
        <v>4.2314148065727367E-3</v>
      </c>
      <c r="U31" s="78">
        <f>R31/'סכום נכסי הקרן'!$C$42</f>
        <v>6.8698272721166531E-5</v>
      </c>
    </row>
    <row r="32" spans="2:61">
      <c r="B32" s="76" t="s">
        <v>327</v>
      </c>
      <c r="C32" s="70" t="s">
        <v>328</v>
      </c>
      <c r="D32" s="83" t="s">
        <v>113</v>
      </c>
      <c r="E32" s="83" t="s">
        <v>280</v>
      </c>
      <c r="F32" s="70" t="s">
        <v>322</v>
      </c>
      <c r="G32" s="83" t="s">
        <v>290</v>
      </c>
      <c r="H32" s="70" t="s">
        <v>298</v>
      </c>
      <c r="I32" s="70" t="s">
        <v>153</v>
      </c>
      <c r="J32" s="70"/>
      <c r="K32" s="77">
        <v>4.279999999840574</v>
      </c>
      <c r="L32" s="83" t="s">
        <v>157</v>
      </c>
      <c r="M32" s="84">
        <v>6.0000000000000001E-3</v>
      </c>
      <c r="N32" s="84">
        <v>4.1999999992028665E-3</v>
      </c>
      <c r="O32" s="77">
        <v>6169.4538819999989</v>
      </c>
      <c r="P32" s="79">
        <v>101.67</v>
      </c>
      <c r="Q32" s="70"/>
      <c r="R32" s="77">
        <v>6.2724836750000001</v>
      </c>
      <c r="S32" s="78">
        <v>3.4673177119747132E-6</v>
      </c>
      <c r="T32" s="78">
        <f t="shared" si="0"/>
        <v>4.7784983239012929E-3</v>
      </c>
      <c r="U32" s="78">
        <f>R32/'סכום נכסי הקרן'!$C$42</f>
        <v>7.7580335670020587E-5</v>
      </c>
    </row>
    <row r="33" spans="2:21">
      <c r="B33" s="76" t="s">
        <v>329</v>
      </c>
      <c r="C33" s="70" t="s">
        <v>330</v>
      </c>
      <c r="D33" s="83" t="s">
        <v>113</v>
      </c>
      <c r="E33" s="83" t="s">
        <v>280</v>
      </c>
      <c r="F33" s="70" t="s">
        <v>322</v>
      </c>
      <c r="G33" s="83" t="s">
        <v>290</v>
      </c>
      <c r="H33" s="70" t="s">
        <v>298</v>
      </c>
      <c r="I33" s="70" t="s">
        <v>153</v>
      </c>
      <c r="J33" s="70"/>
      <c r="K33" s="77">
        <v>5.2400000000632065</v>
      </c>
      <c r="L33" s="83" t="s">
        <v>157</v>
      </c>
      <c r="M33" s="84">
        <v>1.7500000000000002E-2</v>
      </c>
      <c r="N33" s="84">
        <v>3.3000000000225739E-3</v>
      </c>
      <c r="O33" s="77">
        <v>24636.041716</v>
      </c>
      <c r="P33" s="79">
        <v>107.89</v>
      </c>
      <c r="Q33" s="70"/>
      <c r="R33" s="77">
        <v>26.579825017999998</v>
      </c>
      <c r="S33" s="78">
        <v>6.2127745795931114E-6</v>
      </c>
      <c r="T33" s="78">
        <f t="shared" si="0"/>
        <v>2.0249020305039316E-2</v>
      </c>
      <c r="U33" s="78">
        <f>R33/'סכום נכסי הקרן'!$C$42</f>
        <v>3.2874884237093702E-4</v>
      </c>
    </row>
    <row r="34" spans="2:21">
      <c r="B34" s="76" t="s">
        <v>331</v>
      </c>
      <c r="C34" s="70" t="s">
        <v>332</v>
      </c>
      <c r="D34" s="83" t="s">
        <v>113</v>
      </c>
      <c r="E34" s="83" t="s">
        <v>280</v>
      </c>
      <c r="F34" s="70" t="s">
        <v>297</v>
      </c>
      <c r="G34" s="83" t="s">
        <v>290</v>
      </c>
      <c r="H34" s="70" t="s">
        <v>333</v>
      </c>
      <c r="I34" s="70" t="s">
        <v>153</v>
      </c>
      <c r="J34" s="70"/>
      <c r="K34" s="77">
        <v>0.58000000014055886</v>
      </c>
      <c r="L34" s="83" t="s">
        <v>157</v>
      </c>
      <c r="M34" s="84">
        <v>3.1E-2</v>
      </c>
      <c r="N34" s="84">
        <v>1.5800000001405589E-2</v>
      </c>
      <c r="O34" s="77">
        <v>1579.6744860000001</v>
      </c>
      <c r="P34" s="79">
        <v>108.09</v>
      </c>
      <c r="Q34" s="70"/>
      <c r="R34" s="77">
        <v>1.7074701219999999</v>
      </c>
      <c r="S34" s="78">
        <v>9.1832249877047328E-6</v>
      </c>
      <c r="T34" s="78">
        <f t="shared" si="0"/>
        <v>1.3007834757080552E-3</v>
      </c>
      <c r="U34" s="78">
        <f>R34/'סכום נכסי הקרן'!$C$42</f>
        <v>2.111860501753972E-5</v>
      </c>
    </row>
    <row r="35" spans="2:21">
      <c r="B35" s="76" t="s">
        <v>334</v>
      </c>
      <c r="C35" s="70" t="s">
        <v>335</v>
      </c>
      <c r="D35" s="83" t="s">
        <v>113</v>
      </c>
      <c r="E35" s="83" t="s">
        <v>280</v>
      </c>
      <c r="F35" s="70" t="s">
        <v>297</v>
      </c>
      <c r="G35" s="83" t="s">
        <v>290</v>
      </c>
      <c r="H35" s="70" t="s">
        <v>333</v>
      </c>
      <c r="I35" s="70" t="s">
        <v>153</v>
      </c>
      <c r="J35" s="70"/>
      <c r="K35" s="77">
        <v>0.71000000192933355</v>
      </c>
      <c r="L35" s="83" t="s">
        <v>157</v>
      </c>
      <c r="M35" s="84">
        <v>4.2000000000000003E-2</v>
      </c>
      <c r="N35" s="84">
        <v>2.0300000040340608E-2</v>
      </c>
      <c r="O35" s="77">
        <v>91.574865000000003</v>
      </c>
      <c r="P35" s="79">
        <v>124.52</v>
      </c>
      <c r="Q35" s="70"/>
      <c r="R35" s="77">
        <v>0.114029018</v>
      </c>
      <c r="S35" s="78">
        <v>3.5109023118506309E-6</v>
      </c>
      <c r="T35" s="78">
        <f t="shared" si="0"/>
        <v>8.6869492153618123E-5</v>
      </c>
      <c r="U35" s="78">
        <f>R35/'סכום נכסי הקרן'!$C$42</f>
        <v>1.4103519356808558E-6</v>
      </c>
    </row>
    <row r="36" spans="2:21">
      <c r="B36" s="76" t="s">
        <v>336</v>
      </c>
      <c r="C36" s="70" t="s">
        <v>337</v>
      </c>
      <c r="D36" s="83" t="s">
        <v>113</v>
      </c>
      <c r="E36" s="83" t="s">
        <v>280</v>
      </c>
      <c r="F36" s="70" t="s">
        <v>338</v>
      </c>
      <c r="G36" s="83" t="s">
        <v>290</v>
      </c>
      <c r="H36" s="70" t="s">
        <v>333</v>
      </c>
      <c r="I36" s="70" t="s">
        <v>153</v>
      </c>
      <c r="J36" s="70"/>
      <c r="K36" s="77">
        <v>1.4199999997110353</v>
      </c>
      <c r="L36" s="83" t="s">
        <v>157</v>
      </c>
      <c r="M36" s="84">
        <v>3.85E-2</v>
      </c>
      <c r="N36" s="84">
        <v>1.0699999998251003E-2</v>
      </c>
      <c r="O36" s="77">
        <v>1170.9006959999999</v>
      </c>
      <c r="P36" s="79">
        <v>112.31</v>
      </c>
      <c r="Q36" s="70"/>
      <c r="R36" s="77">
        <v>1.315038589</v>
      </c>
      <c r="S36" s="78">
        <v>5.4980510831515753E-6</v>
      </c>
      <c r="T36" s="78">
        <f t="shared" si="0"/>
        <v>1.0018216099067043E-3</v>
      </c>
      <c r="U36" s="78">
        <f>R36/'סכום נכסי הקרן'!$C$42</f>
        <v>1.6264870574358288E-5</v>
      </c>
    </row>
    <row r="37" spans="2:21">
      <c r="B37" s="76" t="s">
        <v>339</v>
      </c>
      <c r="C37" s="70" t="s">
        <v>340</v>
      </c>
      <c r="D37" s="83" t="s">
        <v>113</v>
      </c>
      <c r="E37" s="83" t="s">
        <v>280</v>
      </c>
      <c r="F37" s="70" t="s">
        <v>341</v>
      </c>
      <c r="G37" s="83" t="s">
        <v>290</v>
      </c>
      <c r="H37" s="70" t="s">
        <v>333</v>
      </c>
      <c r="I37" s="70" t="s">
        <v>153</v>
      </c>
      <c r="J37" s="70"/>
      <c r="K37" s="77">
        <v>1.287179487179487</v>
      </c>
      <c r="L37" s="83" t="s">
        <v>157</v>
      </c>
      <c r="M37" s="84">
        <v>4.7500000000000001E-2</v>
      </c>
      <c r="N37" s="84">
        <v>1.4256410256410255E-2</v>
      </c>
      <c r="O37" s="77">
        <v>1.5200000000000001E-4</v>
      </c>
      <c r="P37" s="79">
        <v>126.84</v>
      </c>
      <c r="Q37" s="70"/>
      <c r="R37" s="77">
        <v>1.9499999999999999E-7</v>
      </c>
      <c r="S37" s="78">
        <v>6.9827558088948365E-13</v>
      </c>
      <c r="T37" s="78">
        <f t="shared" si="0"/>
        <v>1.4855473867148041E-10</v>
      </c>
      <c r="U37" s="78">
        <f>R37/'סכום נכסי הקרן'!$C$42</f>
        <v>2.4118301839428878E-12</v>
      </c>
    </row>
    <row r="38" spans="2:21">
      <c r="B38" s="76" t="s">
        <v>342</v>
      </c>
      <c r="C38" s="70" t="s">
        <v>343</v>
      </c>
      <c r="D38" s="83" t="s">
        <v>113</v>
      </c>
      <c r="E38" s="83" t="s">
        <v>280</v>
      </c>
      <c r="F38" s="70" t="s">
        <v>344</v>
      </c>
      <c r="G38" s="83" t="s">
        <v>345</v>
      </c>
      <c r="H38" s="70" t="s">
        <v>346</v>
      </c>
      <c r="I38" s="70" t="s">
        <v>284</v>
      </c>
      <c r="J38" s="70"/>
      <c r="K38" s="77">
        <v>1.1599999994328338</v>
      </c>
      <c r="L38" s="83" t="s">
        <v>157</v>
      </c>
      <c r="M38" s="84">
        <v>3.6400000000000002E-2</v>
      </c>
      <c r="N38" s="84">
        <v>1.0199999988656679E-2</v>
      </c>
      <c r="O38" s="77">
        <v>310.57815199999999</v>
      </c>
      <c r="P38" s="79">
        <v>113.54</v>
      </c>
      <c r="Q38" s="70"/>
      <c r="R38" s="77">
        <v>0.35263042</v>
      </c>
      <c r="S38" s="78">
        <v>5.6340707845804987E-6</v>
      </c>
      <c r="T38" s="78">
        <f t="shared" si="0"/>
        <v>2.6864061482417627E-4</v>
      </c>
      <c r="U38" s="78">
        <f>R38/'סכום נכסי הקרן'!$C$42</f>
        <v>4.3614599524741429E-6</v>
      </c>
    </row>
    <row r="39" spans="2:21">
      <c r="B39" s="76" t="s">
        <v>347</v>
      </c>
      <c r="C39" s="70" t="s">
        <v>348</v>
      </c>
      <c r="D39" s="83" t="s">
        <v>113</v>
      </c>
      <c r="E39" s="83" t="s">
        <v>280</v>
      </c>
      <c r="F39" s="70" t="s">
        <v>303</v>
      </c>
      <c r="G39" s="83" t="s">
        <v>290</v>
      </c>
      <c r="H39" s="70" t="s">
        <v>333</v>
      </c>
      <c r="I39" s="70" t="s">
        <v>153</v>
      </c>
      <c r="J39" s="70"/>
      <c r="K39" s="77">
        <v>0.36000000007426125</v>
      </c>
      <c r="L39" s="83" t="s">
        <v>157</v>
      </c>
      <c r="M39" s="84">
        <v>3.4000000000000002E-2</v>
      </c>
      <c r="N39" s="84">
        <v>1.5500000002386969E-2</v>
      </c>
      <c r="O39" s="77">
        <v>3554.365867</v>
      </c>
      <c r="P39" s="79">
        <v>106.08</v>
      </c>
      <c r="Q39" s="70"/>
      <c r="R39" s="77">
        <v>3.770471202</v>
      </c>
      <c r="S39" s="78">
        <v>3.9764950759299244E-6</v>
      </c>
      <c r="T39" s="78">
        <f t="shared" si="0"/>
        <v>2.8724172516997569E-3</v>
      </c>
      <c r="U39" s="78">
        <f>R39/'סכום נכסי הקרן'!$C$42</f>
        <v>4.6634544885492427E-5</v>
      </c>
    </row>
    <row r="40" spans="2:21">
      <c r="B40" s="76" t="s">
        <v>349</v>
      </c>
      <c r="C40" s="70" t="s">
        <v>350</v>
      </c>
      <c r="D40" s="83" t="s">
        <v>113</v>
      </c>
      <c r="E40" s="83" t="s">
        <v>280</v>
      </c>
      <c r="F40" s="70" t="s">
        <v>351</v>
      </c>
      <c r="G40" s="83" t="s">
        <v>345</v>
      </c>
      <c r="H40" s="70" t="s">
        <v>333</v>
      </c>
      <c r="I40" s="70" t="s">
        <v>153</v>
      </c>
      <c r="J40" s="70"/>
      <c r="K40" s="77">
        <v>5.0400000000161373</v>
      </c>
      <c r="L40" s="83" t="s">
        <v>157</v>
      </c>
      <c r="M40" s="84">
        <v>8.3000000000000001E-3</v>
      </c>
      <c r="N40" s="84">
        <v>2.9000000003294758E-3</v>
      </c>
      <c r="O40" s="77">
        <v>14362.265804999999</v>
      </c>
      <c r="P40" s="79">
        <v>103.55</v>
      </c>
      <c r="Q40" s="70"/>
      <c r="R40" s="77">
        <v>14.872126219</v>
      </c>
      <c r="S40" s="78">
        <v>9.378385451560705E-6</v>
      </c>
      <c r="T40" s="78">
        <f t="shared" si="0"/>
        <v>1.1329870892065727E-2</v>
      </c>
      <c r="U40" s="78">
        <f>R40/'סכום נכסי הקרן'!$C$42</f>
        <v>1.8394380981739806E-4</v>
      </c>
    </row>
    <row r="41" spans="2:21">
      <c r="B41" s="76" t="s">
        <v>352</v>
      </c>
      <c r="C41" s="70" t="s">
        <v>353</v>
      </c>
      <c r="D41" s="83" t="s">
        <v>113</v>
      </c>
      <c r="E41" s="83" t="s">
        <v>280</v>
      </c>
      <c r="F41" s="70" t="s">
        <v>351</v>
      </c>
      <c r="G41" s="83" t="s">
        <v>345</v>
      </c>
      <c r="H41" s="70" t="s">
        <v>333</v>
      </c>
      <c r="I41" s="70" t="s">
        <v>153</v>
      </c>
      <c r="J41" s="70"/>
      <c r="K41" s="77">
        <v>8.8899999999315167</v>
      </c>
      <c r="L41" s="83" t="s">
        <v>157</v>
      </c>
      <c r="M41" s="84">
        <v>1.6500000000000001E-2</v>
      </c>
      <c r="N41" s="84">
        <v>4.1000000004772965E-3</v>
      </c>
      <c r="O41" s="77">
        <v>8572.854319</v>
      </c>
      <c r="P41" s="79">
        <v>112.42</v>
      </c>
      <c r="Q41" s="70"/>
      <c r="R41" s="77">
        <v>9.6376027940000011</v>
      </c>
      <c r="S41" s="78">
        <v>5.8716973753963957E-6</v>
      </c>
      <c r="T41" s="78">
        <f t="shared" si="0"/>
        <v>7.3421105870882034E-3</v>
      </c>
      <c r="U41" s="78">
        <f>R41/'סכום נכסי הקרן'!$C$42</f>
        <v>1.1920134009959752E-4</v>
      </c>
    </row>
    <row r="42" spans="2:21">
      <c r="B42" s="76" t="s">
        <v>354</v>
      </c>
      <c r="C42" s="70" t="s">
        <v>355</v>
      </c>
      <c r="D42" s="83" t="s">
        <v>113</v>
      </c>
      <c r="E42" s="83" t="s">
        <v>280</v>
      </c>
      <c r="F42" s="70" t="s">
        <v>356</v>
      </c>
      <c r="G42" s="83" t="s">
        <v>149</v>
      </c>
      <c r="H42" s="70" t="s">
        <v>333</v>
      </c>
      <c r="I42" s="70" t="s">
        <v>153</v>
      </c>
      <c r="J42" s="70"/>
      <c r="K42" s="77">
        <v>8.8399999987037088</v>
      </c>
      <c r="L42" s="83" t="s">
        <v>157</v>
      </c>
      <c r="M42" s="84">
        <v>2.6499999999999999E-2</v>
      </c>
      <c r="N42" s="84">
        <v>5.6000000008101826E-3</v>
      </c>
      <c r="O42" s="77">
        <v>2050.3183669999999</v>
      </c>
      <c r="P42" s="79">
        <v>120.4</v>
      </c>
      <c r="Q42" s="70"/>
      <c r="R42" s="77">
        <v>2.4685833050000001</v>
      </c>
      <c r="S42" s="78">
        <v>1.7722305474351497E-6</v>
      </c>
      <c r="T42" s="78">
        <f t="shared" si="0"/>
        <v>1.8806140910925869E-3</v>
      </c>
      <c r="U42" s="78">
        <f>R42/'סכום נכסי הקרן'!$C$42</f>
        <v>3.0532326802956372E-5</v>
      </c>
    </row>
    <row r="43" spans="2:21">
      <c r="B43" s="76" t="s">
        <v>357</v>
      </c>
      <c r="C43" s="70" t="s">
        <v>358</v>
      </c>
      <c r="D43" s="83" t="s">
        <v>113</v>
      </c>
      <c r="E43" s="83" t="s">
        <v>280</v>
      </c>
      <c r="F43" s="70" t="s">
        <v>359</v>
      </c>
      <c r="G43" s="83" t="s">
        <v>345</v>
      </c>
      <c r="H43" s="70" t="s">
        <v>346</v>
      </c>
      <c r="I43" s="70" t="s">
        <v>284</v>
      </c>
      <c r="J43" s="70"/>
      <c r="K43" s="77">
        <v>2.7100000004016502</v>
      </c>
      <c r="L43" s="83" t="s">
        <v>157</v>
      </c>
      <c r="M43" s="84">
        <v>6.5000000000000006E-3</v>
      </c>
      <c r="N43" s="84">
        <v>1.0499999999844323E-2</v>
      </c>
      <c r="O43" s="77">
        <v>3244.5191450000002</v>
      </c>
      <c r="P43" s="79">
        <v>98.99</v>
      </c>
      <c r="Q43" s="70"/>
      <c r="R43" s="77">
        <v>3.2117495009999999</v>
      </c>
      <c r="S43" s="78">
        <v>4.298411100950461E-6</v>
      </c>
      <c r="T43" s="78">
        <f t="shared" ref="T43:T74" si="1">R43/$R$11</f>
        <v>2.4467723476887825E-3</v>
      </c>
      <c r="U43" s="78">
        <f>R43/'סכום נכסי הקרן'!$C$42</f>
        <v>3.9724073793719536E-5</v>
      </c>
    </row>
    <row r="44" spans="2:21">
      <c r="B44" s="76" t="s">
        <v>360</v>
      </c>
      <c r="C44" s="70" t="s">
        <v>361</v>
      </c>
      <c r="D44" s="83" t="s">
        <v>113</v>
      </c>
      <c r="E44" s="83" t="s">
        <v>280</v>
      </c>
      <c r="F44" s="70" t="s">
        <v>359</v>
      </c>
      <c r="G44" s="83" t="s">
        <v>345</v>
      </c>
      <c r="H44" s="70" t="s">
        <v>333</v>
      </c>
      <c r="I44" s="70" t="s">
        <v>153</v>
      </c>
      <c r="J44" s="70"/>
      <c r="K44" s="77">
        <v>5.0700000000572221</v>
      </c>
      <c r="L44" s="83" t="s">
        <v>157</v>
      </c>
      <c r="M44" s="84">
        <v>1.34E-2</v>
      </c>
      <c r="N44" s="84">
        <v>1.0800000000127706E-2</v>
      </c>
      <c r="O44" s="77">
        <v>37600.878896999995</v>
      </c>
      <c r="P44" s="79">
        <v>102.52</v>
      </c>
      <c r="Q44" s="77">
        <v>2.170373036</v>
      </c>
      <c r="R44" s="77">
        <v>40.718794080999999</v>
      </c>
      <c r="S44" s="78">
        <v>1.0858979905506023E-5</v>
      </c>
      <c r="T44" s="78">
        <f t="shared" si="1"/>
        <v>3.1020358019080912E-2</v>
      </c>
      <c r="U44" s="78">
        <f>R44/'סכום נכסי הקרן'!$C$42</f>
        <v>5.0362470060672209E-4</v>
      </c>
    </row>
    <row r="45" spans="2:21">
      <c r="B45" s="76" t="s">
        <v>362</v>
      </c>
      <c r="C45" s="70" t="s">
        <v>363</v>
      </c>
      <c r="D45" s="83" t="s">
        <v>113</v>
      </c>
      <c r="E45" s="83" t="s">
        <v>280</v>
      </c>
      <c r="F45" s="70" t="s">
        <v>359</v>
      </c>
      <c r="G45" s="83" t="s">
        <v>345</v>
      </c>
      <c r="H45" s="70" t="s">
        <v>333</v>
      </c>
      <c r="I45" s="70" t="s">
        <v>153</v>
      </c>
      <c r="J45" s="70"/>
      <c r="K45" s="77">
        <v>5.7899999999220331</v>
      </c>
      <c r="L45" s="83" t="s">
        <v>157</v>
      </c>
      <c r="M45" s="84">
        <v>1.77E-2</v>
      </c>
      <c r="N45" s="84">
        <v>1.1399999999750879E-2</v>
      </c>
      <c r="O45" s="77">
        <v>20922.559953</v>
      </c>
      <c r="P45" s="79">
        <v>103.6</v>
      </c>
      <c r="Q45" s="70"/>
      <c r="R45" s="77">
        <v>21.675772110999997</v>
      </c>
      <c r="S45" s="78">
        <v>6.4508287631679315E-6</v>
      </c>
      <c r="T45" s="78">
        <f t="shared" si="1"/>
        <v>1.6513018776677782E-2</v>
      </c>
      <c r="U45" s="78">
        <f>R45/'סכום נכסי הקרן'!$C$42</f>
        <v>2.6809375096193463E-4</v>
      </c>
    </row>
    <row r="46" spans="2:21">
      <c r="B46" s="76" t="s">
        <v>364</v>
      </c>
      <c r="C46" s="70" t="s">
        <v>365</v>
      </c>
      <c r="D46" s="83" t="s">
        <v>113</v>
      </c>
      <c r="E46" s="83" t="s">
        <v>280</v>
      </c>
      <c r="F46" s="70" t="s">
        <v>359</v>
      </c>
      <c r="G46" s="83" t="s">
        <v>345</v>
      </c>
      <c r="H46" s="70" t="s">
        <v>333</v>
      </c>
      <c r="I46" s="70" t="s">
        <v>153</v>
      </c>
      <c r="J46" s="70"/>
      <c r="K46" s="77">
        <v>9.1400000001486266</v>
      </c>
      <c r="L46" s="83" t="s">
        <v>157</v>
      </c>
      <c r="M46" s="84">
        <v>2.4799999999999999E-2</v>
      </c>
      <c r="N46" s="84">
        <v>1.44000000005426E-2</v>
      </c>
      <c r="O46" s="77">
        <v>15449.116613</v>
      </c>
      <c r="P46" s="79">
        <v>109.75</v>
      </c>
      <c r="Q46" s="70"/>
      <c r="R46" s="77">
        <v>16.955405482</v>
      </c>
      <c r="S46" s="78">
        <v>7.8903060199071795E-6</v>
      </c>
      <c r="T46" s="78">
        <f t="shared" si="1"/>
        <v>1.2916952976653826E-2</v>
      </c>
      <c r="U46" s="78">
        <f>R46/'סכום נכסי הקרן'!$C$42</f>
        <v>2.0971055755117084E-4</v>
      </c>
    </row>
    <row r="47" spans="2:21">
      <c r="B47" s="76" t="s">
        <v>366</v>
      </c>
      <c r="C47" s="70" t="s">
        <v>367</v>
      </c>
      <c r="D47" s="83" t="s">
        <v>113</v>
      </c>
      <c r="E47" s="83" t="s">
        <v>280</v>
      </c>
      <c r="F47" s="70" t="s">
        <v>322</v>
      </c>
      <c r="G47" s="83" t="s">
        <v>290</v>
      </c>
      <c r="H47" s="70" t="s">
        <v>333</v>
      </c>
      <c r="I47" s="70" t="s">
        <v>153</v>
      </c>
      <c r="J47" s="70"/>
      <c r="K47" s="77">
        <v>0.7400000001436563</v>
      </c>
      <c r="L47" s="83" t="s">
        <v>157</v>
      </c>
      <c r="M47" s="84">
        <v>4.0999999999999995E-2</v>
      </c>
      <c r="N47" s="84">
        <v>1.7699999999122099E-2</v>
      </c>
      <c r="O47" s="77">
        <v>1005.933317</v>
      </c>
      <c r="P47" s="79">
        <v>124.56</v>
      </c>
      <c r="Q47" s="70"/>
      <c r="R47" s="77">
        <v>1.2529905429999999</v>
      </c>
      <c r="S47" s="78">
        <v>1.2911289925933569E-6</v>
      </c>
      <c r="T47" s="78">
        <f t="shared" si="1"/>
        <v>9.5455221883692981E-4</v>
      </c>
      <c r="U47" s="78">
        <f>R47/'סכום נכסי הקרן'!$C$42</f>
        <v>1.5497438009243022E-5</v>
      </c>
    </row>
    <row r="48" spans="2:21">
      <c r="B48" s="76" t="s">
        <v>368</v>
      </c>
      <c r="C48" s="70" t="s">
        <v>369</v>
      </c>
      <c r="D48" s="83" t="s">
        <v>113</v>
      </c>
      <c r="E48" s="83" t="s">
        <v>280</v>
      </c>
      <c r="F48" s="70" t="s">
        <v>322</v>
      </c>
      <c r="G48" s="83" t="s">
        <v>290</v>
      </c>
      <c r="H48" s="70" t="s">
        <v>333</v>
      </c>
      <c r="I48" s="70" t="s">
        <v>153</v>
      </c>
      <c r="J48" s="70"/>
      <c r="K48" s="77">
        <v>1.879999999794618</v>
      </c>
      <c r="L48" s="83" t="s">
        <v>157</v>
      </c>
      <c r="M48" s="84">
        <v>4.2000000000000003E-2</v>
      </c>
      <c r="N48" s="84">
        <v>0.01</v>
      </c>
      <c r="O48" s="77">
        <v>1617.0041389999999</v>
      </c>
      <c r="P48" s="79">
        <v>108.4</v>
      </c>
      <c r="Q48" s="70"/>
      <c r="R48" s="77">
        <v>1.7528324720000001</v>
      </c>
      <c r="S48" s="78">
        <v>1.6206765921578296E-6</v>
      </c>
      <c r="T48" s="78">
        <f t="shared" si="1"/>
        <v>1.3353413836556154E-3</v>
      </c>
      <c r="U48" s="78">
        <f>R48/'סכום נכסי הקרן'!$C$42</f>
        <v>2.1679662889050397E-5</v>
      </c>
    </row>
    <row r="49" spans="2:21">
      <c r="B49" s="76" t="s">
        <v>370</v>
      </c>
      <c r="C49" s="70" t="s">
        <v>371</v>
      </c>
      <c r="D49" s="83" t="s">
        <v>113</v>
      </c>
      <c r="E49" s="83" t="s">
        <v>280</v>
      </c>
      <c r="F49" s="70" t="s">
        <v>322</v>
      </c>
      <c r="G49" s="83" t="s">
        <v>290</v>
      </c>
      <c r="H49" s="70" t="s">
        <v>333</v>
      </c>
      <c r="I49" s="70" t="s">
        <v>153</v>
      </c>
      <c r="J49" s="70"/>
      <c r="K49" s="77">
        <v>1.4099999997604142</v>
      </c>
      <c r="L49" s="83" t="s">
        <v>157</v>
      </c>
      <c r="M49" s="84">
        <v>0.04</v>
      </c>
      <c r="N49" s="84">
        <v>1.2099999999447109E-2</v>
      </c>
      <c r="O49" s="77">
        <v>2949.9956470000006</v>
      </c>
      <c r="P49" s="79">
        <v>110.36</v>
      </c>
      <c r="Q49" s="70"/>
      <c r="R49" s="77">
        <v>3.2556152579999997</v>
      </c>
      <c r="S49" s="78">
        <v>1.3541415376070337E-6</v>
      </c>
      <c r="T49" s="78">
        <f t="shared" si="1"/>
        <v>2.4801901223952525E-3</v>
      </c>
      <c r="U49" s="78">
        <f>R49/'סכום נכסי הקרן'!$C$42</f>
        <v>4.0266621264355963E-5</v>
      </c>
    </row>
    <row r="50" spans="2:21">
      <c r="B50" s="76" t="s">
        <v>372</v>
      </c>
      <c r="C50" s="70" t="s">
        <v>373</v>
      </c>
      <c r="D50" s="83" t="s">
        <v>113</v>
      </c>
      <c r="E50" s="83" t="s">
        <v>280</v>
      </c>
      <c r="F50" s="70" t="s">
        <v>374</v>
      </c>
      <c r="G50" s="83" t="s">
        <v>345</v>
      </c>
      <c r="H50" s="70" t="s">
        <v>375</v>
      </c>
      <c r="I50" s="70" t="s">
        <v>284</v>
      </c>
      <c r="J50" s="70"/>
      <c r="K50" s="77">
        <v>4.2000000000246747</v>
      </c>
      <c r="L50" s="83" t="s">
        <v>157</v>
      </c>
      <c r="M50" s="84">
        <v>2.3399999999999997E-2</v>
      </c>
      <c r="N50" s="84">
        <v>1.4300000000016451E-2</v>
      </c>
      <c r="O50" s="77">
        <v>23314.254315999999</v>
      </c>
      <c r="P50" s="79">
        <v>104.3</v>
      </c>
      <c r="Q50" s="70"/>
      <c r="R50" s="77">
        <v>24.316766771999998</v>
      </c>
      <c r="S50" s="78">
        <v>6.577663511116157E-6</v>
      </c>
      <c r="T50" s="78">
        <f t="shared" si="1"/>
        <v>1.8524979144357939E-2</v>
      </c>
      <c r="U50" s="78">
        <f>R50/'סכום נכסי הקרן'!$C$42</f>
        <v>3.0075852346979007E-4</v>
      </c>
    </row>
    <row r="51" spans="2:21">
      <c r="B51" s="76" t="s">
        <v>376</v>
      </c>
      <c r="C51" s="70" t="s">
        <v>377</v>
      </c>
      <c r="D51" s="83" t="s">
        <v>113</v>
      </c>
      <c r="E51" s="83" t="s">
        <v>280</v>
      </c>
      <c r="F51" s="70" t="s">
        <v>374</v>
      </c>
      <c r="G51" s="83" t="s">
        <v>345</v>
      </c>
      <c r="H51" s="70" t="s">
        <v>375</v>
      </c>
      <c r="I51" s="70" t="s">
        <v>284</v>
      </c>
      <c r="J51" s="70"/>
      <c r="K51" s="77">
        <v>7.789999999517093</v>
      </c>
      <c r="L51" s="83" t="s">
        <v>157</v>
      </c>
      <c r="M51" s="84">
        <v>6.5000000000000006E-3</v>
      </c>
      <c r="N51" s="84">
        <v>1.7899999998115486E-2</v>
      </c>
      <c r="O51" s="77">
        <v>3729.5160239999996</v>
      </c>
      <c r="P51" s="79">
        <v>91.06</v>
      </c>
      <c r="Q51" s="70"/>
      <c r="R51" s="77">
        <v>3.3960974159999999</v>
      </c>
      <c r="S51" s="78">
        <v>1.2431720079999998E-5</v>
      </c>
      <c r="T51" s="78">
        <f t="shared" si="1"/>
        <v>2.5872121237783072E-3</v>
      </c>
      <c r="U51" s="78">
        <f>R51/'סכום נכסי הקרן'!$C$42</f>
        <v>4.2004155156508958E-5</v>
      </c>
    </row>
    <row r="52" spans="2:21">
      <c r="B52" s="76" t="s">
        <v>378</v>
      </c>
      <c r="C52" s="70" t="s">
        <v>379</v>
      </c>
      <c r="D52" s="83" t="s">
        <v>113</v>
      </c>
      <c r="E52" s="83" t="s">
        <v>280</v>
      </c>
      <c r="F52" s="70" t="s">
        <v>380</v>
      </c>
      <c r="G52" s="83" t="s">
        <v>345</v>
      </c>
      <c r="H52" s="70" t="s">
        <v>381</v>
      </c>
      <c r="I52" s="70" t="s">
        <v>153</v>
      </c>
      <c r="J52" s="70"/>
      <c r="K52" s="77">
        <v>1.4899999999661251</v>
      </c>
      <c r="L52" s="83" t="s">
        <v>157</v>
      </c>
      <c r="M52" s="84">
        <v>4.8000000000000001E-2</v>
      </c>
      <c r="N52" s="84">
        <v>9.6000000001617916E-3</v>
      </c>
      <c r="O52" s="77">
        <v>11917.558704999999</v>
      </c>
      <c r="P52" s="79">
        <v>107.68</v>
      </c>
      <c r="Q52" s="77">
        <v>6.9458067699999999</v>
      </c>
      <c r="R52" s="77">
        <v>19.778633982999999</v>
      </c>
      <c r="S52" s="78">
        <v>2.1914592526966108E-5</v>
      </c>
      <c r="T52" s="78">
        <f t="shared" si="1"/>
        <v>1.5067742577556033E-2</v>
      </c>
      <c r="U52" s="78">
        <f>R52/'סכום נכסי הקרן'!$C$42</f>
        <v>2.446292637813228E-4</v>
      </c>
    </row>
    <row r="53" spans="2:21">
      <c r="B53" s="76" t="s">
        <v>382</v>
      </c>
      <c r="C53" s="70" t="s">
        <v>383</v>
      </c>
      <c r="D53" s="83" t="s">
        <v>113</v>
      </c>
      <c r="E53" s="83" t="s">
        <v>280</v>
      </c>
      <c r="F53" s="70" t="s">
        <v>380</v>
      </c>
      <c r="G53" s="83" t="s">
        <v>345</v>
      </c>
      <c r="H53" s="70" t="s">
        <v>381</v>
      </c>
      <c r="I53" s="70" t="s">
        <v>153</v>
      </c>
      <c r="J53" s="70"/>
      <c r="K53" s="77">
        <v>0.5</v>
      </c>
      <c r="L53" s="83" t="s">
        <v>157</v>
      </c>
      <c r="M53" s="84">
        <v>4.9000000000000002E-2</v>
      </c>
      <c r="N53" s="84">
        <v>1.1600000005762209E-2</v>
      </c>
      <c r="O53" s="77">
        <v>1168.6504219999999</v>
      </c>
      <c r="P53" s="79">
        <v>112.86</v>
      </c>
      <c r="Q53" s="70"/>
      <c r="R53" s="77">
        <v>1.3189389139999999</v>
      </c>
      <c r="S53" s="78">
        <v>1.1798368563798687E-5</v>
      </c>
      <c r="T53" s="78">
        <f t="shared" si="1"/>
        <v>1.0047929522713649E-3</v>
      </c>
      <c r="U53" s="78">
        <f>R53/'סכום נכסי הקרן'!$C$42</f>
        <v>1.6313111197754117E-5</v>
      </c>
    </row>
    <row r="54" spans="2:21">
      <c r="B54" s="76" t="s">
        <v>384</v>
      </c>
      <c r="C54" s="70" t="s">
        <v>385</v>
      </c>
      <c r="D54" s="83" t="s">
        <v>113</v>
      </c>
      <c r="E54" s="83" t="s">
        <v>280</v>
      </c>
      <c r="F54" s="70" t="s">
        <v>380</v>
      </c>
      <c r="G54" s="83" t="s">
        <v>345</v>
      </c>
      <c r="H54" s="70" t="s">
        <v>381</v>
      </c>
      <c r="I54" s="70" t="s">
        <v>153</v>
      </c>
      <c r="J54" s="70"/>
      <c r="K54" s="77">
        <v>4.9899999999905083</v>
      </c>
      <c r="L54" s="83" t="s">
        <v>157</v>
      </c>
      <c r="M54" s="84">
        <v>3.2000000000000001E-2</v>
      </c>
      <c r="N54" s="84">
        <v>1.2599999999970024E-2</v>
      </c>
      <c r="O54" s="77">
        <v>17752.792850999998</v>
      </c>
      <c r="P54" s="79">
        <v>109.51</v>
      </c>
      <c r="Q54" s="77">
        <v>0.57621301899999999</v>
      </c>
      <c r="R54" s="77">
        <v>20.017296981000001</v>
      </c>
      <c r="S54" s="78">
        <v>1.0761772952614426E-5</v>
      </c>
      <c r="T54" s="78">
        <f t="shared" si="1"/>
        <v>1.5249560625240353E-2</v>
      </c>
      <c r="U54" s="78">
        <f>R54/'סכום נכסי הקרן'!$C$42</f>
        <v>2.4758113363961362E-4</v>
      </c>
    </row>
    <row r="55" spans="2:21">
      <c r="B55" s="76" t="s">
        <v>386</v>
      </c>
      <c r="C55" s="70" t="s">
        <v>387</v>
      </c>
      <c r="D55" s="83" t="s">
        <v>113</v>
      </c>
      <c r="E55" s="83" t="s">
        <v>280</v>
      </c>
      <c r="F55" s="70" t="s">
        <v>380</v>
      </c>
      <c r="G55" s="83" t="s">
        <v>345</v>
      </c>
      <c r="H55" s="70" t="s">
        <v>381</v>
      </c>
      <c r="I55" s="70" t="s">
        <v>153</v>
      </c>
      <c r="J55" s="70"/>
      <c r="K55" s="77">
        <v>7.2999999998781444</v>
      </c>
      <c r="L55" s="83" t="s">
        <v>157</v>
      </c>
      <c r="M55" s="84">
        <v>1.1399999999999999E-2</v>
      </c>
      <c r="N55" s="84">
        <v>1.5000000000000003E-2</v>
      </c>
      <c r="O55" s="77">
        <v>11881.046161</v>
      </c>
      <c r="P55" s="79">
        <v>96.7</v>
      </c>
      <c r="Q55" s="70"/>
      <c r="R55" s="77">
        <v>11.488971637999999</v>
      </c>
      <c r="S55" s="78">
        <v>5.7424571207206632E-6</v>
      </c>
      <c r="T55" s="78">
        <f t="shared" si="1"/>
        <v>8.7525188681391794E-3</v>
      </c>
      <c r="U55" s="78">
        <f>R55/'סכום נכסי הקרן'!$C$42</f>
        <v>1.4209973630252391E-4</v>
      </c>
    </row>
    <row r="56" spans="2:21">
      <c r="B56" s="76" t="s">
        <v>388</v>
      </c>
      <c r="C56" s="70" t="s">
        <v>389</v>
      </c>
      <c r="D56" s="83" t="s">
        <v>113</v>
      </c>
      <c r="E56" s="83" t="s">
        <v>280</v>
      </c>
      <c r="F56" s="70" t="s">
        <v>390</v>
      </c>
      <c r="G56" s="83" t="s">
        <v>345</v>
      </c>
      <c r="H56" s="70" t="s">
        <v>375</v>
      </c>
      <c r="I56" s="70" t="s">
        <v>284</v>
      </c>
      <c r="J56" s="70"/>
      <c r="K56" s="77">
        <v>5.7700000003273306</v>
      </c>
      <c r="L56" s="83" t="s">
        <v>157</v>
      </c>
      <c r="M56" s="84">
        <v>1.8200000000000001E-2</v>
      </c>
      <c r="N56" s="84">
        <v>1.2600000001043664E-2</v>
      </c>
      <c r="O56" s="77">
        <v>6114.1465500000004</v>
      </c>
      <c r="P56" s="79">
        <v>103.43</v>
      </c>
      <c r="Q56" s="70"/>
      <c r="R56" s="77">
        <v>6.3238617090000009</v>
      </c>
      <c r="S56" s="78">
        <v>1.3606646378101703E-5</v>
      </c>
      <c r="T56" s="78">
        <f t="shared" si="1"/>
        <v>4.8176390952568027E-3</v>
      </c>
      <c r="U56" s="78">
        <f>R56/'סכום נכסי הקרן'!$C$42</f>
        <v>7.8215797686394148E-5</v>
      </c>
    </row>
    <row r="57" spans="2:21">
      <c r="B57" s="76" t="s">
        <v>391</v>
      </c>
      <c r="C57" s="70" t="s">
        <v>392</v>
      </c>
      <c r="D57" s="83" t="s">
        <v>113</v>
      </c>
      <c r="E57" s="83" t="s">
        <v>280</v>
      </c>
      <c r="F57" s="70" t="s">
        <v>390</v>
      </c>
      <c r="G57" s="83" t="s">
        <v>345</v>
      </c>
      <c r="H57" s="70" t="s">
        <v>375</v>
      </c>
      <c r="I57" s="70" t="s">
        <v>284</v>
      </c>
      <c r="J57" s="70"/>
      <c r="K57" s="77">
        <v>6.8600000025365508</v>
      </c>
      <c r="L57" s="83" t="s">
        <v>157</v>
      </c>
      <c r="M57" s="84">
        <v>7.8000000000000005E-3</v>
      </c>
      <c r="N57" s="84">
        <v>1.4000000004697316E-2</v>
      </c>
      <c r="O57" s="77">
        <v>447.57185700000002</v>
      </c>
      <c r="P57" s="79">
        <v>95.13</v>
      </c>
      <c r="Q57" s="70"/>
      <c r="R57" s="77">
        <v>0.42577512199999995</v>
      </c>
      <c r="S57" s="78">
        <v>9.7637839659685866E-7</v>
      </c>
      <c r="T57" s="78">
        <f t="shared" si="1"/>
        <v>3.2436365118732144E-4</v>
      </c>
      <c r="U57" s="78">
        <f>R57/'סכום נכסי הקרן'!$C$42</f>
        <v>5.2661399528798237E-6</v>
      </c>
    </row>
    <row r="58" spans="2:21">
      <c r="B58" s="76" t="s">
        <v>393</v>
      </c>
      <c r="C58" s="70" t="s">
        <v>394</v>
      </c>
      <c r="D58" s="83" t="s">
        <v>113</v>
      </c>
      <c r="E58" s="83" t="s">
        <v>280</v>
      </c>
      <c r="F58" s="70" t="s">
        <v>390</v>
      </c>
      <c r="G58" s="83" t="s">
        <v>345</v>
      </c>
      <c r="H58" s="70" t="s">
        <v>375</v>
      </c>
      <c r="I58" s="70" t="s">
        <v>284</v>
      </c>
      <c r="J58" s="70"/>
      <c r="K58" s="77">
        <v>4.7799999997749154</v>
      </c>
      <c r="L58" s="83" t="s">
        <v>157</v>
      </c>
      <c r="M58" s="84">
        <v>2E-3</v>
      </c>
      <c r="N58" s="84">
        <v>1.2000000000441342E-2</v>
      </c>
      <c r="O58" s="77">
        <v>4804.0542999999998</v>
      </c>
      <c r="P58" s="79">
        <v>94.33</v>
      </c>
      <c r="Q58" s="70"/>
      <c r="R58" s="77">
        <v>4.5316325089999996</v>
      </c>
      <c r="S58" s="78">
        <v>1.2810811466666666E-5</v>
      </c>
      <c r="T58" s="78">
        <f t="shared" si="1"/>
        <v>3.4522845288701542E-3</v>
      </c>
      <c r="U58" s="78">
        <f>R58/'סכום נכסי הקרן'!$C$42</f>
        <v>5.6048861885861749E-5</v>
      </c>
    </row>
    <row r="59" spans="2:21">
      <c r="B59" s="76" t="s">
        <v>395</v>
      </c>
      <c r="C59" s="70" t="s">
        <v>396</v>
      </c>
      <c r="D59" s="83" t="s">
        <v>113</v>
      </c>
      <c r="E59" s="83" t="s">
        <v>280</v>
      </c>
      <c r="F59" s="70" t="s">
        <v>303</v>
      </c>
      <c r="G59" s="83" t="s">
        <v>290</v>
      </c>
      <c r="H59" s="70" t="s">
        <v>381</v>
      </c>
      <c r="I59" s="70" t="s">
        <v>153</v>
      </c>
      <c r="J59" s="70"/>
      <c r="K59" s="77">
        <v>0.59000000000945263</v>
      </c>
      <c r="L59" s="83" t="s">
        <v>157</v>
      </c>
      <c r="M59" s="84">
        <v>0.04</v>
      </c>
      <c r="N59" s="84">
        <v>2.5699999999810944E-2</v>
      </c>
      <c r="O59" s="77">
        <v>15415.613233</v>
      </c>
      <c r="P59" s="79">
        <v>109.8</v>
      </c>
      <c r="Q59" s="70"/>
      <c r="R59" s="77">
        <v>16.926344375999999</v>
      </c>
      <c r="S59" s="78">
        <v>1.1418989682206936E-5</v>
      </c>
      <c r="T59" s="78">
        <f t="shared" si="1"/>
        <v>1.2894813668923907E-2</v>
      </c>
      <c r="U59" s="78">
        <f>R59/'סכום נכסי הקרן'!$C$42</f>
        <v>2.0935111933255768E-4</v>
      </c>
    </row>
    <row r="60" spans="2:21">
      <c r="B60" s="76" t="s">
        <v>397</v>
      </c>
      <c r="C60" s="70" t="s">
        <v>398</v>
      </c>
      <c r="D60" s="83" t="s">
        <v>113</v>
      </c>
      <c r="E60" s="83" t="s">
        <v>280</v>
      </c>
      <c r="F60" s="70" t="s">
        <v>399</v>
      </c>
      <c r="G60" s="83" t="s">
        <v>345</v>
      </c>
      <c r="H60" s="70" t="s">
        <v>381</v>
      </c>
      <c r="I60" s="70" t="s">
        <v>153</v>
      </c>
      <c r="J60" s="70"/>
      <c r="K60" s="77">
        <v>3.0599999999562351</v>
      </c>
      <c r="L60" s="83" t="s">
        <v>157</v>
      </c>
      <c r="M60" s="84">
        <v>4.7500000000000001E-2</v>
      </c>
      <c r="N60" s="84">
        <v>1.329999999971059E-2</v>
      </c>
      <c r="O60" s="77">
        <v>20871.639993000001</v>
      </c>
      <c r="P60" s="79">
        <v>135.75</v>
      </c>
      <c r="Q60" s="70"/>
      <c r="R60" s="77">
        <v>28.333250954</v>
      </c>
      <c r="S60" s="78">
        <v>1.1058994326816086E-5</v>
      </c>
      <c r="T60" s="78">
        <f t="shared" si="1"/>
        <v>2.1584813800948427E-2</v>
      </c>
      <c r="U60" s="78">
        <f>R60/'סכום נכסי הקרן'!$C$42</f>
        <v>3.504358454363376E-4</v>
      </c>
    </row>
    <row r="61" spans="2:21">
      <c r="B61" s="76" t="s">
        <v>400</v>
      </c>
      <c r="C61" s="70" t="s">
        <v>401</v>
      </c>
      <c r="D61" s="83" t="s">
        <v>113</v>
      </c>
      <c r="E61" s="83" t="s">
        <v>280</v>
      </c>
      <c r="F61" s="70" t="s">
        <v>399</v>
      </c>
      <c r="G61" s="83" t="s">
        <v>345</v>
      </c>
      <c r="H61" s="70" t="s">
        <v>381</v>
      </c>
      <c r="I61" s="70" t="s">
        <v>153</v>
      </c>
      <c r="J61" s="70"/>
      <c r="K61" s="77">
        <v>5.2900000000682441</v>
      </c>
      <c r="L61" s="83" t="s">
        <v>157</v>
      </c>
      <c r="M61" s="84">
        <v>5.0000000000000001E-3</v>
      </c>
      <c r="N61" s="84">
        <v>1.2499999999102045E-2</v>
      </c>
      <c r="O61" s="77">
        <v>5812.3369290000001</v>
      </c>
      <c r="P61" s="79">
        <v>95.8</v>
      </c>
      <c r="Q61" s="70"/>
      <c r="R61" s="77">
        <v>5.5682187780000003</v>
      </c>
      <c r="S61" s="78">
        <v>7.7048989672163101E-6</v>
      </c>
      <c r="T61" s="78">
        <f t="shared" si="1"/>
        <v>4.2419758227252311E-3</v>
      </c>
      <c r="U61" s="78">
        <f>R61/'סכום נכסי הקרן'!$C$42</f>
        <v>6.8869733946553768E-5</v>
      </c>
    </row>
    <row r="62" spans="2:21">
      <c r="B62" s="76" t="s">
        <v>402</v>
      </c>
      <c r="C62" s="70" t="s">
        <v>403</v>
      </c>
      <c r="D62" s="83" t="s">
        <v>113</v>
      </c>
      <c r="E62" s="83" t="s">
        <v>280</v>
      </c>
      <c r="F62" s="70" t="s">
        <v>404</v>
      </c>
      <c r="G62" s="83" t="s">
        <v>405</v>
      </c>
      <c r="H62" s="70" t="s">
        <v>375</v>
      </c>
      <c r="I62" s="70" t="s">
        <v>284</v>
      </c>
      <c r="J62" s="70"/>
      <c r="K62" s="77">
        <v>0.98999999807596595</v>
      </c>
      <c r="L62" s="83" t="s">
        <v>157</v>
      </c>
      <c r="M62" s="84">
        <v>4.6500000000000007E-2</v>
      </c>
      <c r="N62" s="84">
        <v>1.54999999587707E-2</v>
      </c>
      <c r="O62" s="77">
        <v>28.667473999999999</v>
      </c>
      <c r="P62" s="79">
        <v>126.91</v>
      </c>
      <c r="Q62" s="70"/>
      <c r="R62" s="77">
        <v>3.6381892999999998E-2</v>
      </c>
      <c r="S62" s="78">
        <v>5.658178223844582E-7</v>
      </c>
      <c r="T62" s="78">
        <f t="shared" si="1"/>
        <v>2.7716423625583394E-5</v>
      </c>
      <c r="U62" s="78">
        <f>R62/'סכום נכסי הקרן'!$C$42</f>
        <v>4.4998434710964344E-7</v>
      </c>
    </row>
    <row r="63" spans="2:21">
      <c r="B63" s="76" t="s">
        <v>406</v>
      </c>
      <c r="C63" s="70" t="s">
        <v>407</v>
      </c>
      <c r="D63" s="83" t="s">
        <v>113</v>
      </c>
      <c r="E63" s="83" t="s">
        <v>280</v>
      </c>
      <c r="F63" s="70" t="s">
        <v>408</v>
      </c>
      <c r="G63" s="83" t="s">
        <v>409</v>
      </c>
      <c r="H63" s="70" t="s">
        <v>381</v>
      </c>
      <c r="I63" s="70" t="s">
        <v>153</v>
      </c>
      <c r="J63" s="70"/>
      <c r="K63" s="77">
        <v>6.8000000001314715</v>
      </c>
      <c r="L63" s="83" t="s">
        <v>157</v>
      </c>
      <c r="M63" s="84">
        <v>3.85E-2</v>
      </c>
      <c r="N63" s="84">
        <v>5.9000000000931276E-3</v>
      </c>
      <c r="O63" s="77">
        <v>14499.391618</v>
      </c>
      <c r="P63" s="79">
        <v>125.9</v>
      </c>
      <c r="Q63" s="70"/>
      <c r="R63" s="77">
        <v>18.254733537</v>
      </c>
      <c r="S63" s="78">
        <v>5.4387496717712824E-6</v>
      </c>
      <c r="T63" s="78">
        <f t="shared" si="1"/>
        <v>1.3906806000546381E-2</v>
      </c>
      <c r="U63" s="78">
        <f>R63/'סכום נכסי הקרן'!$C$42</f>
        <v>2.2578111458651856E-4</v>
      </c>
    </row>
    <row r="64" spans="2:21">
      <c r="B64" s="76" t="s">
        <v>410</v>
      </c>
      <c r="C64" s="70" t="s">
        <v>411</v>
      </c>
      <c r="D64" s="83" t="s">
        <v>113</v>
      </c>
      <c r="E64" s="83" t="s">
        <v>280</v>
      </c>
      <c r="F64" s="70" t="s">
        <v>408</v>
      </c>
      <c r="G64" s="83" t="s">
        <v>409</v>
      </c>
      <c r="H64" s="70" t="s">
        <v>381</v>
      </c>
      <c r="I64" s="70" t="s">
        <v>153</v>
      </c>
      <c r="J64" s="70"/>
      <c r="K64" s="77">
        <v>4.6699999999463797</v>
      </c>
      <c r="L64" s="83" t="s">
        <v>157</v>
      </c>
      <c r="M64" s="84">
        <v>4.4999999999999998E-2</v>
      </c>
      <c r="N64" s="84">
        <v>3.999999999901159E-3</v>
      </c>
      <c r="O64" s="77">
        <v>32623.189094000001</v>
      </c>
      <c r="P64" s="79">
        <v>124.05</v>
      </c>
      <c r="Q64" s="70"/>
      <c r="R64" s="77">
        <v>40.469067551000002</v>
      </c>
      <c r="S64" s="78">
        <v>1.1037739325069008E-5</v>
      </c>
      <c r="T64" s="78">
        <f t="shared" si="1"/>
        <v>3.0830111560601503E-2</v>
      </c>
      <c r="U64" s="78">
        <f>R64/'סכום נכסי הקרן'!$C$42</f>
        <v>5.0053599300269491E-4</v>
      </c>
    </row>
    <row r="65" spans="2:21">
      <c r="B65" s="76" t="s">
        <v>412</v>
      </c>
      <c r="C65" s="70" t="s">
        <v>413</v>
      </c>
      <c r="D65" s="83" t="s">
        <v>113</v>
      </c>
      <c r="E65" s="83" t="s">
        <v>280</v>
      </c>
      <c r="F65" s="70" t="s">
        <v>408</v>
      </c>
      <c r="G65" s="83" t="s">
        <v>409</v>
      </c>
      <c r="H65" s="70" t="s">
        <v>381</v>
      </c>
      <c r="I65" s="70" t="s">
        <v>153</v>
      </c>
      <c r="J65" s="70"/>
      <c r="K65" s="77">
        <v>9.3899999997286923</v>
      </c>
      <c r="L65" s="83" t="s">
        <v>157</v>
      </c>
      <c r="M65" s="84">
        <v>2.3900000000000001E-2</v>
      </c>
      <c r="N65" s="84">
        <v>7.1999999999222989E-3</v>
      </c>
      <c r="O65" s="77">
        <v>13200.928</v>
      </c>
      <c r="P65" s="79">
        <v>116.99</v>
      </c>
      <c r="Q65" s="70"/>
      <c r="R65" s="77">
        <v>15.443765521</v>
      </c>
      <c r="S65" s="78">
        <v>6.6987004419816614E-6</v>
      </c>
      <c r="T65" s="78">
        <f t="shared" si="1"/>
        <v>1.1765356672183458E-2</v>
      </c>
      <c r="U65" s="78">
        <f>R65/'סכום נכסי הקרן'!$C$42</f>
        <v>1.9101405044761159E-4</v>
      </c>
    </row>
    <row r="66" spans="2:21">
      <c r="B66" s="76" t="s">
        <v>414</v>
      </c>
      <c r="C66" s="70" t="s">
        <v>415</v>
      </c>
      <c r="D66" s="83" t="s">
        <v>113</v>
      </c>
      <c r="E66" s="83" t="s">
        <v>280</v>
      </c>
      <c r="F66" s="70" t="s">
        <v>416</v>
      </c>
      <c r="G66" s="83" t="s">
        <v>345</v>
      </c>
      <c r="H66" s="70" t="s">
        <v>381</v>
      </c>
      <c r="I66" s="70" t="s">
        <v>153</v>
      </c>
      <c r="J66" s="70"/>
      <c r="K66" s="77">
        <v>5.3300000002056596</v>
      </c>
      <c r="L66" s="83" t="s">
        <v>157</v>
      </c>
      <c r="M66" s="84">
        <v>1.5800000000000002E-2</v>
      </c>
      <c r="N66" s="84">
        <v>1.1100000000685532E-2</v>
      </c>
      <c r="O66" s="77">
        <v>4221.2410250000003</v>
      </c>
      <c r="P66" s="79">
        <v>103.67</v>
      </c>
      <c r="Q66" s="70"/>
      <c r="R66" s="77">
        <v>4.3761605699999997</v>
      </c>
      <c r="S66" s="78">
        <v>7.373415466896246E-6</v>
      </c>
      <c r="T66" s="78">
        <f t="shared" si="1"/>
        <v>3.3338430249271111E-3</v>
      </c>
      <c r="U66" s="78">
        <f>R66/'סכום נכסי הקרן'!$C$42</f>
        <v>5.4125928987213918E-5</v>
      </c>
    </row>
    <row r="67" spans="2:21">
      <c r="B67" s="76" t="s">
        <v>417</v>
      </c>
      <c r="C67" s="70" t="s">
        <v>418</v>
      </c>
      <c r="D67" s="83" t="s">
        <v>113</v>
      </c>
      <c r="E67" s="83" t="s">
        <v>280</v>
      </c>
      <c r="F67" s="70" t="s">
        <v>416</v>
      </c>
      <c r="G67" s="83" t="s">
        <v>345</v>
      </c>
      <c r="H67" s="70" t="s">
        <v>381</v>
      </c>
      <c r="I67" s="70" t="s">
        <v>153</v>
      </c>
      <c r="J67" s="70"/>
      <c r="K67" s="77">
        <v>7.9400000002040994</v>
      </c>
      <c r="L67" s="83" t="s">
        <v>157</v>
      </c>
      <c r="M67" s="84">
        <v>8.3999999999999995E-3</v>
      </c>
      <c r="N67" s="84">
        <v>1.2500000000689522E-2</v>
      </c>
      <c r="O67" s="77">
        <v>3771.6574479999999</v>
      </c>
      <c r="P67" s="79">
        <v>96.13</v>
      </c>
      <c r="Q67" s="70"/>
      <c r="R67" s="77">
        <v>3.6256941789999999</v>
      </c>
      <c r="S67" s="78">
        <v>1.5086629792E-5</v>
      </c>
      <c r="T67" s="78">
        <f t="shared" si="1"/>
        <v>2.7621233398156548E-3</v>
      </c>
      <c r="U67" s="78">
        <f>R67/'סכום נכסי הקרן'!$C$42</f>
        <v>4.4843890557221687E-5</v>
      </c>
    </row>
    <row r="68" spans="2:21">
      <c r="B68" s="76" t="s">
        <v>419</v>
      </c>
      <c r="C68" s="70" t="s">
        <v>420</v>
      </c>
      <c r="D68" s="83" t="s">
        <v>113</v>
      </c>
      <c r="E68" s="83" t="s">
        <v>280</v>
      </c>
      <c r="F68" s="70" t="s">
        <v>421</v>
      </c>
      <c r="G68" s="83" t="s">
        <v>405</v>
      </c>
      <c r="H68" s="70" t="s">
        <v>381</v>
      </c>
      <c r="I68" s="70" t="s">
        <v>153</v>
      </c>
      <c r="J68" s="70"/>
      <c r="K68" s="77">
        <v>0.92000000113726876</v>
      </c>
      <c r="L68" s="83" t="s">
        <v>157</v>
      </c>
      <c r="M68" s="84">
        <v>4.8899999999999999E-2</v>
      </c>
      <c r="N68" s="84">
        <v>7.1999998976458191E-3</v>
      </c>
      <c r="O68" s="77">
        <v>28.403448000000004</v>
      </c>
      <c r="P68" s="79">
        <v>123.83</v>
      </c>
      <c r="Q68" s="70"/>
      <c r="R68" s="77">
        <v>3.5171988000000001E-2</v>
      </c>
      <c r="S68" s="78">
        <v>1.5255708890237866E-6</v>
      </c>
      <c r="T68" s="78">
        <f t="shared" si="1"/>
        <v>2.679469479946895E-5</v>
      </c>
      <c r="U68" s="78">
        <f>R68/'סכום נכסי הקרן'!$C$42</f>
        <v>4.3501980660347209E-7</v>
      </c>
    </row>
    <row r="69" spans="2:21">
      <c r="B69" s="76" t="s">
        <v>422</v>
      </c>
      <c r="C69" s="70" t="s">
        <v>423</v>
      </c>
      <c r="D69" s="83" t="s">
        <v>113</v>
      </c>
      <c r="E69" s="83" t="s">
        <v>280</v>
      </c>
      <c r="F69" s="70" t="s">
        <v>303</v>
      </c>
      <c r="G69" s="83" t="s">
        <v>290</v>
      </c>
      <c r="H69" s="70" t="s">
        <v>375</v>
      </c>
      <c r="I69" s="70" t="s">
        <v>284</v>
      </c>
      <c r="J69" s="70"/>
      <c r="K69" s="77">
        <v>3.0000000001432201</v>
      </c>
      <c r="L69" s="83" t="s">
        <v>157</v>
      </c>
      <c r="M69" s="84">
        <v>1.6399999999999998E-2</v>
      </c>
      <c r="N69" s="84">
        <v>2.9600000001432196E-2</v>
      </c>
      <c r="O69" s="77">
        <f>7243.008/50000</f>
        <v>0.14486015999999999</v>
      </c>
      <c r="P69" s="79">
        <v>4820001</v>
      </c>
      <c r="Q69" s="70"/>
      <c r="R69" s="77">
        <v>6.9822616000000011</v>
      </c>
      <c r="S69" s="78">
        <f>59.0013685239492%/50000</f>
        <v>1.1800273704789841E-5</v>
      </c>
      <c r="T69" s="78">
        <f t="shared" si="1"/>
        <v>5.3192207555072448E-3</v>
      </c>
      <c r="U69" s="78">
        <f>R69/'סכום נכסי הקרן'!$C$42</f>
        <v>8.6359124508027523E-5</v>
      </c>
    </row>
    <row r="70" spans="2:21">
      <c r="B70" s="76" t="s">
        <v>424</v>
      </c>
      <c r="C70" s="70" t="s">
        <v>425</v>
      </c>
      <c r="D70" s="83" t="s">
        <v>113</v>
      </c>
      <c r="E70" s="83" t="s">
        <v>280</v>
      </c>
      <c r="F70" s="70" t="s">
        <v>303</v>
      </c>
      <c r="G70" s="83" t="s">
        <v>290</v>
      </c>
      <c r="H70" s="70" t="s">
        <v>375</v>
      </c>
      <c r="I70" s="70" t="s">
        <v>284</v>
      </c>
      <c r="J70" s="70"/>
      <c r="K70" s="77">
        <v>7.2299999995074637</v>
      </c>
      <c r="L70" s="83" t="s">
        <v>157</v>
      </c>
      <c r="M70" s="84">
        <v>2.7799999999999998E-2</v>
      </c>
      <c r="N70" s="84">
        <v>3.029999999951857E-2</v>
      </c>
      <c r="O70" s="77">
        <f>2733.1038/50000</f>
        <v>5.4662075999999997E-2</v>
      </c>
      <c r="P70" s="79">
        <v>4940000</v>
      </c>
      <c r="Q70" s="70"/>
      <c r="R70" s="77">
        <v>2.700306571</v>
      </c>
      <c r="S70" s="78">
        <f>65.3539885222382%/50000</f>
        <v>1.3070797704447638E-5</v>
      </c>
      <c r="T70" s="78">
        <f t="shared" si="1"/>
        <v>2.057145317886084E-3</v>
      </c>
      <c r="U70" s="78">
        <f>R70/'סכום נכסי הקרן'!$C$42</f>
        <v>3.3398363558139073E-5</v>
      </c>
    </row>
    <row r="71" spans="2:21">
      <c r="B71" s="76" t="s">
        <v>426</v>
      </c>
      <c r="C71" s="70" t="s">
        <v>427</v>
      </c>
      <c r="D71" s="83" t="s">
        <v>113</v>
      </c>
      <c r="E71" s="83" t="s">
        <v>280</v>
      </c>
      <c r="F71" s="70" t="s">
        <v>303</v>
      </c>
      <c r="G71" s="83" t="s">
        <v>290</v>
      </c>
      <c r="H71" s="70" t="s">
        <v>375</v>
      </c>
      <c r="I71" s="70" t="s">
        <v>284</v>
      </c>
      <c r="J71" s="70"/>
      <c r="K71" s="77">
        <v>4.4300000003069524</v>
      </c>
      <c r="L71" s="83" t="s">
        <v>157</v>
      </c>
      <c r="M71" s="84">
        <v>2.4199999999999999E-2</v>
      </c>
      <c r="N71" s="84">
        <v>2.8200000001699511E-2</v>
      </c>
      <c r="O71" s="77">
        <f>5825.5287/50000</f>
        <v>0.11651057399999999</v>
      </c>
      <c r="P71" s="79">
        <v>4949250</v>
      </c>
      <c r="Q71" s="70"/>
      <c r="R71" s="77">
        <v>5.7663994609999989</v>
      </c>
      <c r="S71" s="78">
        <f>20.2113891683725%/50000</f>
        <v>4.0422778336744997E-6</v>
      </c>
      <c r="T71" s="78">
        <f t="shared" si="1"/>
        <v>4.3929536666883094E-3</v>
      </c>
      <c r="U71" s="78">
        <f>R71/'סכום נכסי הקרן'!$C$42</f>
        <v>7.1320903962624605E-5</v>
      </c>
    </row>
    <row r="72" spans="2:21">
      <c r="B72" s="76" t="s">
        <v>428</v>
      </c>
      <c r="C72" s="70" t="s">
        <v>429</v>
      </c>
      <c r="D72" s="83" t="s">
        <v>113</v>
      </c>
      <c r="E72" s="83" t="s">
        <v>280</v>
      </c>
      <c r="F72" s="70" t="s">
        <v>303</v>
      </c>
      <c r="G72" s="83" t="s">
        <v>290</v>
      </c>
      <c r="H72" s="70" t="s">
        <v>375</v>
      </c>
      <c r="I72" s="70" t="s">
        <v>284</v>
      </c>
      <c r="J72" s="70"/>
      <c r="K72" s="77">
        <v>4.0399999999905933</v>
      </c>
      <c r="L72" s="83" t="s">
        <v>157</v>
      </c>
      <c r="M72" s="84">
        <v>1.95E-2</v>
      </c>
      <c r="N72" s="84">
        <v>3.1199999999717815E-2</v>
      </c>
      <c r="O72" s="77">
        <f>8881.1727/50000</f>
        <v>0.17762345399999999</v>
      </c>
      <c r="P72" s="79">
        <v>4788222</v>
      </c>
      <c r="Q72" s="70"/>
      <c r="R72" s="77">
        <v>8.5050055019999995</v>
      </c>
      <c r="S72" s="78">
        <f>35.7837652604859%/50000</f>
        <v>7.1567530520971803E-6</v>
      </c>
      <c r="T72" s="78">
        <f t="shared" si="1"/>
        <v>6.4792762551236565E-3</v>
      </c>
      <c r="U72" s="78">
        <f>R72/'סכום נכסי הקרן'!$C$42</f>
        <v>1.0519296915037915E-4</v>
      </c>
    </row>
    <row r="73" spans="2:21">
      <c r="B73" s="76" t="s">
        <v>430</v>
      </c>
      <c r="C73" s="70" t="s">
        <v>431</v>
      </c>
      <c r="D73" s="83" t="s">
        <v>113</v>
      </c>
      <c r="E73" s="83" t="s">
        <v>280</v>
      </c>
      <c r="F73" s="70" t="s">
        <v>303</v>
      </c>
      <c r="G73" s="83" t="s">
        <v>290</v>
      </c>
      <c r="H73" s="70" t="s">
        <v>381</v>
      </c>
      <c r="I73" s="70" t="s">
        <v>153</v>
      </c>
      <c r="J73" s="70"/>
      <c r="K73" s="77">
        <v>0.10999999999629707</v>
      </c>
      <c r="L73" s="83" t="s">
        <v>157</v>
      </c>
      <c r="M73" s="84">
        <v>0.05</v>
      </c>
      <c r="N73" s="84">
        <v>3.0799999998963185E-2</v>
      </c>
      <c r="O73" s="77">
        <v>9723.0485420000005</v>
      </c>
      <c r="P73" s="79">
        <v>111.1</v>
      </c>
      <c r="Q73" s="70"/>
      <c r="R73" s="77">
        <v>10.802307864000001</v>
      </c>
      <c r="S73" s="78">
        <v>9.7230582650582647E-6</v>
      </c>
      <c r="T73" s="78">
        <f t="shared" si="1"/>
        <v>8.2294052399251166E-3</v>
      </c>
      <c r="U73" s="78">
        <f>R73/'סכום נכסי הקרן'!$C$42</f>
        <v>1.3360683160327605E-4</v>
      </c>
    </row>
    <row r="74" spans="2:21">
      <c r="B74" s="76" t="s">
        <v>432</v>
      </c>
      <c r="C74" s="70" t="s">
        <v>433</v>
      </c>
      <c r="D74" s="83" t="s">
        <v>113</v>
      </c>
      <c r="E74" s="83" t="s">
        <v>280</v>
      </c>
      <c r="F74" s="70" t="s">
        <v>434</v>
      </c>
      <c r="G74" s="83" t="s">
        <v>345</v>
      </c>
      <c r="H74" s="70" t="s">
        <v>375</v>
      </c>
      <c r="I74" s="70" t="s">
        <v>284</v>
      </c>
      <c r="J74" s="70"/>
      <c r="K74" s="77">
        <v>3.3500000000391865</v>
      </c>
      <c r="L74" s="83" t="s">
        <v>157</v>
      </c>
      <c r="M74" s="84">
        <v>2.8500000000000001E-2</v>
      </c>
      <c r="N74" s="84">
        <v>1.3900000000548611E-2</v>
      </c>
      <c r="O74" s="77">
        <v>9495.3926680000004</v>
      </c>
      <c r="P74" s="79">
        <v>107.5</v>
      </c>
      <c r="Q74" s="70"/>
      <c r="R74" s="77">
        <v>10.207546796000001</v>
      </c>
      <c r="S74" s="78">
        <v>1.3902478284040995E-5</v>
      </c>
      <c r="T74" s="78">
        <f t="shared" si="1"/>
        <v>7.7763048551624985E-3</v>
      </c>
      <c r="U74" s="78">
        <f>R74/'סכום נכסי הקרן'!$C$42</f>
        <v>1.2625061264924268E-4</v>
      </c>
    </row>
    <row r="75" spans="2:21">
      <c r="B75" s="76" t="s">
        <v>435</v>
      </c>
      <c r="C75" s="70" t="s">
        <v>436</v>
      </c>
      <c r="D75" s="83" t="s">
        <v>113</v>
      </c>
      <c r="E75" s="83" t="s">
        <v>280</v>
      </c>
      <c r="F75" s="70" t="s">
        <v>434</v>
      </c>
      <c r="G75" s="83" t="s">
        <v>345</v>
      </c>
      <c r="H75" s="70" t="s">
        <v>375</v>
      </c>
      <c r="I75" s="70" t="s">
        <v>284</v>
      </c>
      <c r="J75" s="70"/>
      <c r="K75" s="77">
        <v>4.8300000022720591</v>
      </c>
      <c r="L75" s="83" t="s">
        <v>157</v>
      </c>
      <c r="M75" s="84">
        <v>2.4E-2</v>
      </c>
      <c r="N75" s="84">
        <v>1.1800000002065507E-2</v>
      </c>
      <c r="O75" s="77">
        <v>903.41908899999999</v>
      </c>
      <c r="P75" s="79">
        <v>107.18</v>
      </c>
      <c r="Q75" s="70"/>
      <c r="R75" s="77">
        <v>0.96828456000000007</v>
      </c>
      <c r="S75" s="78">
        <v>1.8397692003932063E-6</v>
      </c>
      <c r="T75" s="78">
        <f t="shared" ref="T75:T106" si="2">R75/$R$11</f>
        <v>7.3765774241245851E-4</v>
      </c>
      <c r="U75" s="78">
        <f>R75/'סכום נכסי הקרן'!$C$42</f>
        <v>1.1976091940789019E-5</v>
      </c>
    </row>
    <row r="76" spans="2:21">
      <c r="B76" s="76" t="s">
        <v>437</v>
      </c>
      <c r="C76" s="70" t="s">
        <v>438</v>
      </c>
      <c r="D76" s="83" t="s">
        <v>113</v>
      </c>
      <c r="E76" s="83" t="s">
        <v>280</v>
      </c>
      <c r="F76" s="70" t="s">
        <v>439</v>
      </c>
      <c r="G76" s="83" t="s">
        <v>345</v>
      </c>
      <c r="H76" s="70" t="s">
        <v>375</v>
      </c>
      <c r="I76" s="70" t="s">
        <v>284</v>
      </c>
      <c r="J76" s="70"/>
      <c r="K76" s="77">
        <v>2.0000000020972259E-2</v>
      </c>
      <c r="L76" s="83" t="s">
        <v>157</v>
      </c>
      <c r="M76" s="84">
        <v>5.0999999999999997E-2</v>
      </c>
      <c r="N76" s="84">
        <v>1.0300000000314587E-2</v>
      </c>
      <c r="O76" s="77">
        <v>3350.2217930000002</v>
      </c>
      <c r="P76" s="79">
        <v>113.86</v>
      </c>
      <c r="Q76" s="70"/>
      <c r="R76" s="77">
        <v>3.8145626959999999</v>
      </c>
      <c r="S76" s="78">
        <v>7.5413289250048263E-6</v>
      </c>
      <c r="T76" s="78">
        <f t="shared" si="2"/>
        <v>2.9060069971808089E-3</v>
      </c>
      <c r="U76" s="78">
        <f>R76/'סכום נכסי הקרן'!$C$42</f>
        <v>4.7179884352591588E-5</v>
      </c>
    </row>
    <row r="77" spans="2:21">
      <c r="B77" s="76" t="s">
        <v>440</v>
      </c>
      <c r="C77" s="70" t="s">
        <v>441</v>
      </c>
      <c r="D77" s="83" t="s">
        <v>113</v>
      </c>
      <c r="E77" s="83" t="s">
        <v>280</v>
      </c>
      <c r="F77" s="70" t="s">
        <v>439</v>
      </c>
      <c r="G77" s="83" t="s">
        <v>345</v>
      </c>
      <c r="H77" s="70" t="s">
        <v>375</v>
      </c>
      <c r="I77" s="70" t="s">
        <v>284</v>
      </c>
      <c r="J77" s="70"/>
      <c r="K77" s="77">
        <v>1.4700000000173989</v>
      </c>
      <c r="L77" s="83" t="s">
        <v>157</v>
      </c>
      <c r="M77" s="84">
        <v>2.5499999999999998E-2</v>
      </c>
      <c r="N77" s="84">
        <v>1.8200000000318982E-2</v>
      </c>
      <c r="O77" s="77">
        <v>13183.539587999998</v>
      </c>
      <c r="P77" s="79">
        <v>102.15</v>
      </c>
      <c r="Q77" s="77">
        <v>0.32683041899999998</v>
      </c>
      <c r="R77" s="77">
        <v>13.793816108000001</v>
      </c>
      <c r="S77" s="78">
        <v>1.2244145661553747E-5</v>
      </c>
      <c r="T77" s="78">
        <f t="shared" si="2"/>
        <v>1.0508393575417422E-2</v>
      </c>
      <c r="U77" s="78">
        <f>R77/'סכום נכסי הקרן'!$C$42</f>
        <v>1.7060688226170265E-4</v>
      </c>
    </row>
    <row r="78" spans="2:21">
      <c r="B78" s="76" t="s">
        <v>442</v>
      </c>
      <c r="C78" s="70" t="s">
        <v>443</v>
      </c>
      <c r="D78" s="83" t="s">
        <v>113</v>
      </c>
      <c r="E78" s="83" t="s">
        <v>280</v>
      </c>
      <c r="F78" s="70" t="s">
        <v>439</v>
      </c>
      <c r="G78" s="83" t="s">
        <v>345</v>
      </c>
      <c r="H78" s="70" t="s">
        <v>375</v>
      </c>
      <c r="I78" s="70" t="s">
        <v>284</v>
      </c>
      <c r="J78" s="70"/>
      <c r="K78" s="77">
        <v>5.8399999997929388</v>
      </c>
      <c r="L78" s="83" t="s">
        <v>157</v>
      </c>
      <c r="M78" s="84">
        <v>2.35E-2</v>
      </c>
      <c r="N78" s="84">
        <v>1.3399999999394445E-2</v>
      </c>
      <c r="O78" s="77">
        <v>9496.8831690000006</v>
      </c>
      <c r="P78" s="79">
        <v>107.81</v>
      </c>
      <c r="Q78" s="70"/>
      <c r="R78" s="77">
        <v>10.238589593</v>
      </c>
      <c r="S78" s="78">
        <v>1.2100107032541439E-5</v>
      </c>
      <c r="T78" s="78">
        <f t="shared" si="2"/>
        <v>7.7999538530905332E-3</v>
      </c>
      <c r="U78" s="78">
        <f>R78/'סכום נכסי הקרן'!$C$42</f>
        <v>1.2663456113538938E-4</v>
      </c>
    </row>
    <row r="79" spans="2:21">
      <c r="B79" s="76" t="s">
        <v>444</v>
      </c>
      <c r="C79" s="70" t="s">
        <v>445</v>
      </c>
      <c r="D79" s="83" t="s">
        <v>113</v>
      </c>
      <c r="E79" s="83" t="s">
        <v>280</v>
      </c>
      <c r="F79" s="70" t="s">
        <v>439</v>
      </c>
      <c r="G79" s="83" t="s">
        <v>345</v>
      </c>
      <c r="H79" s="70" t="s">
        <v>375</v>
      </c>
      <c r="I79" s="70" t="s">
        <v>284</v>
      </c>
      <c r="J79" s="70"/>
      <c r="K79" s="77">
        <v>4.600000000120871</v>
      </c>
      <c r="L79" s="83" t="s">
        <v>157</v>
      </c>
      <c r="M79" s="84">
        <v>1.7600000000000001E-2</v>
      </c>
      <c r="N79" s="84">
        <v>1.3300000000332397E-2</v>
      </c>
      <c r="O79" s="77">
        <v>15679.227653000002</v>
      </c>
      <c r="P79" s="79">
        <v>103.5</v>
      </c>
      <c r="Q79" s="77">
        <v>0.31846614400000001</v>
      </c>
      <c r="R79" s="77">
        <v>16.546466765000002</v>
      </c>
      <c r="S79" s="78">
        <v>1.1078648291641369E-5</v>
      </c>
      <c r="T79" s="78">
        <f t="shared" si="2"/>
        <v>1.2605415621594415E-2</v>
      </c>
      <c r="U79" s="78">
        <f>R79/'סכום נכסי הקרן'!$C$42</f>
        <v>2.0465265631505048E-4</v>
      </c>
    </row>
    <row r="80" spans="2:21">
      <c r="B80" s="76" t="s">
        <v>446</v>
      </c>
      <c r="C80" s="70" t="s">
        <v>447</v>
      </c>
      <c r="D80" s="83" t="s">
        <v>113</v>
      </c>
      <c r="E80" s="83" t="s">
        <v>280</v>
      </c>
      <c r="F80" s="70" t="s">
        <v>439</v>
      </c>
      <c r="G80" s="83" t="s">
        <v>345</v>
      </c>
      <c r="H80" s="70" t="s">
        <v>375</v>
      </c>
      <c r="I80" s="70" t="s">
        <v>284</v>
      </c>
      <c r="J80" s="70"/>
      <c r="K80" s="77">
        <v>5.1699999998973993</v>
      </c>
      <c r="L80" s="83" t="s">
        <v>157</v>
      </c>
      <c r="M80" s="84">
        <v>2.1499999999999998E-2</v>
      </c>
      <c r="N80" s="84">
        <v>1.3899999999657998E-2</v>
      </c>
      <c r="O80" s="77">
        <v>13219.368444</v>
      </c>
      <c r="P80" s="79">
        <v>106.17</v>
      </c>
      <c r="Q80" s="70"/>
      <c r="R80" s="77">
        <v>14.035003332</v>
      </c>
      <c r="S80" s="78">
        <v>1.0118154836528898E-5</v>
      </c>
      <c r="T80" s="78">
        <f t="shared" si="2"/>
        <v>1.0692134626864701E-2</v>
      </c>
      <c r="U80" s="78">
        <f>R80/'סכום נכסי הקרן'!$C$42</f>
        <v>1.7358997265567492E-4</v>
      </c>
    </row>
    <row r="81" spans="2:21">
      <c r="B81" s="76" t="s">
        <v>448</v>
      </c>
      <c r="C81" s="70" t="s">
        <v>449</v>
      </c>
      <c r="D81" s="83" t="s">
        <v>113</v>
      </c>
      <c r="E81" s="83" t="s">
        <v>280</v>
      </c>
      <c r="F81" s="70" t="s">
        <v>439</v>
      </c>
      <c r="G81" s="83" t="s">
        <v>345</v>
      </c>
      <c r="H81" s="70" t="s">
        <v>375</v>
      </c>
      <c r="I81" s="70" t="s">
        <v>284</v>
      </c>
      <c r="J81" s="70"/>
      <c r="K81" s="77">
        <v>7.2000000001391848</v>
      </c>
      <c r="L81" s="83" t="s">
        <v>157</v>
      </c>
      <c r="M81" s="84">
        <v>6.5000000000000006E-3</v>
      </c>
      <c r="N81" s="84">
        <v>1.5100000000765518E-2</v>
      </c>
      <c r="O81" s="77">
        <v>6052.4173200000005</v>
      </c>
      <c r="P81" s="79">
        <v>93.74</v>
      </c>
      <c r="Q81" s="77">
        <v>7.4200107000000001E-2</v>
      </c>
      <c r="R81" s="77">
        <v>5.7477361560000002</v>
      </c>
      <c r="S81" s="78">
        <v>1.5438264767676767E-5</v>
      </c>
      <c r="T81" s="78">
        <f t="shared" si="2"/>
        <v>4.3787356031138426E-3</v>
      </c>
      <c r="U81" s="78">
        <f>R81/'סכום נכסי הקרן'!$C$42</f>
        <v>7.1090069489131638E-5</v>
      </c>
    </row>
    <row r="82" spans="2:21">
      <c r="B82" s="76" t="s">
        <v>450</v>
      </c>
      <c r="C82" s="70" t="s">
        <v>451</v>
      </c>
      <c r="D82" s="83" t="s">
        <v>113</v>
      </c>
      <c r="E82" s="83" t="s">
        <v>280</v>
      </c>
      <c r="F82" s="70" t="s">
        <v>322</v>
      </c>
      <c r="G82" s="83" t="s">
        <v>290</v>
      </c>
      <c r="H82" s="70" t="s">
        <v>375</v>
      </c>
      <c r="I82" s="70" t="s">
        <v>284</v>
      </c>
      <c r="J82" s="70"/>
      <c r="K82" s="77">
        <v>0.99000000000684485</v>
      </c>
      <c r="L82" s="83" t="s">
        <v>157</v>
      </c>
      <c r="M82" s="84">
        <v>3.8800000000000001E-2</v>
      </c>
      <c r="N82" s="84">
        <v>1.6300000000250982E-2</v>
      </c>
      <c r="O82" s="77">
        <v>12619.445446000002</v>
      </c>
      <c r="P82" s="79">
        <v>113.55</v>
      </c>
      <c r="Q82" s="77">
        <v>7.584663011</v>
      </c>
      <c r="R82" s="77">
        <v>21.914043315000001</v>
      </c>
      <c r="S82" s="78">
        <v>1.8427305112391737E-5</v>
      </c>
      <c r="T82" s="78">
        <f t="shared" si="2"/>
        <v>1.6694538348181166E-2</v>
      </c>
      <c r="U82" s="78">
        <f>R82/'סכום נכסי הקרן'!$C$42</f>
        <v>2.7104077497101987E-4</v>
      </c>
    </row>
    <row r="83" spans="2:21">
      <c r="B83" s="76" t="s">
        <v>452</v>
      </c>
      <c r="C83" s="70" t="s">
        <v>453</v>
      </c>
      <c r="D83" s="83" t="s">
        <v>113</v>
      </c>
      <c r="E83" s="83" t="s">
        <v>280</v>
      </c>
      <c r="F83" s="70" t="s">
        <v>454</v>
      </c>
      <c r="G83" s="83" t="s">
        <v>345</v>
      </c>
      <c r="H83" s="70" t="s">
        <v>375</v>
      </c>
      <c r="I83" s="70" t="s">
        <v>284</v>
      </c>
      <c r="J83" s="70"/>
      <c r="K83" s="77">
        <v>6.8099999996375518</v>
      </c>
      <c r="L83" s="83" t="s">
        <v>157</v>
      </c>
      <c r="M83" s="84">
        <v>3.5000000000000003E-2</v>
      </c>
      <c r="N83" s="84">
        <v>1.3099999999999999E-2</v>
      </c>
      <c r="O83" s="77">
        <v>4652.6382510000003</v>
      </c>
      <c r="P83" s="79">
        <v>118.6</v>
      </c>
      <c r="Q83" s="70"/>
      <c r="R83" s="77">
        <v>5.5180293000000002</v>
      </c>
      <c r="S83" s="78">
        <v>5.9556643578192517E-6</v>
      </c>
      <c r="T83" s="78">
        <f t="shared" si="2"/>
        <v>4.2037405161183183E-3</v>
      </c>
      <c r="U83" s="78">
        <f>R83/'סכום נכסי הקרן'!$C$42</f>
        <v>6.8248972418570499E-5</v>
      </c>
    </row>
    <row r="84" spans="2:21">
      <c r="B84" s="76" t="s">
        <v>455</v>
      </c>
      <c r="C84" s="70" t="s">
        <v>456</v>
      </c>
      <c r="D84" s="83" t="s">
        <v>113</v>
      </c>
      <c r="E84" s="83" t="s">
        <v>280</v>
      </c>
      <c r="F84" s="70" t="s">
        <v>454</v>
      </c>
      <c r="G84" s="83" t="s">
        <v>345</v>
      </c>
      <c r="H84" s="70" t="s">
        <v>375</v>
      </c>
      <c r="I84" s="70" t="s">
        <v>284</v>
      </c>
      <c r="J84" s="70"/>
      <c r="K84" s="77">
        <v>2.6100000005417101</v>
      </c>
      <c r="L84" s="83" t="s">
        <v>157</v>
      </c>
      <c r="M84" s="84">
        <v>0.04</v>
      </c>
      <c r="N84" s="84">
        <v>9.0999999998132037E-3</v>
      </c>
      <c r="O84" s="77">
        <v>490.68908800000003</v>
      </c>
      <c r="P84" s="79">
        <v>109.1</v>
      </c>
      <c r="Q84" s="70"/>
      <c r="R84" s="77">
        <v>0.535341811</v>
      </c>
      <c r="S84" s="78">
        <v>1.5554352310909402E-6</v>
      </c>
      <c r="T84" s="78">
        <f t="shared" si="2"/>
        <v>4.0783365555395928E-4</v>
      </c>
      <c r="U84" s="78">
        <f>R84/'סכום נכסי הקרן'!$C$42</f>
        <v>6.6213001974176866E-6</v>
      </c>
    </row>
    <row r="85" spans="2:21">
      <c r="B85" s="76" t="s">
        <v>457</v>
      </c>
      <c r="C85" s="70" t="s">
        <v>458</v>
      </c>
      <c r="D85" s="83" t="s">
        <v>113</v>
      </c>
      <c r="E85" s="83" t="s">
        <v>280</v>
      </c>
      <c r="F85" s="70" t="s">
        <v>454</v>
      </c>
      <c r="G85" s="83" t="s">
        <v>345</v>
      </c>
      <c r="H85" s="70" t="s">
        <v>375</v>
      </c>
      <c r="I85" s="70" t="s">
        <v>284</v>
      </c>
      <c r="J85" s="70"/>
      <c r="K85" s="77">
        <v>5.3699999998580425</v>
      </c>
      <c r="L85" s="83" t="s">
        <v>157</v>
      </c>
      <c r="M85" s="84">
        <v>0.04</v>
      </c>
      <c r="N85" s="84">
        <v>1.2299999999282578E-2</v>
      </c>
      <c r="O85" s="77">
        <v>11148.207209</v>
      </c>
      <c r="P85" s="79">
        <v>117.53</v>
      </c>
      <c r="Q85" s="70"/>
      <c r="R85" s="77">
        <v>13.102488078</v>
      </c>
      <c r="S85" s="78">
        <v>1.1079492440632034E-5</v>
      </c>
      <c r="T85" s="78">
        <f t="shared" si="2"/>
        <v>9.9817266275562949E-3</v>
      </c>
      <c r="U85" s="78">
        <f>R85/'סכום נכסי הקרן'!$C$42</f>
        <v>1.6205628836549866E-4</v>
      </c>
    </row>
    <row r="86" spans="2:21">
      <c r="B86" s="76" t="s">
        <v>459</v>
      </c>
      <c r="C86" s="70" t="s">
        <v>460</v>
      </c>
      <c r="D86" s="83" t="s">
        <v>113</v>
      </c>
      <c r="E86" s="83" t="s">
        <v>280</v>
      </c>
      <c r="F86" s="70" t="s">
        <v>461</v>
      </c>
      <c r="G86" s="83" t="s">
        <v>144</v>
      </c>
      <c r="H86" s="70" t="s">
        <v>375</v>
      </c>
      <c r="I86" s="70" t="s">
        <v>284</v>
      </c>
      <c r="J86" s="70"/>
      <c r="K86" s="77">
        <v>3.9900000005525338</v>
      </c>
      <c r="L86" s="83" t="s">
        <v>157</v>
      </c>
      <c r="M86" s="84">
        <v>4.2999999999999997E-2</v>
      </c>
      <c r="N86" s="84">
        <v>7.5999999978437717E-3</v>
      </c>
      <c r="O86" s="77">
        <v>1260.3589179999999</v>
      </c>
      <c r="P86" s="79">
        <v>117.75</v>
      </c>
      <c r="Q86" s="70"/>
      <c r="R86" s="77">
        <v>1.4840726820000001</v>
      </c>
      <c r="S86" s="78">
        <v>1.373187689168517E-6</v>
      </c>
      <c r="T86" s="78">
        <f t="shared" si="2"/>
        <v>1.1305950227897079E-3</v>
      </c>
      <c r="U86" s="78">
        <f>R86/'סכום נכסי הקרן'!$C$42</f>
        <v>1.8355545074936799E-5</v>
      </c>
    </row>
    <row r="87" spans="2:21">
      <c r="B87" s="76" t="s">
        <v>462</v>
      </c>
      <c r="C87" s="70" t="s">
        <v>463</v>
      </c>
      <c r="D87" s="83" t="s">
        <v>113</v>
      </c>
      <c r="E87" s="83" t="s">
        <v>280</v>
      </c>
      <c r="F87" s="70" t="s">
        <v>464</v>
      </c>
      <c r="G87" s="83" t="s">
        <v>465</v>
      </c>
      <c r="H87" s="70" t="s">
        <v>466</v>
      </c>
      <c r="I87" s="70" t="s">
        <v>284</v>
      </c>
      <c r="J87" s="70"/>
      <c r="K87" s="77">
        <v>7.1399999999285342</v>
      </c>
      <c r="L87" s="83" t="s">
        <v>157</v>
      </c>
      <c r="M87" s="84">
        <v>5.1500000000000004E-2</v>
      </c>
      <c r="N87" s="84">
        <v>2.2099999999756263E-2</v>
      </c>
      <c r="O87" s="77">
        <v>28673.110294999999</v>
      </c>
      <c r="P87" s="79">
        <v>147.38</v>
      </c>
      <c r="Q87" s="70"/>
      <c r="R87" s="77">
        <v>42.258427943000001</v>
      </c>
      <c r="S87" s="78">
        <v>7.550481831487629E-6</v>
      </c>
      <c r="T87" s="78">
        <f t="shared" si="2"/>
        <v>3.219328061405103E-2</v>
      </c>
      <c r="U87" s="78">
        <f>R87/'סכום נכסי הקרן'!$C$42</f>
        <v>5.2266744635334858E-4</v>
      </c>
    </row>
    <row r="88" spans="2:21">
      <c r="B88" s="76" t="s">
        <v>467</v>
      </c>
      <c r="C88" s="70" t="s">
        <v>468</v>
      </c>
      <c r="D88" s="83" t="s">
        <v>113</v>
      </c>
      <c r="E88" s="83" t="s">
        <v>280</v>
      </c>
      <c r="F88" s="70" t="s">
        <v>469</v>
      </c>
      <c r="G88" s="83" t="s">
        <v>184</v>
      </c>
      <c r="H88" s="70" t="s">
        <v>470</v>
      </c>
      <c r="I88" s="70" t="s">
        <v>153</v>
      </c>
      <c r="J88" s="70"/>
      <c r="K88" s="77">
        <v>7.4399999996165356</v>
      </c>
      <c r="L88" s="83" t="s">
        <v>157</v>
      </c>
      <c r="M88" s="84">
        <v>1.7000000000000001E-2</v>
      </c>
      <c r="N88" s="84">
        <v>1.250000000064774E-2</v>
      </c>
      <c r="O88" s="77">
        <v>3786.4803130000005</v>
      </c>
      <c r="P88" s="79">
        <v>101.93</v>
      </c>
      <c r="Q88" s="70"/>
      <c r="R88" s="77">
        <v>3.8595594670000004</v>
      </c>
      <c r="S88" s="78">
        <v>2.9832658228546221E-6</v>
      </c>
      <c r="T88" s="78">
        <f t="shared" si="2"/>
        <v>2.9402864000370424E-3</v>
      </c>
      <c r="U88" s="78">
        <f>R88/'סכום נכסי הקרן'!$C$42</f>
        <v>4.773642061145193E-5</v>
      </c>
    </row>
    <row r="89" spans="2:21">
      <c r="B89" s="76" t="s">
        <v>471</v>
      </c>
      <c r="C89" s="70" t="s">
        <v>472</v>
      </c>
      <c r="D89" s="83" t="s">
        <v>113</v>
      </c>
      <c r="E89" s="83" t="s">
        <v>280</v>
      </c>
      <c r="F89" s="70" t="s">
        <v>469</v>
      </c>
      <c r="G89" s="83" t="s">
        <v>184</v>
      </c>
      <c r="H89" s="70" t="s">
        <v>470</v>
      </c>
      <c r="I89" s="70" t="s">
        <v>153</v>
      </c>
      <c r="J89" s="70"/>
      <c r="K89" s="77">
        <v>1.3999999999806196</v>
      </c>
      <c r="L89" s="83" t="s">
        <v>157</v>
      </c>
      <c r="M89" s="84">
        <v>3.7000000000000005E-2</v>
      </c>
      <c r="N89" s="84">
        <v>1.3999999999806197E-2</v>
      </c>
      <c r="O89" s="77">
        <v>9625.6857479999999</v>
      </c>
      <c r="P89" s="79">
        <v>107.21</v>
      </c>
      <c r="Q89" s="70"/>
      <c r="R89" s="77">
        <v>10.319697903</v>
      </c>
      <c r="S89" s="78">
        <v>6.4171710409882911E-6</v>
      </c>
      <c r="T89" s="78">
        <f t="shared" si="2"/>
        <v>7.8617437187117403E-3</v>
      </c>
      <c r="U89" s="78">
        <f>R89/'סכום נכסי הקרן'!$C$42</f>
        <v>1.2763773790578218E-4</v>
      </c>
    </row>
    <row r="90" spans="2:21">
      <c r="B90" s="76" t="s">
        <v>473</v>
      </c>
      <c r="C90" s="70" t="s">
        <v>474</v>
      </c>
      <c r="D90" s="83" t="s">
        <v>113</v>
      </c>
      <c r="E90" s="83" t="s">
        <v>280</v>
      </c>
      <c r="F90" s="70" t="s">
        <v>469</v>
      </c>
      <c r="G90" s="83" t="s">
        <v>184</v>
      </c>
      <c r="H90" s="70" t="s">
        <v>470</v>
      </c>
      <c r="I90" s="70" t="s">
        <v>153</v>
      </c>
      <c r="J90" s="70"/>
      <c r="K90" s="77">
        <v>4.0499999999893079</v>
      </c>
      <c r="L90" s="83" t="s">
        <v>157</v>
      </c>
      <c r="M90" s="84">
        <v>2.2000000000000002E-2</v>
      </c>
      <c r="N90" s="84">
        <v>9.5999999996578544E-3</v>
      </c>
      <c r="O90" s="77">
        <v>8875.2482299999992</v>
      </c>
      <c r="P90" s="79">
        <v>105.38</v>
      </c>
      <c r="Q90" s="70"/>
      <c r="R90" s="77">
        <v>9.3527371420000005</v>
      </c>
      <c r="S90" s="78">
        <v>1.0066248409543208E-5</v>
      </c>
      <c r="T90" s="78">
        <f t="shared" si="2"/>
        <v>7.125094471758249E-3</v>
      </c>
      <c r="U90" s="78">
        <f>R90/'סכום נכסי הקרן'!$C$42</f>
        <v>1.1567801918748381E-4</v>
      </c>
    </row>
    <row r="91" spans="2:21">
      <c r="B91" s="76" t="s">
        <v>475</v>
      </c>
      <c r="C91" s="70" t="s">
        <v>476</v>
      </c>
      <c r="D91" s="83" t="s">
        <v>113</v>
      </c>
      <c r="E91" s="83" t="s">
        <v>280</v>
      </c>
      <c r="F91" s="70" t="s">
        <v>390</v>
      </c>
      <c r="G91" s="83" t="s">
        <v>345</v>
      </c>
      <c r="H91" s="70" t="s">
        <v>470</v>
      </c>
      <c r="I91" s="70" t="s">
        <v>153</v>
      </c>
      <c r="J91" s="70"/>
      <c r="K91" s="77">
        <v>1.4599999999257853</v>
      </c>
      <c r="L91" s="83" t="s">
        <v>157</v>
      </c>
      <c r="M91" s="84">
        <v>2.8500000000000001E-2</v>
      </c>
      <c r="N91" s="84">
        <v>3.0400000002428849E-2</v>
      </c>
      <c r="O91" s="77">
        <v>2910.2379580000002</v>
      </c>
      <c r="P91" s="79">
        <v>101.86</v>
      </c>
      <c r="Q91" s="70"/>
      <c r="R91" s="77">
        <v>2.9643683069999995</v>
      </c>
      <c r="S91" s="78">
        <v>6.7979992960885242E-6</v>
      </c>
      <c r="T91" s="78">
        <f t="shared" si="2"/>
        <v>2.258312611140532E-3</v>
      </c>
      <c r="U91" s="78">
        <f>R91/'סכום נכסי הקרן'!$C$42</f>
        <v>3.6664374149468087E-5</v>
      </c>
    </row>
    <row r="92" spans="2:21">
      <c r="B92" s="76" t="s">
        <v>477</v>
      </c>
      <c r="C92" s="70" t="s">
        <v>478</v>
      </c>
      <c r="D92" s="83" t="s">
        <v>113</v>
      </c>
      <c r="E92" s="83" t="s">
        <v>280</v>
      </c>
      <c r="F92" s="70" t="s">
        <v>390</v>
      </c>
      <c r="G92" s="83" t="s">
        <v>345</v>
      </c>
      <c r="H92" s="70" t="s">
        <v>470</v>
      </c>
      <c r="I92" s="70" t="s">
        <v>153</v>
      </c>
      <c r="J92" s="70"/>
      <c r="K92" s="77">
        <v>3.5200000000558322</v>
      </c>
      <c r="L92" s="83" t="s">
        <v>157</v>
      </c>
      <c r="M92" s="84">
        <v>2.5000000000000001E-2</v>
      </c>
      <c r="N92" s="84">
        <v>2.3500000000465263E-2</v>
      </c>
      <c r="O92" s="77">
        <v>2127.8257189999999</v>
      </c>
      <c r="P92" s="79">
        <v>101.01</v>
      </c>
      <c r="Q92" s="70"/>
      <c r="R92" s="77">
        <v>2.1493165940000001</v>
      </c>
      <c r="S92" s="78">
        <v>4.8670796641189271E-6</v>
      </c>
      <c r="T92" s="78">
        <f t="shared" si="2"/>
        <v>1.6373905894561352E-3</v>
      </c>
      <c r="U92" s="78">
        <f>R92/'סכום נכסי הקרן'!$C$42</f>
        <v>2.6583521211582164E-5</v>
      </c>
    </row>
    <row r="93" spans="2:21">
      <c r="B93" s="76" t="s">
        <v>479</v>
      </c>
      <c r="C93" s="70" t="s">
        <v>480</v>
      </c>
      <c r="D93" s="83" t="s">
        <v>113</v>
      </c>
      <c r="E93" s="83" t="s">
        <v>280</v>
      </c>
      <c r="F93" s="70" t="s">
        <v>390</v>
      </c>
      <c r="G93" s="83" t="s">
        <v>345</v>
      </c>
      <c r="H93" s="70" t="s">
        <v>470</v>
      </c>
      <c r="I93" s="70" t="s">
        <v>153</v>
      </c>
      <c r="J93" s="70"/>
      <c r="K93" s="77">
        <v>4.6899999991720129</v>
      </c>
      <c r="L93" s="83" t="s">
        <v>157</v>
      </c>
      <c r="M93" s="84">
        <v>1.34E-2</v>
      </c>
      <c r="N93" s="84">
        <v>1.029999999911574E-2</v>
      </c>
      <c r="O93" s="77">
        <v>2423.2607720000001</v>
      </c>
      <c r="P93" s="79">
        <v>102.67</v>
      </c>
      <c r="Q93" s="70"/>
      <c r="R93" s="77">
        <v>2.4879616740000001</v>
      </c>
      <c r="S93" s="78">
        <v>6.5403240432292706E-6</v>
      </c>
      <c r="T93" s="78">
        <f t="shared" si="2"/>
        <v>1.8953769041319434E-3</v>
      </c>
      <c r="U93" s="78">
        <f>R93/'סכום נכסי הקרן'!$C$42</f>
        <v>3.0772005445365522E-5</v>
      </c>
    </row>
    <row r="94" spans="2:21">
      <c r="B94" s="76" t="s">
        <v>481</v>
      </c>
      <c r="C94" s="70" t="s">
        <v>482</v>
      </c>
      <c r="D94" s="83" t="s">
        <v>113</v>
      </c>
      <c r="E94" s="83" t="s">
        <v>280</v>
      </c>
      <c r="F94" s="70" t="s">
        <v>390</v>
      </c>
      <c r="G94" s="83" t="s">
        <v>345</v>
      </c>
      <c r="H94" s="70" t="s">
        <v>470</v>
      </c>
      <c r="I94" s="70" t="s">
        <v>153</v>
      </c>
      <c r="J94" s="70"/>
      <c r="K94" s="77">
        <v>4.5300000001456002</v>
      </c>
      <c r="L94" s="83" t="s">
        <v>157</v>
      </c>
      <c r="M94" s="84">
        <v>1.95E-2</v>
      </c>
      <c r="N94" s="84">
        <v>2.4200000001288923E-2</v>
      </c>
      <c r="O94" s="77">
        <v>4239.9841109999998</v>
      </c>
      <c r="P94" s="79">
        <v>98.81</v>
      </c>
      <c r="Q94" s="70"/>
      <c r="R94" s="77">
        <v>4.1895282630000006</v>
      </c>
      <c r="S94" s="78">
        <v>6.4788048329742567E-6</v>
      </c>
      <c r="T94" s="78">
        <f t="shared" si="2"/>
        <v>3.1916629552140837E-3</v>
      </c>
      <c r="U94" s="78">
        <f>R94/'סכום נכסי הקרן'!$C$42</f>
        <v>5.1817593441975487E-5</v>
      </c>
    </row>
    <row r="95" spans="2:21">
      <c r="B95" s="76" t="s">
        <v>483</v>
      </c>
      <c r="C95" s="70" t="s">
        <v>484</v>
      </c>
      <c r="D95" s="83" t="s">
        <v>113</v>
      </c>
      <c r="E95" s="83" t="s">
        <v>280</v>
      </c>
      <c r="F95" s="70" t="s">
        <v>390</v>
      </c>
      <c r="G95" s="83" t="s">
        <v>345</v>
      </c>
      <c r="H95" s="70" t="s">
        <v>470</v>
      </c>
      <c r="I95" s="70" t="s">
        <v>153</v>
      </c>
      <c r="J95" s="70"/>
      <c r="K95" s="77">
        <v>7.240000006120737</v>
      </c>
      <c r="L95" s="83" t="s">
        <v>157</v>
      </c>
      <c r="M95" s="84">
        <v>1.1699999999999999E-2</v>
      </c>
      <c r="N95" s="84">
        <v>2.9300000033761205E-2</v>
      </c>
      <c r="O95" s="77">
        <v>467.751846</v>
      </c>
      <c r="P95" s="79">
        <v>88.02</v>
      </c>
      <c r="Q95" s="70"/>
      <c r="R95" s="77">
        <v>0.41171517699999999</v>
      </c>
      <c r="S95" s="78">
        <v>7.7958640999999996E-7</v>
      </c>
      <c r="T95" s="78">
        <f t="shared" si="2"/>
        <v>3.1365251551957591E-4</v>
      </c>
      <c r="U95" s="78">
        <f>R95/'סכום נכסי הקרן'!$C$42</f>
        <v>5.0922414926973778E-6</v>
      </c>
    </row>
    <row r="96" spans="2:21">
      <c r="B96" s="76" t="s">
        <v>485</v>
      </c>
      <c r="C96" s="70" t="s">
        <v>486</v>
      </c>
      <c r="D96" s="83" t="s">
        <v>113</v>
      </c>
      <c r="E96" s="83" t="s">
        <v>280</v>
      </c>
      <c r="F96" s="70" t="s">
        <v>390</v>
      </c>
      <c r="G96" s="83" t="s">
        <v>345</v>
      </c>
      <c r="H96" s="70" t="s">
        <v>470</v>
      </c>
      <c r="I96" s="70" t="s">
        <v>153</v>
      </c>
      <c r="J96" s="70"/>
      <c r="K96" s="77">
        <v>5.6399999998365233</v>
      </c>
      <c r="L96" s="83" t="s">
        <v>157</v>
      </c>
      <c r="M96" s="84">
        <v>3.3500000000000002E-2</v>
      </c>
      <c r="N96" s="84">
        <v>2.8799999999455081E-2</v>
      </c>
      <c r="O96" s="77">
        <v>4964.1284029999997</v>
      </c>
      <c r="P96" s="79">
        <v>103.51</v>
      </c>
      <c r="Q96" s="70"/>
      <c r="R96" s="77">
        <v>5.1383695310000004</v>
      </c>
      <c r="S96" s="78">
        <v>1.0442790644965745E-5</v>
      </c>
      <c r="T96" s="78">
        <f t="shared" si="2"/>
        <v>3.9145084250010375E-3</v>
      </c>
      <c r="U96" s="78">
        <f>R96/'סכום נכסי הקרן'!$C$42</f>
        <v>6.3553203749324425E-5</v>
      </c>
    </row>
    <row r="97" spans="2:21">
      <c r="B97" s="76" t="s">
        <v>487</v>
      </c>
      <c r="C97" s="70" t="s">
        <v>488</v>
      </c>
      <c r="D97" s="83" t="s">
        <v>113</v>
      </c>
      <c r="E97" s="83" t="s">
        <v>280</v>
      </c>
      <c r="F97" s="70" t="s">
        <v>297</v>
      </c>
      <c r="G97" s="83" t="s">
        <v>290</v>
      </c>
      <c r="H97" s="70" t="s">
        <v>470</v>
      </c>
      <c r="I97" s="70" t="s">
        <v>153</v>
      </c>
      <c r="J97" s="70"/>
      <c r="K97" s="77">
        <v>0.99000000002859767</v>
      </c>
      <c r="L97" s="83" t="s">
        <v>157</v>
      </c>
      <c r="M97" s="84">
        <v>2.7999999999999997E-2</v>
      </c>
      <c r="N97" s="84">
        <v>2.6600000000190648E-2</v>
      </c>
      <c r="O97" s="77">
        <f>9314.0556/50000</f>
        <v>0.186281112</v>
      </c>
      <c r="P97" s="79">
        <v>5068334</v>
      </c>
      <c r="Q97" s="70"/>
      <c r="R97" s="77">
        <v>9.441348627</v>
      </c>
      <c r="S97" s="78">
        <f>52.660460225024%/50000</f>
        <v>1.0532092045004802E-5</v>
      </c>
      <c r="T97" s="78">
        <f t="shared" si="2"/>
        <v>7.1926003999503866E-3</v>
      </c>
      <c r="U97" s="78">
        <f>R97/'סכום נכסי הקרן'!$C$42</f>
        <v>1.1677399792680177E-4</v>
      </c>
    </row>
    <row r="98" spans="2:21">
      <c r="B98" s="76" t="s">
        <v>489</v>
      </c>
      <c r="C98" s="70" t="s">
        <v>490</v>
      </c>
      <c r="D98" s="83" t="s">
        <v>113</v>
      </c>
      <c r="E98" s="83" t="s">
        <v>280</v>
      </c>
      <c r="F98" s="70" t="s">
        <v>297</v>
      </c>
      <c r="G98" s="83" t="s">
        <v>290</v>
      </c>
      <c r="H98" s="70" t="s">
        <v>470</v>
      </c>
      <c r="I98" s="70" t="s">
        <v>153</v>
      </c>
      <c r="J98" s="70"/>
      <c r="K98" s="77">
        <v>2.2099999996027919</v>
      </c>
      <c r="L98" s="83" t="s">
        <v>157</v>
      </c>
      <c r="M98" s="84">
        <v>1.49E-2</v>
      </c>
      <c r="N98" s="84">
        <v>2.6800000007944167E-2</v>
      </c>
      <c r="O98" s="77">
        <f>506.4447/50000</f>
        <v>1.0128893999999999E-2</v>
      </c>
      <c r="P98" s="79">
        <v>4971070</v>
      </c>
      <c r="Q98" s="70"/>
      <c r="R98" s="77">
        <v>0.50351442000000002</v>
      </c>
      <c r="S98" s="78">
        <f>8.37375496031746%/50000</f>
        <v>1.6747509920634918E-6</v>
      </c>
      <c r="T98" s="78">
        <f t="shared" si="2"/>
        <v>3.8358693887395915E-4</v>
      </c>
      <c r="U98" s="78">
        <f>R98/'סכום נכסי הקרן'!$C$42</f>
        <v>6.2276475702897266E-6</v>
      </c>
    </row>
    <row r="99" spans="2:21">
      <c r="B99" s="76" t="s">
        <v>491</v>
      </c>
      <c r="C99" s="70" t="s">
        <v>492</v>
      </c>
      <c r="D99" s="83" t="s">
        <v>113</v>
      </c>
      <c r="E99" s="83" t="s">
        <v>280</v>
      </c>
      <c r="F99" s="70" t="s">
        <v>297</v>
      </c>
      <c r="G99" s="83" t="s">
        <v>290</v>
      </c>
      <c r="H99" s="70" t="s">
        <v>470</v>
      </c>
      <c r="I99" s="70" t="s">
        <v>153</v>
      </c>
      <c r="J99" s="70"/>
      <c r="K99" s="77">
        <v>3.8199999996903808</v>
      </c>
      <c r="L99" s="83" t="s">
        <v>157</v>
      </c>
      <c r="M99" s="84">
        <v>2.2000000000000002E-2</v>
      </c>
      <c r="N99" s="84">
        <v>1.8200000001457033E-2</v>
      </c>
      <c r="O99" s="77">
        <f>2121.975/50000</f>
        <v>4.2439499999999998E-2</v>
      </c>
      <c r="P99" s="79">
        <v>5175000</v>
      </c>
      <c r="Q99" s="70"/>
      <c r="R99" s="77">
        <v>2.1962439740000002</v>
      </c>
      <c r="S99" s="78">
        <f>42.1528605482717%/50000</f>
        <v>8.4305721096543395E-6</v>
      </c>
      <c r="T99" s="78">
        <f t="shared" si="2"/>
        <v>1.6731407672635058E-3</v>
      </c>
      <c r="U99" s="78">
        <f>R99/'סכום נכסי הקרן'!$C$42</f>
        <v>2.7163935937414769E-5</v>
      </c>
    </row>
    <row r="100" spans="2:21">
      <c r="B100" s="76" t="s">
        <v>493</v>
      </c>
      <c r="C100" s="70" t="s">
        <v>494</v>
      </c>
      <c r="D100" s="83" t="s">
        <v>113</v>
      </c>
      <c r="E100" s="83" t="s">
        <v>280</v>
      </c>
      <c r="F100" s="70" t="s">
        <v>297</v>
      </c>
      <c r="G100" s="83" t="s">
        <v>290</v>
      </c>
      <c r="H100" s="70" t="s">
        <v>470</v>
      </c>
      <c r="I100" s="70" t="s">
        <v>153</v>
      </c>
      <c r="J100" s="70"/>
      <c r="K100" s="77">
        <v>5.649999996652225</v>
      </c>
      <c r="L100" s="83" t="s">
        <v>157</v>
      </c>
      <c r="M100" s="84">
        <v>2.3199999999999998E-2</v>
      </c>
      <c r="N100" s="84">
        <v>2.5599999981458475E-2</v>
      </c>
      <c r="O100" s="77">
        <f>393.2727/50000</f>
        <v>7.8654539999999992E-3</v>
      </c>
      <c r="P100" s="79">
        <v>4937000</v>
      </c>
      <c r="Q100" s="70"/>
      <c r="R100" s="77">
        <v>0.38831746199999995</v>
      </c>
      <c r="S100" s="78">
        <f>6.554545%/50000</f>
        <v>1.3109090000000001E-6</v>
      </c>
      <c r="T100" s="78">
        <f t="shared" si="2"/>
        <v>2.9582768763580775E-4</v>
      </c>
      <c r="U100" s="78">
        <f>R100/'סכום נכסי הקרן'!$C$42</f>
        <v>4.8028501323266432E-6</v>
      </c>
    </row>
    <row r="101" spans="2:21">
      <c r="B101" s="76" t="s">
        <v>495</v>
      </c>
      <c r="C101" s="70" t="s">
        <v>496</v>
      </c>
      <c r="D101" s="83" t="s">
        <v>113</v>
      </c>
      <c r="E101" s="83" t="s">
        <v>280</v>
      </c>
      <c r="F101" s="70" t="s">
        <v>497</v>
      </c>
      <c r="G101" s="83" t="s">
        <v>498</v>
      </c>
      <c r="H101" s="70" t="s">
        <v>470</v>
      </c>
      <c r="I101" s="70" t="s">
        <v>153</v>
      </c>
      <c r="J101" s="70"/>
      <c r="K101" s="77">
        <v>4.9200000004726014</v>
      </c>
      <c r="L101" s="83" t="s">
        <v>157</v>
      </c>
      <c r="M101" s="84">
        <v>0.04</v>
      </c>
      <c r="N101" s="84">
        <v>7.0600000006301358E-2</v>
      </c>
      <c r="O101" s="77">
        <v>2641.871384</v>
      </c>
      <c r="P101" s="79">
        <v>86.5</v>
      </c>
      <c r="Q101" s="70"/>
      <c r="R101" s="77">
        <v>2.2852187760000002</v>
      </c>
      <c r="S101" s="78">
        <v>8.9331990762112554E-7</v>
      </c>
      <c r="T101" s="78">
        <f t="shared" si="2"/>
        <v>1.7409234773120019E-3</v>
      </c>
      <c r="U101" s="78">
        <f>R101/'סכום נכסי הקרן'!$C$42</f>
        <v>2.8264408312152934E-5</v>
      </c>
    </row>
    <row r="102" spans="2:21">
      <c r="B102" s="76" t="s">
        <v>499</v>
      </c>
      <c r="C102" s="70" t="s">
        <v>500</v>
      </c>
      <c r="D102" s="83" t="s">
        <v>113</v>
      </c>
      <c r="E102" s="83" t="s">
        <v>280</v>
      </c>
      <c r="F102" s="70" t="s">
        <v>497</v>
      </c>
      <c r="G102" s="83" t="s">
        <v>498</v>
      </c>
      <c r="H102" s="70" t="s">
        <v>470</v>
      </c>
      <c r="I102" s="70" t="s">
        <v>153</v>
      </c>
      <c r="J102" s="70"/>
      <c r="K102" s="77">
        <v>5.0500000001659853</v>
      </c>
      <c r="L102" s="83" t="s">
        <v>157</v>
      </c>
      <c r="M102" s="84">
        <v>2.7799999999999998E-2</v>
      </c>
      <c r="N102" s="84">
        <v>6.3400000002065596E-2</v>
      </c>
      <c r="O102" s="77">
        <v>6379.0464849999998</v>
      </c>
      <c r="P102" s="79">
        <v>85</v>
      </c>
      <c r="Q102" s="70"/>
      <c r="R102" s="77">
        <v>5.4221894819999994</v>
      </c>
      <c r="S102" s="78">
        <v>3.5417306466567837E-6</v>
      </c>
      <c r="T102" s="78">
        <f t="shared" si="2"/>
        <v>4.1307279052603058E-3</v>
      </c>
      <c r="U102" s="78">
        <f>R102/'סכום נכסי הקרן'!$C$42</f>
        <v>6.7063591055103859E-5</v>
      </c>
    </row>
    <row r="103" spans="2:21">
      <c r="B103" s="76" t="s">
        <v>501</v>
      </c>
      <c r="C103" s="70" t="s">
        <v>502</v>
      </c>
      <c r="D103" s="83" t="s">
        <v>113</v>
      </c>
      <c r="E103" s="83" t="s">
        <v>280</v>
      </c>
      <c r="F103" s="70" t="s">
        <v>341</v>
      </c>
      <c r="G103" s="83" t="s">
        <v>290</v>
      </c>
      <c r="H103" s="70" t="s">
        <v>470</v>
      </c>
      <c r="I103" s="70" t="s">
        <v>153</v>
      </c>
      <c r="J103" s="70"/>
      <c r="K103" s="77">
        <v>5.1100000001059627</v>
      </c>
      <c r="L103" s="83" t="s">
        <v>157</v>
      </c>
      <c r="M103" s="84">
        <v>1.46E-2</v>
      </c>
      <c r="N103" s="84">
        <v>2.8400000000675156E-2</v>
      </c>
      <c r="O103" s="77">
        <f>11393.5911/50000</f>
        <v>0.227871822</v>
      </c>
      <c r="P103" s="79">
        <v>4679900</v>
      </c>
      <c r="Q103" s="70"/>
      <c r="R103" s="77">
        <v>10.664173916999999</v>
      </c>
      <c r="S103" s="78">
        <f>42.7799763451357%/50000</f>
        <v>8.5559952690271394E-6</v>
      </c>
      <c r="T103" s="78">
        <f t="shared" si="2"/>
        <v>8.1241721507033463E-3</v>
      </c>
      <c r="U103" s="78">
        <f>R103/'סכום נכסי הקרן'!$C$42</f>
        <v>1.3189834122993364E-4</v>
      </c>
    </row>
    <row r="104" spans="2:21">
      <c r="B104" s="76" t="s">
        <v>503</v>
      </c>
      <c r="C104" s="70" t="s">
        <v>504</v>
      </c>
      <c r="D104" s="83" t="s">
        <v>113</v>
      </c>
      <c r="E104" s="83" t="s">
        <v>280</v>
      </c>
      <c r="F104" s="70" t="s">
        <v>341</v>
      </c>
      <c r="G104" s="83" t="s">
        <v>290</v>
      </c>
      <c r="H104" s="70" t="s">
        <v>470</v>
      </c>
      <c r="I104" s="70" t="s">
        <v>153</v>
      </c>
      <c r="J104" s="70"/>
      <c r="K104" s="77">
        <v>5.6500000002125921</v>
      </c>
      <c r="L104" s="83" t="s">
        <v>157</v>
      </c>
      <c r="M104" s="84">
        <v>2.4199999999999999E-2</v>
      </c>
      <c r="N104" s="84">
        <v>2.990000000103259E-2</v>
      </c>
      <c r="O104" s="77">
        <f>8487.9/50000</f>
        <v>0.16975799999999999</v>
      </c>
      <c r="P104" s="79">
        <v>4849094</v>
      </c>
      <c r="Q104" s="70"/>
      <c r="R104" s="77">
        <v>8.2317250850000008</v>
      </c>
      <c r="S104" s="78">
        <f>96.3658038147139%/50000</f>
        <v>1.927316076294278E-5</v>
      </c>
      <c r="T104" s="78">
        <f t="shared" si="2"/>
        <v>6.2710859939366405E-3</v>
      </c>
      <c r="U104" s="78">
        <f>R104/'סכום נכסי הקרן'!$C$42</f>
        <v>1.018129385944761E-4</v>
      </c>
    </row>
    <row r="105" spans="2:21">
      <c r="B105" s="76" t="s">
        <v>505</v>
      </c>
      <c r="C105" s="70" t="s">
        <v>506</v>
      </c>
      <c r="D105" s="83" t="s">
        <v>113</v>
      </c>
      <c r="E105" s="83" t="s">
        <v>280</v>
      </c>
      <c r="F105" s="70" t="s">
        <v>404</v>
      </c>
      <c r="G105" s="83" t="s">
        <v>405</v>
      </c>
      <c r="H105" s="70" t="s">
        <v>466</v>
      </c>
      <c r="I105" s="70" t="s">
        <v>284</v>
      </c>
      <c r="J105" s="70"/>
      <c r="K105" s="77">
        <v>2.7800000000889202</v>
      </c>
      <c r="L105" s="83" t="s">
        <v>157</v>
      </c>
      <c r="M105" s="84">
        <v>3.85E-2</v>
      </c>
      <c r="N105" s="84">
        <v>6.8000000012933878E-3</v>
      </c>
      <c r="O105" s="77">
        <v>2190.8453679999998</v>
      </c>
      <c r="P105" s="79">
        <v>112.93</v>
      </c>
      <c r="Q105" s="70"/>
      <c r="R105" s="77">
        <v>2.4741216509999999</v>
      </c>
      <c r="S105" s="78">
        <v>9.145789617464438E-6</v>
      </c>
      <c r="T105" s="78">
        <f t="shared" si="2"/>
        <v>1.8848333092602904E-3</v>
      </c>
      <c r="U105" s="78">
        <f>R105/'סכום נכסי הקרן'!$C$42</f>
        <v>3.0600827059632882E-5</v>
      </c>
    </row>
    <row r="106" spans="2:21">
      <c r="B106" s="76" t="s">
        <v>507</v>
      </c>
      <c r="C106" s="70" t="s">
        <v>508</v>
      </c>
      <c r="D106" s="83" t="s">
        <v>113</v>
      </c>
      <c r="E106" s="83" t="s">
        <v>280</v>
      </c>
      <c r="F106" s="70" t="s">
        <v>404</v>
      </c>
      <c r="G106" s="83" t="s">
        <v>405</v>
      </c>
      <c r="H106" s="70" t="s">
        <v>466</v>
      </c>
      <c r="I106" s="70" t="s">
        <v>284</v>
      </c>
      <c r="J106" s="70"/>
      <c r="K106" s="77">
        <v>0.90999999993511316</v>
      </c>
      <c r="L106" s="83" t="s">
        <v>157</v>
      </c>
      <c r="M106" s="84">
        <v>3.9E-2</v>
      </c>
      <c r="N106" s="84">
        <v>1.4999999998091564E-2</v>
      </c>
      <c r="O106" s="77">
        <v>2362.0156310000002</v>
      </c>
      <c r="P106" s="79">
        <v>110.92</v>
      </c>
      <c r="Q106" s="70"/>
      <c r="R106" s="77">
        <v>2.6199477870000001</v>
      </c>
      <c r="S106" s="78">
        <v>5.9193565210853756E-6</v>
      </c>
      <c r="T106" s="78">
        <f t="shared" si="2"/>
        <v>1.9959264555420944E-3</v>
      </c>
      <c r="U106" s="78">
        <f>R106/'סכום נכסי הקרן'!$C$42</f>
        <v>3.2404457195081913E-5</v>
      </c>
    </row>
    <row r="107" spans="2:21">
      <c r="B107" s="76" t="s">
        <v>509</v>
      </c>
      <c r="C107" s="70" t="s">
        <v>510</v>
      </c>
      <c r="D107" s="83" t="s">
        <v>113</v>
      </c>
      <c r="E107" s="83" t="s">
        <v>280</v>
      </c>
      <c r="F107" s="70" t="s">
        <v>404</v>
      </c>
      <c r="G107" s="83" t="s">
        <v>405</v>
      </c>
      <c r="H107" s="70" t="s">
        <v>466</v>
      </c>
      <c r="I107" s="70" t="s">
        <v>284</v>
      </c>
      <c r="J107" s="70"/>
      <c r="K107" s="77">
        <v>3.6800000001094335</v>
      </c>
      <c r="L107" s="83" t="s">
        <v>157</v>
      </c>
      <c r="M107" s="84">
        <v>3.85E-2</v>
      </c>
      <c r="N107" s="84">
        <v>1.1000000001367917E-2</v>
      </c>
      <c r="O107" s="77">
        <v>1917.895334</v>
      </c>
      <c r="P107" s="79">
        <v>114.35</v>
      </c>
      <c r="Q107" s="70"/>
      <c r="R107" s="77">
        <v>2.193113307</v>
      </c>
      <c r="S107" s="78">
        <v>7.6715813360000004E-6</v>
      </c>
      <c r="T107" s="78">
        <f t="shared" ref="T107:T138" si="3">R107/$R$11</f>
        <v>1.670755765119647E-3</v>
      </c>
      <c r="U107" s="78">
        <f>R107/'סכום נכסי הקרן'!$C$42</f>
        <v>2.7125214721176439E-5</v>
      </c>
    </row>
    <row r="108" spans="2:21">
      <c r="B108" s="76" t="s">
        <v>511</v>
      </c>
      <c r="C108" s="70" t="s">
        <v>512</v>
      </c>
      <c r="D108" s="83" t="s">
        <v>113</v>
      </c>
      <c r="E108" s="83" t="s">
        <v>280</v>
      </c>
      <c r="F108" s="70" t="s">
        <v>513</v>
      </c>
      <c r="G108" s="83" t="s">
        <v>290</v>
      </c>
      <c r="H108" s="70" t="s">
        <v>470</v>
      </c>
      <c r="I108" s="70" t="s">
        <v>153</v>
      </c>
      <c r="J108" s="70"/>
      <c r="K108" s="77">
        <v>1</v>
      </c>
      <c r="L108" s="83" t="s">
        <v>157</v>
      </c>
      <c r="M108" s="84">
        <v>0.02</v>
      </c>
      <c r="N108" s="84">
        <v>1.900000000057054E-2</v>
      </c>
      <c r="O108" s="77">
        <v>1704.9841469999999</v>
      </c>
      <c r="P108" s="79">
        <v>102.8</v>
      </c>
      <c r="Q108" s="70"/>
      <c r="R108" s="77">
        <v>1.752723641</v>
      </c>
      <c r="S108" s="78">
        <v>5.9931082024445078E-6</v>
      </c>
      <c r="T108" s="78">
        <f t="shared" si="3"/>
        <v>1.3352584741132341E-3</v>
      </c>
      <c r="U108" s="78">
        <f>R108/'סכום נכסי הקרן'!$C$42</f>
        <v>2.1678316828072199E-5</v>
      </c>
    </row>
    <row r="109" spans="2:21">
      <c r="B109" s="76" t="s">
        <v>514</v>
      </c>
      <c r="C109" s="70" t="s">
        <v>515</v>
      </c>
      <c r="D109" s="83" t="s">
        <v>113</v>
      </c>
      <c r="E109" s="83" t="s">
        <v>280</v>
      </c>
      <c r="F109" s="70" t="s">
        <v>416</v>
      </c>
      <c r="G109" s="83" t="s">
        <v>345</v>
      </c>
      <c r="H109" s="70" t="s">
        <v>470</v>
      </c>
      <c r="I109" s="70" t="s">
        <v>153</v>
      </c>
      <c r="J109" s="70"/>
      <c r="K109" s="77">
        <v>6.260000000018537</v>
      </c>
      <c r="L109" s="83" t="s">
        <v>157</v>
      </c>
      <c r="M109" s="84">
        <v>2.4E-2</v>
      </c>
      <c r="N109" s="84">
        <v>1.8499999999536575E-2</v>
      </c>
      <c r="O109" s="77">
        <v>6144.8685549999991</v>
      </c>
      <c r="P109" s="79">
        <v>105.35</v>
      </c>
      <c r="Q109" s="70"/>
      <c r="R109" s="77">
        <v>6.4736188380000002</v>
      </c>
      <c r="S109" s="78">
        <v>1.1803081109546548E-5</v>
      </c>
      <c r="T109" s="78">
        <f t="shared" si="3"/>
        <v>4.9317269473736543E-3</v>
      </c>
      <c r="U109" s="78">
        <f>R109/'סכום נכסי הקרן'!$C$42</f>
        <v>8.0068047758100961E-5</v>
      </c>
    </row>
    <row r="110" spans="2:21">
      <c r="B110" s="76" t="s">
        <v>516</v>
      </c>
      <c r="C110" s="70" t="s">
        <v>517</v>
      </c>
      <c r="D110" s="83" t="s">
        <v>113</v>
      </c>
      <c r="E110" s="83" t="s">
        <v>280</v>
      </c>
      <c r="F110" s="70" t="s">
        <v>416</v>
      </c>
      <c r="G110" s="83" t="s">
        <v>345</v>
      </c>
      <c r="H110" s="70" t="s">
        <v>470</v>
      </c>
      <c r="I110" s="70" t="s">
        <v>153</v>
      </c>
      <c r="J110" s="70"/>
      <c r="K110" s="77">
        <v>2.2100000101575672</v>
      </c>
      <c r="L110" s="83" t="s">
        <v>157</v>
      </c>
      <c r="M110" s="84">
        <v>3.4799999999999998E-2</v>
      </c>
      <c r="N110" s="84">
        <v>1.7600000035330667E-2</v>
      </c>
      <c r="O110" s="77">
        <v>109.70550900000001</v>
      </c>
      <c r="P110" s="79">
        <v>103.2</v>
      </c>
      <c r="Q110" s="70"/>
      <c r="R110" s="77">
        <v>0.11321608500000001</v>
      </c>
      <c r="S110" s="78">
        <v>2.6806914229698436E-7</v>
      </c>
      <c r="T110" s="78">
        <f t="shared" si="3"/>
        <v>8.6250184208118535E-5</v>
      </c>
      <c r="U110" s="78">
        <f>R110/'סכום נכסי הקרן'!$C$42</f>
        <v>1.4002972877479163E-6</v>
      </c>
    </row>
    <row r="111" spans="2:21">
      <c r="B111" s="76" t="s">
        <v>518</v>
      </c>
      <c r="C111" s="70" t="s">
        <v>519</v>
      </c>
      <c r="D111" s="83" t="s">
        <v>113</v>
      </c>
      <c r="E111" s="83" t="s">
        <v>280</v>
      </c>
      <c r="F111" s="70" t="s">
        <v>421</v>
      </c>
      <c r="G111" s="83" t="s">
        <v>405</v>
      </c>
      <c r="H111" s="70" t="s">
        <v>470</v>
      </c>
      <c r="I111" s="70" t="s">
        <v>153</v>
      </c>
      <c r="J111" s="70"/>
      <c r="K111" s="77">
        <v>4.7700000005067515</v>
      </c>
      <c r="L111" s="83" t="s">
        <v>157</v>
      </c>
      <c r="M111" s="84">
        <v>2.4799999999999999E-2</v>
      </c>
      <c r="N111" s="84">
        <v>1.6900000001144277E-2</v>
      </c>
      <c r="O111" s="77">
        <v>2913.0442760000001</v>
      </c>
      <c r="P111" s="79">
        <v>105</v>
      </c>
      <c r="Q111" s="70"/>
      <c r="R111" s="77">
        <v>3.0586965850000003</v>
      </c>
      <c r="S111" s="78">
        <v>6.878722849372775E-6</v>
      </c>
      <c r="T111" s="78">
        <f t="shared" si="3"/>
        <v>2.3301737018462799E-3</v>
      </c>
      <c r="U111" s="78">
        <f>R111/'סכום נכסי הקרן'!$C$42</f>
        <v>3.7831060242184794E-5</v>
      </c>
    </row>
    <row r="112" spans="2:21">
      <c r="B112" s="76" t="s">
        <v>520</v>
      </c>
      <c r="C112" s="70" t="s">
        <v>521</v>
      </c>
      <c r="D112" s="83" t="s">
        <v>113</v>
      </c>
      <c r="E112" s="83" t="s">
        <v>280</v>
      </c>
      <c r="F112" s="70" t="s">
        <v>434</v>
      </c>
      <c r="G112" s="83" t="s">
        <v>345</v>
      </c>
      <c r="H112" s="70" t="s">
        <v>466</v>
      </c>
      <c r="I112" s="70" t="s">
        <v>284</v>
      </c>
      <c r="J112" s="70"/>
      <c r="K112" s="77">
        <v>6.0100000033022605</v>
      </c>
      <c r="L112" s="83" t="s">
        <v>157</v>
      </c>
      <c r="M112" s="84">
        <v>2.81E-2</v>
      </c>
      <c r="N112" s="84">
        <v>1.9900000004081445E-2</v>
      </c>
      <c r="O112" s="77">
        <v>507.65193299999999</v>
      </c>
      <c r="P112" s="79">
        <v>106.18</v>
      </c>
      <c r="Q112" s="70"/>
      <c r="R112" s="77">
        <v>0.53902482200000001</v>
      </c>
      <c r="S112" s="78">
        <v>1.0207240125791968E-6</v>
      </c>
      <c r="T112" s="78">
        <f t="shared" si="3"/>
        <v>4.1063944394692948E-4</v>
      </c>
      <c r="U112" s="78">
        <f>R112/'סכום נכסי הקרן'!$C$42</f>
        <v>6.666853003046372E-6</v>
      </c>
    </row>
    <row r="113" spans="2:21">
      <c r="B113" s="76" t="s">
        <v>522</v>
      </c>
      <c r="C113" s="70" t="s">
        <v>523</v>
      </c>
      <c r="D113" s="83" t="s">
        <v>113</v>
      </c>
      <c r="E113" s="83" t="s">
        <v>280</v>
      </c>
      <c r="F113" s="70" t="s">
        <v>434</v>
      </c>
      <c r="G113" s="83" t="s">
        <v>345</v>
      </c>
      <c r="H113" s="70" t="s">
        <v>466</v>
      </c>
      <c r="I113" s="70" t="s">
        <v>284</v>
      </c>
      <c r="J113" s="70"/>
      <c r="K113" s="77">
        <v>4.2000000009759964</v>
      </c>
      <c r="L113" s="83" t="s">
        <v>157</v>
      </c>
      <c r="M113" s="84">
        <v>3.7000000000000005E-2</v>
      </c>
      <c r="N113" s="84">
        <v>1.800000000418284E-2</v>
      </c>
      <c r="O113" s="77">
        <v>1326.9479859999999</v>
      </c>
      <c r="P113" s="79">
        <v>108.1</v>
      </c>
      <c r="Q113" s="70"/>
      <c r="R113" s="77">
        <v>1.4344307730000001</v>
      </c>
      <c r="S113" s="78">
        <v>2.2061032701459473E-6</v>
      </c>
      <c r="T113" s="78">
        <f t="shared" si="3"/>
        <v>1.0927768647453571E-3</v>
      </c>
      <c r="U113" s="78">
        <f>R113/'סכום נכסי הקרן'!$C$42</f>
        <v>1.7741556077425279E-5</v>
      </c>
    </row>
    <row r="114" spans="2:21">
      <c r="B114" s="76" t="s">
        <v>524</v>
      </c>
      <c r="C114" s="70" t="s">
        <v>525</v>
      </c>
      <c r="D114" s="83" t="s">
        <v>113</v>
      </c>
      <c r="E114" s="83" t="s">
        <v>280</v>
      </c>
      <c r="F114" s="70" t="s">
        <v>434</v>
      </c>
      <c r="G114" s="83" t="s">
        <v>345</v>
      </c>
      <c r="H114" s="70" t="s">
        <v>466</v>
      </c>
      <c r="I114" s="70" t="s">
        <v>284</v>
      </c>
      <c r="J114" s="70"/>
      <c r="K114" s="77">
        <v>3.219999999442114</v>
      </c>
      <c r="L114" s="83" t="s">
        <v>157</v>
      </c>
      <c r="M114" s="84">
        <v>4.4000000000000004E-2</v>
      </c>
      <c r="N114" s="84">
        <v>1.8099999987912473E-2</v>
      </c>
      <c r="O114" s="77">
        <v>99.086850999999982</v>
      </c>
      <c r="P114" s="79">
        <v>108.54</v>
      </c>
      <c r="Q114" s="70"/>
      <c r="R114" s="77">
        <v>0.107548873</v>
      </c>
      <c r="S114" s="78">
        <v>4.4564547069602153E-7</v>
      </c>
      <c r="T114" s="78">
        <f t="shared" si="3"/>
        <v>8.1932793450908899E-5</v>
      </c>
      <c r="U114" s="78">
        <f>R114/'סכום נכסי הקרן'!$C$42</f>
        <v>1.330203170002258E-6</v>
      </c>
    </row>
    <row r="115" spans="2:21">
      <c r="B115" s="76" t="s">
        <v>526</v>
      </c>
      <c r="C115" s="70" t="s">
        <v>527</v>
      </c>
      <c r="D115" s="83" t="s">
        <v>113</v>
      </c>
      <c r="E115" s="83" t="s">
        <v>280</v>
      </c>
      <c r="F115" s="70" t="s">
        <v>434</v>
      </c>
      <c r="G115" s="83" t="s">
        <v>345</v>
      </c>
      <c r="H115" s="70" t="s">
        <v>466</v>
      </c>
      <c r="I115" s="70" t="s">
        <v>284</v>
      </c>
      <c r="J115" s="70"/>
      <c r="K115" s="77">
        <v>6.1299999997409271</v>
      </c>
      <c r="L115" s="83" t="s">
        <v>157</v>
      </c>
      <c r="M115" s="84">
        <v>2.6000000000000002E-2</v>
      </c>
      <c r="N115" s="84">
        <v>2.1899999999535003E-2</v>
      </c>
      <c r="O115" s="77">
        <v>5846.0993350000008</v>
      </c>
      <c r="P115" s="79">
        <v>103</v>
      </c>
      <c r="Q115" s="70"/>
      <c r="R115" s="77">
        <v>6.0214823119999998</v>
      </c>
      <c r="S115" s="78">
        <v>1.0369373539780755E-5</v>
      </c>
      <c r="T115" s="78">
        <f t="shared" si="3"/>
        <v>4.5872806732005214E-3</v>
      </c>
      <c r="U115" s="78">
        <f>R115/'סכום נכסי הקרן'!$C$42</f>
        <v>7.4475860472614393E-5</v>
      </c>
    </row>
    <row r="116" spans="2:21">
      <c r="B116" s="76" t="s">
        <v>528</v>
      </c>
      <c r="C116" s="70" t="s">
        <v>529</v>
      </c>
      <c r="D116" s="83" t="s">
        <v>113</v>
      </c>
      <c r="E116" s="83" t="s">
        <v>280</v>
      </c>
      <c r="F116" s="70" t="s">
        <v>530</v>
      </c>
      <c r="G116" s="83" t="s">
        <v>345</v>
      </c>
      <c r="H116" s="70" t="s">
        <v>466</v>
      </c>
      <c r="I116" s="70" t="s">
        <v>284</v>
      </c>
      <c r="J116" s="70"/>
      <c r="K116" s="77">
        <v>5.3400000001770849</v>
      </c>
      <c r="L116" s="83" t="s">
        <v>157</v>
      </c>
      <c r="M116" s="84">
        <v>1.3999999999999999E-2</v>
      </c>
      <c r="N116" s="84">
        <v>1.1700000000885424E-2</v>
      </c>
      <c r="O116" s="77">
        <v>6421.455481</v>
      </c>
      <c r="P116" s="79">
        <v>102.01</v>
      </c>
      <c r="Q116" s="70"/>
      <c r="R116" s="77">
        <v>6.5505270260000001</v>
      </c>
      <c r="S116" s="78">
        <v>1.2148042907680667E-5</v>
      </c>
      <c r="T116" s="78">
        <f t="shared" si="3"/>
        <v>4.990317079527691E-3</v>
      </c>
      <c r="U116" s="78">
        <f>R116/'סכום נכסי הקרן'!$C$42</f>
        <v>8.1019275907899695E-5</v>
      </c>
    </row>
    <row r="117" spans="2:21">
      <c r="B117" s="76" t="s">
        <v>531</v>
      </c>
      <c r="C117" s="70" t="s">
        <v>532</v>
      </c>
      <c r="D117" s="83" t="s">
        <v>113</v>
      </c>
      <c r="E117" s="83" t="s">
        <v>280</v>
      </c>
      <c r="F117" s="70" t="s">
        <v>306</v>
      </c>
      <c r="G117" s="83" t="s">
        <v>290</v>
      </c>
      <c r="H117" s="70" t="s">
        <v>470</v>
      </c>
      <c r="I117" s="70" t="s">
        <v>153</v>
      </c>
      <c r="J117" s="70"/>
      <c r="K117" s="77">
        <v>3.2</v>
      </c>
      <c r="L117" s="83" t="s">
        <v>157</v>
      </c>
      <c r="M117" s="84">
        <v>1.8200000000000001E-2</v>
      </c>
      <c r="N117" s="84">
        <v>3.1799999999050872E-2</v>
      </c>
      <c r="O117" s="77">
        <f>5449.2318/50000</f>
        <v>0.108984636</v>
      </c>
      <c r="P117" s="79">
        <v>4833710</v>
      </c>
      <c r="Q117" s="70"/>
      <c r="R117" s="77">
        <v>5.2680015249999999</v>
      </c>
      <c r="S117" s="78">
        <f>38.3451678277391%/50000</f>
        <v>7.6690335655478197E-6</v>
      </c>
      <c r="T117" s="78">
        <f t="shared" si="3"/>
        <v>4.0132645634222324E-3</v>
      </c>
      <c r="U117" s="78">
        <f>R117/'סכום נכסי הקרן'!$C$42</f>
        <v>6.5156538907959827E-5</v>
      </c>
    </row>
    <row r="118" spans="2:21">
      <c r="B118" s="76" t="s">
        <v>533</v>
      </c>
      <c r="C118" s="70" t="s">
        <v>534</v>
      </c>
      <c r="D118" s="83" t="s">
        <v>113</v>
      </c>
      <c r="E118" s="83" t="s">
        <v>280</v>
      </c>
      <c r="F118" s="70" t="s">
        <v>306</v>
      </c>
      <c r="G118" s="83" t="s">
        <v>290</v>
      </c>
      <c r="H118" s="70" t="s">
        <v>470</v>
      </c>
      <c r="I118" s="70" t="s">
        <v>153</v>
      </c>
      <c r="J118" s="70"/>
      <c r="K118" s="77">
        <v>2.4299999998665607</v>
      </c>
      <c r="L118" s="83" t="s">
        <v>157</v>
      </c>
      <c r="M118" s="84">
        <v>1.06E-2</v>
      </c>
      <c r="N118" s="84">
        <v>2.8499999997573827E-2</v>
      </c>
      <c r="O118" s="77">
        <f>6790.32/50000</f>
        <v>0.13580639999999999</v>
      </c>
      <c r="P118" s="79">
        <v>4855999</v>
      </c>
      <c r="Q118" s="70"/>
      <c r="R118" s="77">
        <v>6.5947573159999999</v>
      </c>
      <c r="S118" s="78">
        <f>50.006038736284%/50000</f>
        <v>1.0001207747256799E-5</v>
      </c>
      <c r="T118" s="78">
        <f t="shared" si="3"/>
        <v>5.0240125624626333E-3</v>
      </c>
      <c r="U118" s="78">
        <f>R118/'סכום נכסי הקרן'!$C$42</f>
        <v>8.1566332053881988E-5</v>
      </c>
    </row>
    <row r="119" spans="2:21">
      <c r="B119" s="76" t="s">
        <v>535</v>
      </c>
      <c r="C119" s="70" t="s">
        <v>536</v>
      </c>
      <c r="D119" s="83" t="s">
        <v>113</v>
      </c>
      <c r="E119" s="83" t="s">
        <v>280</v>
      </c>
      <c r="F119" s="70" t="s">
        <v>306</v>
      </c>
      <c r="G119" s="83" t="s">
        <v>290</v>
      </c>
      <c r="H119" s="70" t="s">
        <v>470</v>
      </c>
      <c r="I119" s="70" t="s">
        <v>153</v>
      </c>
      <c r="J119" s="70"/>
      <c r="K119" s="77">
        <v>4.2999999998593372</v>
      </c>
      <c r="L119" s="83" t="s">
        <v>157</v>
      </c>
      <c r="M119" s="84">
        <v>1.89E-2</v>
      </c>
      <c r="N119" s="84">
        <v>2.5999999998841599E-2</v>
      </c>
      <c r="O119" s="77">
        <f>12530.9697/50000</f>
        <v>0.250619394</v>
      </c>
      <c r="P119" s="79">
        <v>4822299</v>
      </c>
      <c r="Q119" s="70"/>
      <c r="R119" s="77">
        <v>12.085616718999999</v>
      </c>
      <c r="S119" s="78">
        <f>57.4867864024222%/50000</f>
        <v>1.1497357280484439E-5</v>
      </c>
      <c r="T119" s="78">
        <f t="shared" si="3"/>
        <v>9.2070545301267664E-3</v>
      </c>
      <c r="U119" s="78">
        <f>R119/'סכום נכסי הקרן'!$C$42</f>
        <v>1.4947925740743084E-4</v>
      </c>
    </row>
    <row r="120" spans="2:21">
      <c r="B120" s="76" t="s">
        <v>537</v>
      </c>
      <c r="C120" s="70" t="s">
        <v>538</v>
      </c>
      <c r="D120" s="83" t="s">
        <v>113</v>
      </c>
      <c r="E120" s="83" t="s">
        <v>280</v>
      </c>
      <c r="F120" s="70" t="s">
        <v>539</v>
      </c>
      <c r="G120" s="83" t="s">
        <v>290</v>
      </c>
      <c r="H120" s="70" t="s">
        <v>466</v>
      </c>
      <c r="I120" s="70" t="s">
        <v>284</v>
      </c>
      <c r="J120" s="70"/>
      <c r="K120" s="77">
        <v>1.4700000000034439</v>
      </c>
      <c r="L120" s="83" t="s">
        <v>157</v>
      </c>
      <c r="M120" s="84">
        <v>4.4999999999999998E-2</v>
      </c>
      <c r="N120" s="84">
        <v>1.739999999972449E-2</v>
      </c>
      <c r="O120" s="77">
        <v>13747.075836</v>
      </c>
      <c r="P120" s="79">
        <v>125.38</v>
      </c>
      <c r="Q120" s="77">
        <v>0.186289122</v>
      </c>
      <c r="R120" s="77">
        <v>17.422373201999999</v>
      </c>
      <c r="S120" s="78">
        <v>8.077087326743158E-6</v>
      </c>
      <c r="T120" s="78">
        <f t="shared" si="3"/>
        <v>1.3272697938769812E-2</v>
      </c>
      <c r="U120" s="78">
        <f>R120/'סכום נכסי הקרן'!$C$42</f>
        <v>2.1548618238205797E-4</v>
      </c>
    </row>
    <row r="121" spans="2:21">
      <c r="B121" s="76" t="s">
        <v>540</v>
      </c>
      <c r="C121" s="70" t="s">
        <v>541</v>
      </c>
      <c r="D121" s="83" t="s">
        <v>113</v>
      </c>
      <c r="E121" s="83" t="s">
        <v>280</v>
      </c>
      <c r="F121" s="70" t="s">
        <v>439</v>
      </c>
      <c r="G121" s="83" t="s">
        <v>345</v>
      </c>
      <c r="H121" s="70" t="s">
        <v>466</v>
      </c>
      <c r="I121" s="70" t="s">
        <v>284</v>
      </c>
      <c r="J121" s="70"/>
      <c r="K121" s="77">
        <v>1.7100000000904201</v>
      </c>
      <c r="L121" s="83" t="s">
        <v>157</v>
      </c>
      <c r="M121" s="84">
        <v>4.9000000000000002E-2</v>
      </c>
      <c r="N121" s="84">
        <v>2.1200000001808397E-2</v>
      </c>
      <c r="O121" s="77">
        <v>4057.049254</v>
      </c>
      <c r="P121" s="79">
        <v>109.04</v>
      </c>
      <c r="Q121" s="70"/>
      <c r="R121" s="77">
        <v>4.4238063599999995</v>
      </c>
      <c r="S121" s="78">
        <v>7.625880158411799E-6</v>
      </c>
      <c r="T121" s="78">
        <f t="shared" si="3"/>
        <v>3.3701405012463224E-3</v>
      </c>
      <c r="U121" s="78">
        <f>R121/'סכום נכסי הקרן'!$C$42</f>
        <v>5.4715229266494963E-5</v>
      </c>
    </row>
    <row r="122" spans="2:21">
      <c r="B122" s="76" t="s">
        <v>542</v>
      </c>
      <c r="C122" s="70" t="s">
        <v>543</v>
      </c>
      <c r="D122" s="83" t="s">
        <v>113</v>
      </c>
      <c r="E122" s="83" t="s">
        <v>280</v>
      </c>
      <c r="F122" s="70" t="s">
        <v>439</v>
      </c>
      <c r="G122" s="83" t="s">
        <v>345</v>
      </c>
      <c r="H122" s="70" t="s">
        <v>466</v>
      </c>
      <c r="I122" s="70" t="s">
        <v>284</v>
      </c>
      <c r="J122" s="70"/>
      <c r="K122" s="77">
        <v>1.6200000000587211</v>
      </c>
      <c r="L122" s="83" t="s">
        <v>157</v>
      </c>
      <c r="M122" s="84">
        <v>5.8499999999999996E-2</v>
      </c>
      <c r="N122" s="84">
        <v>1.620000000058721E-2</v>
      </c>
      <c r="O122" s="77">
        <v>2344.2661069999999</v>
      </c>
      <c r="P122" s="79">
        <v>116.23</v>
      </c>
      <c r="Q122" s="70"/>
      <c r="R122" s="77">
        <v>2.7247404319999999</v>
      </c>
      <c r="S122" s="78">
        <v>3.3140435955866506E-6</v>
      </c>
      <c r="T122" s="78">
        <f t="shared" si="3"/>
        <v>2.0757595016583415E-3</v>
      </c>
      <c r="U122" s="78">
        <f>R122/'סכום נכסי הקרן'!$C$42</f>
        <v>3.370057034516505E-5</v>
      </c>
    </row>
    <row r="123" spans="2:21">
      <c r="B123" s="76" t="s">
        <v>544</v>
      </c>
      <c r="C123" s="70" t="s">
        <v>545</v>
      </c>
      <c r="D123" s="83" t="s">
        <v>113</v>
      </c>
      <c r="E123" s="83" t="s">
        <v>280</v>
      </c>
      <c r="F123" s="70" t="s">
        <v>439</v>
      </c>
      <c r="G123" s="83" t="s">
        <v>345</v>
      </c>
      <c r="H123" s="70" t="s">
        <v>466</v>
      </c>
      <c r="I123" s="70" t="s">
        <v>284</v>
      </c>
      <c r="J123" s="70"/>
      <c r="K123" s="77">
        <v>6.1300000009400284</v>
      </c>
      <c r="L123" s="83" t="s">
        <v>157</v>
      </c>
      <c r="M123" s="84">
        <v>2.2499999999999999E-2</v>
      </c>
      <c r="N123" s="84">
        <v>2.6900000004700143E-2</v>
      </c>
      <c r="O123" s="77">
        <v>2784.5954919999999</v>
      </c>
      <c r="P123" s="79">
        <v>98.64</v>
      </c>
      <c r="Q123" s="77">
        <v>6.1700979000000003E-2</v>
      </c>
      <c r="R123" s="77">
        <v>2.8084259720000002</v>
      </c>
      <c r="S123" s="78">
        <v>7.2300074029088924E-6</v>
      </c>
      <c r="T123" s="78">
        <f t="shared" si="3"/>
        <v>2.1395127505059405E-3</v>
      </c>
      <c r="U123" s="78">
        <f>R123/'סכום נכסי הקרן'!$C$42</f>
        <v>3.4735623223788439E-5</v>
      </c>
    </row>
    <row r="124" spans="2:21">
      <c r="B124" s="76" t="s">
        <v>546</v>
      </c>
      <c r="C124" s="70" t="s">
        <v>547</v>
      </c>
      <c r="D124" s="83" t="s">
        <v>113</v>
      </c>
      <c r="E124" s="83" t="s">
        <v>280</v>
      </c>
      <c r="F124" s="70" t="s">
        <v>548</v>
      </c>
      <c r="G124" s="83" t="s">
        <v>405</v>
      </c>
      <c r="H124" s="70" t="s">
        <v>470</v>
      </c>
      <c r="I124" s="70" t="s">
        <v>153</v>
      </c>
      <c r="J124" s="70"/>
      <c r="K124" s="77">
        <v>1.4900000008474326</v>
      </c>
      <c r="L124" s="83" t="s">
        <v>157</v>
      </c>
      <c r="M124" s="84">
        <v>4.0500000000000001E-2</v>
      </c>
      <c r="N124" s="84">
        <v>1.2E-2</v>
      </c>
      <c r="O124" s="77">
        <v>550.49052500000016</v>
      </c>
      <c r="P124" s="79">
        <v>125.43</v>
      </c>
      <c r="Q124" s="77">
        <v>0.37155112599999995</v>
      </c>
      <c r="R124" s="77">
        <v>1.06203139</v>
      </c>
      <c r="S124" s="78">
        <v>1.1353815910328405E-5</v>
      </c>
      <c r="T124" s="78">
        <f t="shared" si="3"/>
        <v>8.0907587488389279E-4</v>
      </c>
      <c r="U124" s="78">
        <f>R124/'סכום נכסי הקרן'!$C$42</f>
        <v>1.3135586475368314E-5</v>
      </c>
    </row>
    <row r="125" spans="2:21">
      <c r="B125" s="76" t="s">
        <v>549</v>
      </c>
      <c r="C125" s="70" t="s">
        <v>550</v>
      </c>
      <c r="D125" s="83" t="s">
        <v>113</v>
      </c>
      <c r="E125" s="83" t="s">
        <v>280</v>
      </c>
      <c r="F125" s="70" t="s">
        <v>551</v>
      </c>
      <c r="G125" s="83" t="s">
        <v>345</v>
      </c>
      <c r="H125" s="70" t="s">
        <v>470</v>
      </c>
      <c r="I125" s="70" t="s">
        <v>153</v>
      </c>
      <c r="J125" s="70"/>
      <c r="K125" s="77">
        <v>6.7999999992638127</v>
      </c>
      <c r="L125" s="83" t="s">
        <v>157</v>
      </c>
      <c r="M125" s="84">
        <v>1.9599999999999999E-2</v>
      </c>
      <c r="N125" s="84">
        <v>1.5599999998936616E-2</v>
      </c>
      <c r="O125" s="77">
        <v>4715.5767070000002</v>
      </c>
      <c r="P125" s="79">
        <v>103.7</v>
      </c>
      <c r="Q125" s="70"/>
      <c r="R125" s="77">
        <v>4.8900531420000002</v>
      </c>
      <c r="S125" s="78">
        <v>4.7810214659424155E-6</v>
      </c>
      <c r="T125" s="78">
        <f t="shared" si="3"/>
        <v>3.7253362389715983E-3</v>
      </c>
      <c r="U125" s="78">
        <f>R125/'סכום נכסי הקרן'!$C$42</f>
        <v>6.0481937276719791E-5</v>
      </c>
    </row>
    <row r="126" spans="2:21">
      <c r="B126" s="76" t="s">
        <v>552</v>
      </c>
      <c r="C126" s="70" t="s">
        <v>553</v>
      </c>
      <c r="D126" s="83" t="s">
        <v>113</v>
      </c>
      <c r="E126" s="83" t="s">
        <v>280</v>
      </c>
      <c r="F126" s="70" t="s">
        <v>551</v>
      </c>
      <c r="G126" s="83" t="s">
        <v>345</v>
      </c>
      <c r="H126" s="70" t="s">
        <v>470</v>
      </c>
      <c r="I126" s="70" t="s">
        <v>153</v>
      </c>
      <c r="J126" s="70"/>
      <c r="K126" s="77">
        <v>2.7300000000859899</v>
      </c>
      <c r="L126" s="83" t="s">
        <v>157</v>
      </c>
      <c r="M126" s="84">
        <v>2.75E-2</v>
      </c>
      <c r="N126" s="84">
        <v>1.4099999998983757E-2</v>
      </c>
      <c r="O126" s="77">
        <v>1222.37941</v>
      </c>
      <c r="P126" s="79">
        <v>104.65</v>
      </c>
      <c r="Q126" s="70"/>
      <c r="R126" s="77">
        <v>1.2792200929999999</v>
      </c>
      <c r="S126" s="78">
        <v>2.8299151114882172E-6</v>
      </c>
      <c r="T126" s="78">
        <f t="shared" si="3"/>
        <v>9.7453439291754799E-4</v>
      </c>
      <c r="U126" s="78">
        <f>R126/'סכום נכסי הקרן'!$C$42</f>
        <v>1.5821854524121171E-5</v>
      </c>
    </row>
    <row r="127" spans="2:21">
      <c r="B127" s="76" t="s">
        <v>554</v>
      </c>
      <c r="C127" s="70" t="s">
        <v>555</v>
      </c>
      <c r="D127" s="83" t="s">
        <v>113</v>
      </c>
      <c r="E127" s="83" t="s">
        <v>280</v>
      </c>
      <c r="F127" s="70" t="s">
        <v>322</v>
      </c>
      <c r="G127" s="83" t="s">
        <v>290</v>
      </c>
      <c r="H127" s="70" t="s">
        <v>470</v>
      </c>
      <c r="I127" s="70" t="s">
        <v>153</v>
      </c>
      <c r="J127" s="70"/>
      <c r="K127" s="77">
        <v>2.7900000000344738</v>
      </c>
      <c r="L127" s="83" t="s">
        <v>157</v>
      </c>
      <c r="M127" s="84">
        <v>1.4199999999999999E-2</v>
      </c>
      <c r="N127" s="84">
        <v>2.4999999999534138E-2</v>
      </c>
      <c r="O127" s="77">
        <f>10940.9031/50000</f>
        <v>0.21881806199999998</v>
      </c>
      <c r="P127" s="79">
        <v>4904901</v>
      </c>
      <c r="Q127" s="70"/>
      <c r="R127" s="77">
        <v>10.732809596999999</v>
      </c>
      <c r="S127" s="78">
        <f>51.6250795073845%/50000</f>
        <v>1.0325015901476899E-5</v>
      </c>
      <c r="T127" s="78">
        <f t="shared" si="3"/>
        <v>8.1764601276568816E-3</v>
      </c>
      <c r="U127" s="78">
        <f>R127/'סכום נכסי הקרן'!$C$42</f>
        <v>1.3274725202336668E-4</v>
      </c>
    </row>
    <row r="128" spans="2:21">
      <c r="B128" s="76" t="s">
        <v>556</v>
      </c>
      <c r="C128" s="70" t="s">
        <v>557</v>
      </c>
      <c r="D128" s="83" t="s">
        <v>113</v>
      </c>
      <c r="E128" s="83" t="s">
        <v>280</v>
      </c>
      <c r="F128" s="70" t="s">
        <v>322</v>
      </c>
      <c r="G128" s="83" t="s">
        <v>290</v>
      </c>
      <c r="H128" s="70" t="s">
        <v>470</v>
      </c>
      <c r="I128" s="70" t="s">
        <v>153</v>
      </c>
      <c r="J128" s="70"/>
      <c r="K128" s="77">
        <v>4.5599999985997517</v>
      </c>
      <c r="L128" s="83" t="s">
        <v>157</v>
      </c>
      <c r="M128" s="84">
        <v>2.0199999999999999E-2</v>
      </c>
      <c r="N128" s="84">
        <v>2.7099999987625703E-2</v>
      </c>
      <c r="O128" s="77">
        <f>1261.8678/50000</f>
        <v>2.5237355999999999E-2</v>
      </c>
      <c r="P128" s="79">
        <v>4867200</v>
      </c>
      <c r="Q128" s="70"/>
      <c r="R128" s="77">
        <v>1.2283526119999999</v>
      </c>
      <c r="S128" s="78">
        <f>5.99604561653599%/50000</f>
        <v>1.1992091233071979E-6</v>
      </c>
      <c r="T128" s="78">
        <f t="shared" si="3"/>
        <v>9.3578257062610433E-4</v>
      </c>
      <c r="U128" s="78">
        <f>R128/'סכום נכסי הקרן'!$C$42</f>
        <v>1.519270721100865E-5</v>
      </c>
    </row>
    <row r="129" spans="2:21">
      <c r="B129" s="76" t="s">
        <v>558</v>
      </c>
      <c r="C129" s="70" t="s">
        <v>559</v>
      </c>
      <c r="D129" s="83" t="s">
        <v>113</v>
      </c>
      <c r="E129" s="83" t="s">
        <v>280</v>
      </c>
      <c r="F129" s="70" t="s">
        <v>322</v>
      </c>
      <c r="G129" s="83" t="s">
        <v>290</v>
      </c>
      <c r="H129" s="70" t="s">
        <v>470</v>
      </c>
      <c r="I129" s="70" t="s">
        <v>153</v>
      </c>
      <c r="J129" s="70"/>
      <c r="K129" s="77">
        <v>5.5100000001151015</v>
      </c>
      <c r="L129" s="83" t="s">
        <v>157</v>
      </c>
      <c r="M129" s="84">
        <v>2.5899999999999999E-2</v>
      </c>
      <c r="N129" s="84">
        <v>2.6200000000531232E-2</v>
      </c>
      <c r="O129" s="77">
        <f>10185.48/50000</f>
        <v>0.20370959999999999</v>
      </c>
      <c r="P129" s="79">
        <v>4989949</v>
      </c>
      <c r="Q129" s="70"/>
      <c r="R129" s="77">
        <v>10.165005433000001</v>
      </c>
      <c r="S129" s="78">
        <f>48.2198551342139%/50000</f>
        <v>9.6439710268427809E-6</v>
      </c>
      <c r="T129" s="78">
        <f t="shared" si="3"/>
        <v>7.7438960291974033E-3</v>
      </c>
      <c r="U129" s="78">
        <f>R129/'סכום נכסי הקרן'!$C$42</f>
        <v>1.2572444576027103E-4</v>
      </c>
    </row>
    <row r="130" spans="2:21">
      <c r="B130" s="76" t="s">
        <v>560</v>
      </c>
      <c r="C130" s="70" t="s">
        <v>561</v>
      </c>
      <c r="D130" s="83" t="s">
        <v>113</v>
      </c>
      <c r="E130" s="83" t="s">
        <v>280</v>
      </c>
      <c r="F130" s="70" t="s">
        <v>322</v>
      </c>
      <c r="G130" s="83" t="s">
        <v>290</v>
      </c>
      <c r="H130" s="70" t="s">
        <v>470</v>
      </c>
      <c r="I130" s="70" t="s">
        <v>153</v>
      </c>
      <c r="J130" s="70"/>
      <c r="K130" s="77">
        <v>3.4099999998964652</v>
      </c>
      <c r="L130" s="83" t="s">
        <v>157</v>
      </c>
      <c r="M130" s="84">
        <v>1.5900000000000001E-2</v>
      </c>
      <c r="N130" s="84">
        <v>3.1500000000196579E-2</v>
      </c>
      <c r="O130" s="77">
        <f>7981.4553/50000</f>
        <v>0.15962910599999999</v>
      </c>
      <c r="P130" s="79">
        <v>4780000</v>
      </c>
      <c r="Q130" s="70"/>
      <c r="R130" s="77">
        <v>7.630270619</v>
      </c>
      <c r="S130" s="78">
        <f>53.3163346693387%/50000</f>
        <v>1.0663266933867741E-5</v>
      </c>
      <c r="T130" s="78">
        <f t="shared" si="3"/>
        <v>5.8128864502472819E-3</v>
      </c>
      <c r="U130" s="78">
        <f>R130/'סכום נכסי הקרן'!$C$42</f>
        <v>9.4373933284906591E-5</v>
      </c>
    </row>
    <row r="131" spans="2:21">
      <c r="B131" s="76" t="s">
        <v>562</v>
      </c>
      <c r="C131" s="70" t="s">
        <v>563</v>
      </c>
      <c r="D131" s="83" t="s">
        <v>113</v>
      </c>
      <c r="E131" s="83" t="s">
        <v>280</v>
      </c>
      <c r="F131" s="70" t="s">
        <v>564</v>
      </c>
      <c r="G131" s="83" t="s">
        <v>409</v>
      </c>
      <c r="H131" s="70" t="s">
        <v>466</v>
      </c>
      <c r="I131" s="70" t="s">
        <v>284</v>
      </c>
      <c r="J131" s="70"/>
      <c r="K131" s="77">
        <v>4.239999999767659</v>
      </c>
      <c r="L131" s="83" t="s">
        <v>157</v>
      </c>
      <c r="M131" s="84">
        <v>1.9400000000000001E-2</v>
      </c>
      <c r="N131" s="84">
        <v>1.12999999990104E-2</v>
      </c>
      <c r="O131" s="77">
        <v>4455.4329390000003</v>
      </c>
      <c r="P131" s="79">
        <v>104.33</v>
      </c>
      <c r="Q131" s="70"/>
      <c r="R131" s="77">
        <v>4.6483529420000007</v>
      </c>
      <c r="S131" s="78">
        <v>8.2199728676483224E-6</v>
      </c>
      <c r="T131" s="78">
        <f t="shared" si="3"/>
        <v>3.5412043925723961E-3</v>
      </c>
      <c r="U131" s="78">
        <f>R131/'סכום נכסי הקרן'!$C$42</f>
        <v>5.7492502210950395E-5</v>
      </c>
    </row>
    <row r="132" spans="2:21">
      <c r="B132" s="76" t="s">
        <v>565</v>
      </c>
      <c r="C132" s="70" t="s">
        <v>566</v>
      </c>
      <c r="D132" s="83" t="s">
        <v>113</v>
      </c>
      <c r="E132" s="83" t="s">
        <v>280</v>
      </c>
      <c r="F132" s="70" t="s">
        <v>564</v>
      </c>
      <c r="G132" s="83" t="s">
        <v>409</v>
      </c>
      <c r="H132" s="70" t="s">
        <v>466</v>
      </c>
      <c r="I132" s="70" t="s">
        <v>284</v>
      </c>
      <c r="J132" s="70"/>
      <c r="K132" s="77">
        <v>5.2299999999775846</v>
      </c>
      <c r="L132" s="83" t="s">
        <v>157</v>
      </c>
      <c r="M132" s="84">
        <v>1.23E-2</v>
      </c>
      <c r="N132" s="84">
        <v>1.3599999999934395E-2</v>
      </c>
      <c r="O132" s="77">
        <v>18300.882117000001</v>
      </c>
      <c r="P132" s="79">
        <v>99.95</v>
      </c>
      <c r="Q132" s="70"/>
      <c r="R132" s="77">
        <v>18.291731767000002</v>
      </c>
      <c r="S132" s="78">
        <v>1.0505570334273432E-5</v>
      </c>
      <c r="T132" s="78">
        <f t="shared" si="3"/>
        <v>1.3934991961515394E-2</v>
      </c>
      <c r="U132" s="78">
        <f>R132/'סכום נכסי הקרן'!$C$42</f>
        <v>2.262387220114748E-4</v>
      </c>
    </row>
    <row r="133" spans="2:21">
      <c r="B133" s="76" t="s">
        <v>567</v>
      </c>
      <c r="C133" s="70" t="s">
        <v>568</v>
      </c>
      <c r="D133" s="83" t="s">
        <v>113</v>
      </c>
      <c r="E133" s="83" t="s">
        <v>280</v>
      </c>
      <c r="F133" s="70" t="s">
        <v>569</v>
      </c>
      <c r="G133" s="83" t="s">
        <v>405</v>
      </c>
      <c r="H133" s="70" t="s">
        <v>470</v>
      </c>
      <c r="I133" s="70" t="s">
        <v>153</v>
      </c>
      <c r="J133" s="70"/>
      <c r="K133" s="77">
        <v>5.9400000020079071</v>
      </c>
      <c r="L133" s="83" t="s">
        <v>157</v>
      </c>
      <c r="M133" s="84">
        <v>2.2499999999999999E-2</v>
      </c>
      <c r="N133" s="84">
        <v>9.5000000003510332E-3</v>
      </c>
      <c r="O133" s="77">
        <v>1298.5397459999999</v>
      </c>
      <c r="P133" s="79">
        <v>109.69</v>
      </c>
      <c r="Q133" s="70"/>
      <c r="R133" s="77">
        <v>1.424368281</v>
      </c>
      <c r="S133" s="78">
        <v>3.1740125478062601E-6</v>
      </c>
      <c r="T133" s="78">
        <f t="shared" si="3"/>
        <v>1.0851110654148757E-3</v>
      </c>
      <c r="U133" s="78">
        <f>R133/'סכום נכסי הקרן'!$C$42</f>
        <v>1.7617099554700747E-5</v>
      </c>
    </row>
    <row r="134" spans="2:21">
      <c r="B134" s="76" t="s">
        <v>570</v>
      </c>
      <c r="C134" s="70" t="s">
        <v>571</v>
      </c>
      <c r="D134" s="83" t="s">
        <v>113</v>
      </c>
      <c r="E134" s="83" t="s">
        <v>280</v>
      </c>
      <c r="F134" s="70" t="s">
        <v>572</v>
      </c>
      <c r="G134" s="83" t="s">
        <v>345</v>
      </c>
      <c r="H134" s="70" t="s">
        <v>470</v>
      </c>
      <c r="I134" s="70" t="s">
        <v>153</v>
      </c>
      <c r="J134" s="70"/>
      <c r="K134" s="77">
        <v>3.9166666666666656</v>
      </c>
      <c r="L134" s="83" t="s">
        <v>157</v>
      </c>
      <c r="M134" s="84">
        <v>1.6E-2</v>
      </c>
      <c r="N134" s="84">
        <v>1.4375000000000001E-2</v>
      </c>
      <c r="O134" s="77">
        <v>4.699999999999999E-5</v>
      </c>
      <c r="P134" s="79">
        <v>102.05</v>
      </c>
      <c r="Q134" s="70"/>
      <c r="R134" s="77">
        <v>4.8E-8</v>
      </c>
      <c r="S134" s="78">
        <v>8.1241743332483198E-14</v>
      </c>
      <c r="T134" s="78">
        <f t="shared" si="3"/>
        <v>3.6567320288364409E-11</v>
      </c>
      <c r="U134" s="78">
        <f>R134/'סכום נכסי הקרן'!$C$42</f>
        <v>5.9368127604748014E-13</v>
      </c>
    </row>
    <row r="135" spans="2:21">
      <c r="B135" s="76" t="s">
        <v>573</v>
      </c>
      <c r="C135" s="70" t="s">
        <v>574</v>
      </c>
      <c r="D135" s="83" t="s">
        <v>113</v>
      </c>
      <c r="E135" s="83" t="s">
        <v>280</v>
      </c>
      <c r="F135" s="70" t="s">
        <v>575</v>
      </c>
      <c r="G135" s="83" t="s">
        <v>149</v>
      </c>
      <c r="H135" s="70" t="s">
        <v>466</v>
      </c>
      <c r="I135" s="70" t="s">
        <v>284</v>
      </c>
      <c r="J135" s="70"/>
      <c r="K135" s="77">
        <v>1.490000000003713</v>
      </c>
      <c r="L135" s="83" t="s">
        <v>157</v>
      </c>
      <c r="M135" s="84">
        <v>2.1499999999999998E-2</v>
      </c>
      <c r="N135" s="84">
        <v>3.4600000002005069E-2</v>
      </c>
      <c r="O135" s="77">
        <v>4974.6980730000005</v>
      </c>
      <c r="P135" s="79">
        <v>98.55</v>
      </c>
      <c r="Q135" s="77">
        <v>0.48378065099999995</v>
      </c>
      <c r="R135" s="77">
        <v>5.3863456020000005</v>
      </c>
      <c r="S135" s="78">
        <v>8.4614076321137757E-6</v>
      </c>
      <c r="T135" s="78">
        <f t="shared" si="3"/>
        <v>4.1034213502532712E-3</v>
      </c>
      <c r="U135" s="78">
        <f>R135/'סכום נכסי הקרן'!$C$42</f>
        <v>6.6620261046418608E-5</v>
      </c>
    </row>
    <row r="136" spans="2:21">
      <c r="B136" s="76" t="s">
        <v>576</v>
      </c>
      <c r="C136" s="70" t="s">
        <v>577</v>
      </c>
      <c r="D136" s="83" t="s">
        <v>113</v>
      </c>
      <c r="E136" s="83" t="s">
        <v>280</v>
      </c>
      <c r="F136" s="70" t="s">
        <v>575</v>
      </c>
      <c r="G136" s="83" t="s">
        <v>149</v>
      </c>
      <c r="H136" s="70" t="s">
        <v>466</v>
      </c>
      <c r="I136" s="70" t="s">
        <v>284</v>
      </c>
      <c r="J136" s="70"/>
      <c r="K136" s="77">
        <v>2.9199999997982196</v>
      </c>
      <c r="L136" s="83" t="s">
        <v>157</v>
      </c>
      <c r="M136" s="84">
        <v>1.8000000000000002E-2</v>
      </c>
      <c r="N136" s="84">
        <v>4.4299999996658006E-2</v>
      </c>
      <c r="O136" s="77">
        <v>3403.9004909999999</v>
      </c>
      <c r="P136" s="79">
        <v>93.18</v>
      </c>
      <c r="Q136" s="70"/>
      <c r="R136" s="77">
        <v>3.1717544419999997</v>
      </c>
      <c r="S136" s="78">
        <v>5.0957165842815607E-6</v>
      </c>
      <c r="T136" s="78">
        <f t="shared" si="3"/>
        <v>2.4163033449303441E-3</v>
      </c>
      <c r="U136" s="78">
        <f>R136/'סכום נכסי הקרן'!$C$42</f>
        <v>3.922940050907965E-5</v>
      </c>
    </row>
    <row r="137" spans="2:21">
      <c r="B137" s="76" t="s">
        <v>578</v>
      </c>
      <c r="C137" s="70" t="s">
        <v>579</v>
      </c>
      <c r="D137" s="83" t="s">
        <v>113</v>
      </c>
      <c r="E137" s="83" t="s">
        <v>280</v>
      </c>
      <c r="F137" s="70" t="s">
        <v>580</v>
      </c>
      <c r="G137" s="83" t="s">
        <v>290</v>
      </c>
      <c r="H137" s="70" t="s">
        <v>581</v>
      </c>
      <c r="I137" s="70" t="s">
        <v>153</v>
      </c>
      <c r="J137" s="70"/>
      <c r="K137" s="77">
        <v>1.009999999258081</v>
      </c>
      <c r="L137" s="83" t="s">
        <v>157</v>
      </c>
      <c r="M137" s="84">
        <v>4.1500000000000002E-2</v>
      </c>
      <c r="N137" s="84">
        <v>4.3000000107166064E-3</v>
      </c>
      <c r="O137" s="77">
        <v>110.500347</v>
      </c>
      <c r="P137" s="79">
        <v>107.4</v>
      </c>
      <c r="Q137" s="77">
        <v>0.123936746</v>
      </c>
      <c r="R137" s="77">
        <v>0.24261411799999999</v>
      </c>
      <c r="S137" s="78">
        <v>2.2034289773709851E-6</v>
      </c>
      <c r="T137" s="78">
        <f t="shared" si="3"/>
        <v>1.8482808665385491E-4</v>
      </c>
      <c r="U137" s="78">
        <f>R137/'סכום נכסי הקרן'!$C$42</f>
        <v>3.0007387325286233E-6</v>
      </c>
    </row>
    <row r="138" spans="2:21">
      <c r="B138" s="76" t="s">
        <v>582</v>
      </c>
      <c r="C138" s="70" t="s">
        <v>583</v>
      </c>
      <c r="D138" s="83" t="s">
        <v>113</v>
      </c>
      <c r="E138" s="83" t="s">
        <v>280</v>
      </c>
      <c r="F138" s="70" t="s">
        <v>584</v>
      </c>
      <c r="G138" s="83" t="s">
        <v>149</v>
      </c>
      <c r="H138" s="70" t="s">
        <v>585</v>
      </c>
      <c r="I138" s="70" t="s">
        <v>284</v>
      </c>
      <c r="J138" s="70"/>
      <c r="K138" s="77">
        <v>2.0100000000660292</v>
      </c>
      <c r="L138" s="83" t="s">
        <v>157</v>
      </c>
      <c r="M138" s="84">
        <v>3.15E-2</v>
      </c>
      <c r="N138" s="84">
        <v>0.15720000001258438</v>
      </c>
      <c r="O138" s="77">
        <v>3252.0115989999995</v>
      </c>
      <c r="P138" s="79">
        <v>79.17</v>
      </c>
      <c r="Q138" s="70"/>
      <c r="R138" s="77">
        <v>2.5746175830000002</v>
      </c>
      <c r="S138" s="78">
        <v>8.714653791099243E-6</v>
      </c>
      <c r="T138" s="78">
        <f t="shared" si="3"/>
        <v>1.9613930370336592E-3</v>
      </c>
      <c r="U138" s="78">
        <f>R138/'סכום נכסי הקרן'!$C$42</f>
        <v>3.1843796916869151E-5</v>
      </c>
    </row>
    <row r="139" spans="2:21">
      <c r="B139" s="76" t="s">
        <v>586</v>
      </c>
      <c r="C139" s="70" t="s">
        <v>587</v>
      </c>
      <c r="D139" s="83" t="s">
        <v>113</v>
      </c>
      <c r="E139" s="83" t="s">
        <v>280</v>
      </c>
      <c r="F139" s="70" t="s">
        <v>584</v>
      </c>
      <c r="G139" s="83" t="s">
        <v>149</v>
      </c>
      <c r="H139" s="70" t="s">
        <v>585</v>
      </c>
      <c r="I139" s="70" t="s">
        <v>284</v>
      </c>
      <c r="J139" s="70"/>
      <c r="K139" s="77">
        <v>1.1900000000296656</v>
      </c>
      <c r="L139" s="83" t="s">
        <v>157</v>
      </c>
      <c r="M139" s="84">
        <v>2.8500000000000001E-2</v>
      </c>
      <c r="N139" s="84">
        <v>0.22509999994927196</v>
      </c>
      <c r="O139" s="77">
        <v>1652.612879</v>
      </c>
      <c r="P139" s="79">
        <v>81.59</v>
      </c>
      <c r="Q139" s="70"/>
      <c r="R139" s="77">
        <v>1.348366784</v>
      </c>
      <c r="S139" s="78">
        <v>7.6144747789006623E-6</v>
      </c>
      <c r="T139" s="78">
        <f t="shared" ref="T139:T159" si="4">R139/$R$11</f>
        <v>1.0272116678483306E-3</v>
      </c>
      <c r="U139" s="78">
        <f>R139/'סכום נכסי הקרן'!$C$42</f>
        <v>1.6677085685524105E-5</v>
      </c>
    </row>
    <row r="140" spans="2:21">
      <c r="B140" s="76" t="s">
        <v>588</v>
      </c>
      <c r="C140" s="70" t="s">
        <v>589</v>
      </c>
      <c r="D140" s="83" t="s">
        <v>113</v>
      </c>
      <c r="E140" s="83" t="s">
        <v>280</v>
      </c>
      <c r="F140" s="70" t="s">
        <v>590</v>
      </c>
      <c r="G140" s="83" t="s">
        <v>345</v>
      </c>
      <c r="H140" s="70" t="s">
        <v>581</v>
      </c>
      <c r="I140" s="70" t="s">
        <v>153</v>
      </c>
      <c r="J140" s="70"/>
      <c r="K140" s="77">
        <v>4.360000000587358</v>
      </c>
      <c r="L140" s="83" t="s">
        <v>157</v>
      </c>
      <c r="M140" s="84">
        <v>2.5000000000000001E-2</v>
      </c>
      <c r="N140" s="84">
        <v>2.5400000002692061E-2</v>
      </c>
      <c r="O140" s="77">
        <v>1618.2547729999999</v>
      </c>
      <c r="P140" s="79">
        <v>101</v>
      </c>
      <c r="Q140" s="70"/>
      <c r="R140" s="77">
        <v>1.6344373139999997</v>
      </c>
      <c r="S140" s="78">
        <v>4.9668232927865572E-6</v>
      </c>
      <c r="T140" s="78">
        <f t="shared" si="4"/>
        <v>1.245145682339417E-3</v>
      </c>
      <c r="U140" s="78">
        <f>R140/'סכום נכסי הקרן'!$C$42</f>
        <v>2.0215308962398663E-5</v>
      </c>
    </row>
    <row r="141" spans="2:21">
      <c r="B141" s="76" t="s">
        <v>591</v>
      </c>
      <c r="C141" s="70" t="s">
        <v>592</v>
      </c>
      <c r="D141" s="83" t="s">
        <v>113</v>
      </c>
      <c r="E141" s="83" t="s">
        <v>280</v>
      </c>
      <c r="F141" s="70" t="s">
        <v>590</v>
      </c>
      <c r="G141" s="83" t="s">
        <v>345</v>
      </c>
      <c r="H141" s="70" t="s">
        <v>581</v>
      </c>
      <c r="I141" s="70" t="s">
        <v>153</v>
      </c>
      <c r="J141" s="70"/>
      <c r="K141" s="77">
        <v>6.5400000003019212</v>
      </c>
      <c r="L141" s="83" t="s">
        <v>157</v>
      </c>
      <c r="M141" s="84">
        <v>1.9E-2</v>
      </c>
      <c r="N141" s="84">
        <v>2.9300000000266398E-2</v>
      </c>
      <c r="O141" s="77">
        <v>3591.718687</v>
      </c>
      <c r="P141" s="79">
        <v>94.06</v>
      </c>
      <c r="Q141" s="70"/>
      <c r="R141" s="77">
        <v>3.378370587</v>
      </c>
      <c r="S141" s="78">
        <v>1.548603167382966E-5</v>
      </c>
      <c r="T141" s="78">
        <f t="shared" si="4"/>
        <v>2.5737074855753891E-3</v>
      </c>
      <c r="U141" s="78">
        <f>R141/'סכום נכסי הקרן'!$C$42</f>
        <v>4.178490335523822E-5</v>
      </c>
    </row>
    <row r="142" spans="2:21">
      <c r="B142" s="76" t="s">
        <v>593</v>
      </c>
      <c r="C142" s="70" t="s">
        <v>594</v>
      </c>
      <c r="D142" s="83" t="s">
        <v>113</v>
      </c>
      <c r="E142" s="83" t="s">
        <v>280</v>
      </c>
      <c r="F142" s="70" t="s">
        <v>580</v>
      </c>
      <c r="G142" s="83" t="s">
        <v>290</v>
      </c>
      <c r="H142" s="70" t="s">
        <v>595</v>
      </c>
      <c r="I142" s="70" t="s">
        <v>153</v>
      </c>
      <c r="J142" s="70"/>
      <c r="K142" s="77">
        <v>0.18999999986764735</v>
      </c>
      <c r="L142" s="83" t="s">
        <v>157</v>
      </c>
      <c r="M142" s="84">
        <v>5.2999999999999999E-2</v>
      </c>
      <c r="N142" s="84">
        <v>2.0200000003449192E-2</v>
      </c>
      <c r="O142" s="77">
        <v>2267.7027370000001</v>
      </c>
      <c r="P142" s="79">
        <v>109.95</v>
      </c>
      <c r="Q142" s="70"/>
      <c r="R142" s="77">
        <v>2.493339207</v>
      </c>
      <c r="S142" s="78">
        <v>8.7217323331000051E-6</v>
      </c>
      <c r="T142" s="78">
        <f t="shared" si="4"/>
        <v>1.8994736118730317E-3</v>
      </c>
      <c r="U142" s="78">
        <f>R142/'סכום נכסי הקרן'!$C$42</f>
        <v>3.0838516708978588E-5</v>
      </c>
    </row>
    <row r="143" spans="2:21">
      <c r="B143" s="76" t="s">
        <v>596</v>
      </c>
      <c r="C143" s="70" t="s">
        <v>597</v>
      </c>
      <c r="D143" s="83" t="s">
        <v>113</v>
      </c>
      <c r="E143" s="83" t="s">
        <v>280</v>
      </c>
      <c r="F143" s="70" t="s">
        <v>598</v>
      </c>
      <c r="G143" s="83" t="s">
        <v>599</v>
      </c>
      <c r="H143" s="70" t="s">
        <v>595</v>
      </c>
      <c r="I143" s="70" t="s">
        <v>153</v>
      </c>
      <c r="J143" s="70"/>
      <c r="K143" s="77">
        <v>0.99000063690210816</v>
      </c>
      <c r="L143" s="83" t="s">
        <v>157</v>
      </c>
      <c r="M143" s="84">
        <v>5.3499999999999999E-2</v>
      </c>
      <c r="N143" s="84">
        <v>2.139991083370486E-2</v>
      </c>
      <c r="O143" s="77">
        <v>1.4966999999999999E-2</v>
      </c>
      <c r="P143" s="79">
        <v>104.9</v>
      </c>
      <c r="Q143" s="70"/>
      <c r="R143" s="77">
        <v>1.5701000000000001E-5</v>
      </c>
      <c r="S143" s="78">
        <v>1.2741206741338691E-10</v>
      </c>
      <c r="T143" s="78">
        <f t="shared" si="4"/>
        <v>1.1961322830158533E-8</v>
      </c>
      <c r="U143" s="78">
        <f>R143/'סכום נכסי הקרן'!$C$42</f>
        <v>1.941956190671143E-10</v>
      </c>
    </row>
    <row r="144" spans="2:21">
      <c r="B144" s="76" t="s">
        <v>600</v>
      </c>
      <c r="C144" s="70" t="s">
        <v>601</v>
      </c>
      <c r="D144" s="83" t="s">
        <v>113</v>
      </c>
      <c r="E144" s="83" t="s">
        <v>280</v>
      </c>
      <c r="F144" s="70" t="s">
        <v>338</v>
      </c>
      <c r="G144" s="83" t="s">
        <v>290</v>
      </c>
      <c r="H144" s="70" t="s">
        <v>602</v>
      </c>
      <c r="I144" s="70" t="s">
        <v>284</v>
      </c>
      <c r="J144" s="70"/>
      <c r="K144" s="77">
        <v>1.4599999999773081</v>
      </c>
      <c r="L144" s="83" t="s">
        <v>157</v>
      </c>
      <c r="M144" s="84">
        <v>5.0999999999999997E-2</v>
      </c>
      <c r="N144" s="84">
        <v>1.7799999999697443E-2</v>
      </c>
      <c r="O144" s="77">
        <v>12379.971883</v>
      </c>
      <c r="P144" s="79">
        <v>126.61</v>
      </c>
      <c r="Q144" s="77">
        <v>0.19050126899999997</v>
      </c>
      <c r="R144" s="77">
        <v>15.864783966000001</v>
      </c>
      <c r="S144" s="78">
        <v>1.0791069090282717E-5</v>
      </c>
      <c r="T144" s="78">
        <f t="shared" si="4"/>
        <v>1.2086096595633962E-2</v>
      </c>
      <c r="U144" s="78">
        <f>R144/'סכום נכסי הקרן'!$C$42</f>
        <v>1.9622135810734342E-4</v>
      </c>
    </row>
    <row r="145" spans="2:21">
      <c r="B145" s="76" t="s">
        <v>603</v>
      </c>
      <c r="C145" s="70" t="s">
        <v>604</v>
      </c>
      <c r="D145" s="83" t="s">
        <v>113</v>
      </c>
      <c r="E145" s="83" t="s">
        <v>280</v>
      </c>
      <c r="F145" s="70" t="s">
        <v>513</v>
      </c>
      <c r="G145" s="83" t="s">
        <v>290</v>
      </c>
      <c r="H145" s="70" t="s">
        <v>602</v>
      </c>
      <c r="I145" s="70" t="s">
        <v>284</v>
      </c>
      <c r="J145" s="70"/>
      <c r="K145" s="77">
        <v>0.99000000006693079</v>
      </c>
      <c r="L145" s="83" t="s">
        <v>157</v>
      </c>
      <c r="M145" s="84">
        <v>2.4E-2</v>
      </c>
      <c r="N145" s="84">
        <v>1.8700000008700989E-2</v>
      </c>
      <c r="O145" s="77">
        <v>292.26976000000002</v>
      </c>
      <c r="P145" s="79">
        <v>102.24</v>
      </c>
      <c r="Q145" s="70"/>
      <c r="R145" s="77">
        <v>0.29881660199999999</v>
      </c>
      <c r="S145" s="78">
        <v>6.7162070548565686E-6</v>
      </c>
      <c r="T145" s="78">
        <f t="shared" si="4"/>
        <v>2.2764421651697318E-4</v>
      </c>
      <c r="U145" s="78">
        <f>R145/'סכום נכסי הקרן'!$C$42</f>
        <v>3.6958712829069168E-6</v>
      </c>
    </row>
    <row r="146" spans="2:21">
      <c r="B146" s="76" t="s">
        <v>605</v>
      </c>
      <c r="C146" s="70" t="s">
        <v>606</v>
      </c>
      <c r="D146" s="83" t="s">
        <v>113</v>
      </c>
      <c r="E146" s="83" t="s">
        <v>280</v>
      </c>
      <c r="F146" s="70" t="s">
        <v>530</v>
      </c>
      <c r="G146" s="83" t="s">
        <v>345</v>
      </c>
      <c r="H146" s="70" t="s">
        <v>602</v>
      </c>
      <c r="I146" s="70" t="s">
        <v>284</v>
      </c>
      <c r="J146" s="70"/>
      <c r="K146" s="77">
        <v>2.2800000058282412</v>
      </c>
      <c r="L146" s="83" t="s">
        <v>157</v>
      </c>
      <c r="M146" s="84">
        <v>3.4500000000000003E-2</v>
      </c>
      <c r="N146" s="84">
        <v>2.0600000067996147E-2</v>
      </c>
      <c r="O146" s="77">
        <v>99.803203999999994</v>
      </c>
      <c r="P146" s="79">
        <v>103.15</v>
      </c>
      <c r="Q146" s="70"/>
      <c r="R146" s="77">
        <v>0.10294700500000001</v>
      </c>
      <c r="S146" s="78">
        <v>3.1716609560064387E-7</v>
      </c>
      <c r="T146" s="78">
        <f t="shared" si="4"/>
        <v>7.8427002178392761E-5</v>
      </c>
      <c r="U146" s="78">
        <f>R146/'סכום נכסי הקרן'!$C$42</f>
        <v>1.2732856102847151E-6</v>
      </c>
    </row>
    <row r="147" spans="2:21">
      <c r="B147" s="76" t="s">
        <v>607</v>
      </c>
      <c r="C147" s="70" t="s">
        <v>608</v>
      </c>
      <c r="D147" s="83" t="s">
        <v>113</v>
      </c>
      <c r="E147" s="83" t="s">
        <v>280</v>
      </c>
      <c r="F147" s="70" t="s">
        <v>530</v>
      </c>
      <c r="G147" s="83" t="s">
        <v>345</v>
      </c>
      <c r="H147" s="70" t="s">
        <v>602</v>
      </c>
      <c r="I147" s="70" t="s">
        <v>284</v>
      </c>
      <c r="J147" s="70"/>
      <c r="K147" s="77">
        <v>3.987951807228916</v>
      </c>
      <c r="L147" s="83" t="s">
        <v>157</v>
      </c>
      <c r="M147" s="84">
        <v>2.0499999999999997E-2</v>
      </c>
      <c r="N147" s="84">
        <v>1.8072289156626505E-2</v>
      </c>
      <c r="O147" s="77">
        <v>8.099999999999999E-5</v>
      </c>
      <c r="P147" s="79">
        <v>102.2</v>
      </c>
      <c r="Q147" s="70"/>
      <c r="R147" s="77">
        <v>8.3000000000000002E-8</v>
      </c>
      <c r="S147" s="78">
        <v>1.5637209330340564E-13</v>
      </c>
      <c r="T147" s="78">
        <f t="shared" si="4"/>
        <v>6.3230991331963459E-11</v>
      </c>
      <c r="U147" s="78">
        <f>R147/'סכום נכסי הקרן'!$C$42</f>
        <v>1.0265738731654345E-12</v>
      </c>
    </row>
    <row r="148" spans="2:21">
      <c r="B148" s="76" t="s">
        <v>609</v>
      </c>
      <c r="C148" s="70" t="s">
        <v>610</v>
      </c>
      <c r="D148" s="83" t="s">
        <v>113</v>
      </c>
      <c r="E148" s="83" t="s">
        <v>280</v>
      </c>
      <c r="F148" s="70" t="s">
        <v>530</v>
      </c>
      <c r="G148" s="83" t="s">
        <v>345</v>
      </c>
      <c r="H148" s="70" t="s">
        <v>602</v>
      </c>
      <c r="I148" s="70" t="s">
        <v>284</v>
      </c>
      <c r="J148" s="70"/>
      <c r="K148" s="77">
        <v>4.5100000003330738</v>
      </c>
      <c r="L148" s="83" t="s">
        <v>157</v>
      </c>
      <c r="M148" s="84">
        <v>2.0499999999999997E-2</v>
      </c>
      <c r="N148" s="84">
        <v>1.9200000002317041E-2</v>
      </c>
      <c r="O148" s="77">
        <v>3367.4868569999999</v>
      </c>
      <c r="P148" s="79">
        <v>102.53</v>
      </c>
      <c r="Q148" s="70"/>
      <c r="R148" s="77">
        <v>3.452684235</v>
      </c>
      <c r="S148" s="78">
        <v>5.889593274556683E-6</v>
      </c>
      <c r="T148" s="78">
        <f t="shared" si="4"/>
        <v>2.6303210474131551E-3</v>
      </c>
      <c r="U148" s="78">
        <f>R148/'סכום נכסי הקרן'!$C$42</f>
        <v>4.2704041300496209E-5</v>
      </c>
    </row>
    <row r="149" spans="2:21">
      <c r="B149" s="76" t="s">
        <v>611</v>
      </c>
      <c r="C149" s="70" t="s">
        <v>612</v>
      </c>
      <c r="D149" s="83" t="s">
        <v>113</v>
      </c>
      <c r="E149" s="83" t="s">
        <v>280</v>
      </c>
      <c r="F149" s="70" t="s">
        <v>530</v>
      </c>
      <c r="G149" s="83" t="s">
        <v>345</v>
      </c>
      <c r="H149" s="70" t="s">
        <v>602</v>
      </c>
      <c r="I149" s="70" t="s">
        <v>284</v>
      </c>
      <c r="J149" s="70"/>
      <c r="K149" s="77">
        <v>7.0499999997140002</v>
      </c>
      <c r="L149" s="83" t="s">
        <v>157</v>
      </c>
      <c r="M149" s="84">
        <v>8.3999999999999995E-3</v>
      </c>
      <c r="N149" s="84">
        <v>1.8999999998786668E-2</v>
      </c>
      <c r="O149" s="77">
        <v>6211.4923099999987</v>
      </c>
      <c r="P149" s="79">
        <v>92.88</v>
      </c>
      <c r="Q149" s="70"/>
      <c r="R149" s="77">
        <v>5.7692338529999994</v>
      </c>
      <c r="S149" s="78">
        <v>1.2480419510587722E-5</v>
      </c>
      <c r="T149" s="78">
        <f t="shared" si="4"/>
        <v>4.3951129608567844E-3</v>
      </c>
      <c r="U149" s="78">
        <f>R149/'סכום נכסי הקרן'!$C$42</f>
        <v>7.1355960743028343E-5</v>
      </c>
    </row>
    <row r="150" spans="2:21">
      <c r="B150" s="76" t="s">
        <v>613</v>
      </c>
      <c r="C150" s="70" t="s">
        <v>614</v>
      </c>
      <c r="D150" s="83" t="s">
        <v>113</v>
      </c>
      <c r="E150" s="83" t="s">
        <v>280</v>
      </c>
      <c r="F150" s="70" t="s">
        <v>615</v>
      </c>
      <c r="G150" s="83" t="s">
        <v>184</v>
      </c>
      <c r="H150" s="70" t="s">
        <v>602</v>
      </c>
      <c r="I150" s="70" t="s">
        <v>284</v>
      </c>
      <c r="J150" s="70"/>
      <c r="K150" s="77">
        <v>2.4300000001783939</v>
      </c>
      <c r="L150" s="83" t="s">
        <v>157</v>
      </c>
      <c r="M150" s="84">
        <v>1.9799999999999998E-2</v>
      </c>
      <c r="N150" s="84">
        <v>3.6100000001220593E-2</v>
      </c>
      <c r="O150" s="77">
        <v>5502.9531949999991</v>
      </c>
      <c r="P150" s="79">
        <v>96.2</v>
      </c>
      <c r="Q150" s="77">
        <v>1.0964978429999999</v>
      </c>
      <c r="R150" s="77">
        <v>6.3903388020000005</v>
      </c>
      <c r="S150" s="78">
        <v>1.0752214667981661E-5</v>
      </c>
      <c r="T150" s="78">
        <f t="shared" si="4"/>
        <v>4.8682826192478525E-3</v>
      </c>
      <c r="U150" s="78">
        <f>R150/'סכום נכסי הקרן'!$C$42</f>
        <v>7.9038010298897624E-5</v>
      </c>
    </row>
    <row r="151" spans="2:21">
      <c r="B151" s="76" t="s">
        <v>616</v>
      </c>
      <c r="C151" s="70" t="s">
        <v>617</v>
      </c>
      <c r="D151" s="83" t="s">
        <v>113</v>
      </c>
      <c r="E151" s="83" t="s">
        <v>280</v>
      </c>
      <c r="F151" s="70" t="s">
        <v>618</v>
      </c>
      <c r="G151" s="83" t="s">
        <v>498</v>
      </c>
      <c r="H151" s="70" t="s">
        <v>619</v>
      </c>
      <c r="I151" s="70" t="s">
        <v>153</v>
      </c>
      <c r="J151" s="70"/>
      <c r="K151" s="77">
        <v>2.7808219178082187</v>
      </c>
      <c r="L151" s="83" t="s">
        <v>157</v>
      </c>
      <c r="M151" s="84">
        <v>4.6500000000000007E-2</v>
      </c>
      <c r="N151" s="84">
        <v>5.6849315068493153E-2</v>
      </c>
      <c r="O151" s="77">
        <v>7.2999999999999999E-5</v>
      </c>
      <c r="P151" s="79">
        <v>97.8</v>
      </c>
      <c r="Q151" s="77">
        <v>1.9999999999999997E-9</v>
      </c>
      <c r="R151" s="77">
        <v>7.3000000000000005E-8</v>
      </c>
      <c r="S151" s="78">
        <v>1.0186681402468804E-13</v>
      </c>
      <c r="T151" s="78">
        <f t="shared" si="4"/>
        <v>5.5612799605220876E-11</v>
      </c>
      <c r="U151" s="78">
        <f>R151/'סכום נכסי הקרן'!$C$42</f>
        <v>9.0289027398887617E-13</v>
      </c>
    </row>
    <row r="152" spans="2:21">
      <c r="B152" s="76" t="s">
        <v>620</v>
      </c>
      <c r="C152" s="70" t="s">
        <v>621</v>
      </c>
      <c r="D152" s="83" t="s">
        <v>113</v>
      </c>
      <c r="E152" s="83" t="s">
        <v>280</v>
      </c>
      <c r="F152" s="70" t="s">
        <v>622</v>
      </c>
      <c r="G152" s="83" t="s">
        <v>409</v>
      </c>
      <c r="H152" s="70" t="s">
        <v>619</v>
      </c>
      <c r="I152" s="70" t="s">
        <v>153</v>
      </c>
      <c r="J152" s="70"/>
      <c r="K152" s="77">
        <v>6.150000000349352</v>
      </c>
      <c r="L152" s="83" t="s">
        <v>157</v>
      </c>
      <c r="M152" s="84">
        <v>2.75E-2</v>
      </c>
      <c r="N152" s="84">
        <v>1.6200000000998149E-2</v>
      </c>
      <c r="O152" s="77">
        <v>4680.6809659999999</v>
      </c>
      <c r="P152" s="79">
        <v>107.02</v>
      </c>
      <c r="Q152" s="70"/>
      <c r="R152" s="77">
        <v>5.0092646750000007</v>
      </c>
      <c r="S152" s="78">
        <v>1.1701702415E-5</v>
      </c>
      <c r="T152" s="78">
        <f t="shared" si="4"/>
        <v>3.8161538704148891E-3</v>
      </c>
      <c r="U152" s="78">
        <f>R152/'סכום נכסי הקרן'!$C$42</f>
        <v>6.19563884231993E-5</v>
      </c>
    </row>
    <row r="153" spans="2:21">
      <c r="B153" s="76" t="s">
        <v>623</v>
      </c>
      <c r="C153" s="70" t="s">
        <v>624</v>
      </c>
      <c r="D153" s="83" t="s">
        <v>113</v>
      </c>
      <c r="E153" s="83" t="s">
        <v>280</v>
      </c>
      <c r="F153" s="70" t="s">
        <v>625</v>
      </c>
      <c r="G153" s="83" t="s">
        <v>498</v>
      </c>
      <c r="H153" s="70" t="s">
        <v>619</v>
      </c>
      <c r="I153" s="70" t="s">
        <v>153</v>
      </c>
      <c r="J153" s="70"/>
      <c r="K153" s="77">
        <v>0.5200000005076556</v>
      </c>
      <c r="L153" s="83" t="s">
        <v>157</v>
      </c>
      <c r="M153" s="84">
        <v>4.8000000000000001E-2</v>
      </c>
      <c r="N153" s="84">
        <v>3.6800000009427888E-2</v>
      </c>
      <c r="O153" s="77">
        <v>536.53204600000004</v>
      </c>
      <c r="P153" s="79">
        <v>100.4</v>
      </c>
      <c r="Q153" s="77">
        <v>1.2876769E-2</v>
      </c>
      <c r="R153" s="77">
        <v>0.55155496100000001</v>
      </c>
      <c r="S153" s="78">
        <v>6.8924007759107961E-6</v>
      </c>
      <c r="T153" s="78">
        <f t="shared" si="4"/>
        <v>4.201851440734029E-4</v>
      </c>
      <c r="U153" s="78">
        <f>R153/'סכום נכסי הקרן'!$C$42</f>
        <v>6.8218302720166283E-6</v>
      </c>
    </row>
    <row r="154" spans="2:21">
      <c r="B154" s="76" t="s">
        <v>626</v>
      </c>
      <c r="C154" s="70" t="s">
        <v>627</v>
      </c>
      <c r="D154" s="83" t="s">
        <v>113</v>
      </c>
      <c r="E154" s="83" t="s">
        <v>280</v>
      </c>
      <c r="F154" s="70" t="s">
        <v>628</v>
      </c>
      <c r="G154" s="83" t="s">
        <v>498</v>
      </c>
      <c r="H154" s="70" t="s">
        <v>629</v>
      </c>
      <c r="I154" s="70" t="s">
        <v>284</v>
      </c>
      <c r="J154" s="70"/>
      <c r="K154" s="77">
        <v>0.14000000035611646</v>
      </c>
      <c r="L154" s="83" t="s">
        <v>157</v>
      </c>
      <c r="M154" s="84">
        <v>5.4000000000000006E-2</v>
      </c>
      <c r="N154" s="84">
        <v>0.21460000020565725</v>
      </c>
      <c r="O154" s="77">
        <v>443.87590899999998</v>
      </c>
      <c r="P154" s="79">
        <v>101.22</v>
      </c>
      <c r="Q154" s="70"/>
      <c r="R154" s="77">
        <v>0.44929120600000005</v>
      </c>
      <c r="S154" s="78">
        <v>1.232988636111111E-5</v>
      </c>
      <c r="T154" s="78">
        <f t="shared" si="4"/>
        <v>3.4227865484473991E-4</v>
      </c>
      <c r="U154" s="78">
        <f>R154/'סכום נכסי הקרן'!$C$42</f>
        <v>5.5569953436456526E-6</v>
      </c>
    </row>
    <row r="155" spans="2:21">
      <c r="B155" s="76" t="s">
        <v>630</v>
      </c>
      <c r="C155" s="70" t="s">
        <v>631</v>
      </c>
      <c r="D155" s="83" t="s">
        <v>113</v>
      </c>
      <c r="E155" s="83" t="s">
        <v>280</v>
      </c>
      <c r="F155" s="70" t="s">
        <v>628</v>
      </c>
      <c r="G155" s="83" t="s">
        <v>498</v>
      </c>
      <c r="H155" s="70" t="s">
        <v>629</v>
      </c>
      <c r="I155" s="70" t="s">
        <v>284</v>
      </c>
      <c r="J155" s="70"/>
      <c r="K155" s="77">
        <v>1.7300000006786607</v>
      </c>
      <c r="L155" s="83" t="s">
        <v>157</v>
      </c>
      <c r="M155" s="84">
        <v>2.5000000000000001E-2</v>
      </c>
      <c r="N155" s="84">
        <v>0.12090000004163129</v>
      </c>
      <c r="O155" s="77">
        <v>1147.9509640000001</v>
      </c>
      <c r="P155" s="79">
        <v>86</v>
      </c>
      <c r="Q155" s="70"/>
      <c r="R155" s="77">
        <v>0.98723782100000013</v>
      </c>
      <c r="S155" s="78">
        <v>3.9296575088727449E-6</v>
      </c>
      <c r="T155" s="78">
        <f t="shared" si="4"/>
        <v>7.5209670002695779E-4</v>
      </c>
      <c r="U155" s="78">
        <f>R155/'סכום נכסי הקרן'!$C$42</f>
        <v>1.2210512694450289E-5</v>
      </c>
    </row>
    <row r="156" spans="2:21">
      <c r="B156" s="76" t="s">
        <v>632</v>
      </c>
      <c r="C156" s="70" t="s">
        <v>633</v>
      </c>
      <c r="D156" s="83" t="s">
        <v>113</v>
      </c>
      <c r="E156" s="83" t="s">
        <v>280</v>
      </c>
      <c r="F156" s="70" t="s">
        <v>634</v>
      </c>
      <c r="G156" s="83" t="s">
        <v>635</v>
      </c>
      <c r="H156" s="70" t="s">
        <v>636</v>
      </c>
      <c r="I156" s="70" t="s">
        <v>284</v>
      </c>
      <c r="J156" s="70"/>
      <c r="K156" s="79">
        <v>0</v>
      </c>
      <c r="L156" s="83" t="s">
        <v>157</v>
      </c>
      <c r="M156" s="84">
        <v>4.9000000000000002E-2</v>
      </c>
      <c r="N156" s="78">
        <v>0</v>
      </c>
      <c r="O156" s="77">
        <v>2379.1883630000002</v>
      </c>
      <c r="P156" s="79">
        <v>18.72</v>
      </c>
      <c r="Q156" s="70"/>
      <c r="R156" s="77">
        <v>0.44538407799999996</v>
      </c>
      <c r="S156" s="78">
        <v>3.2799258555017163E-6</v>
      </c>
      <c r="T156" s="78">
        <f t="shared" si="4"/>
        <v>3.3930212982424737E-4</v>
      </c>
      <c r="U156" s="78">
        <f>R156/'סכום נכסי הקרן'!$C$42</f>
        <v>5.5086705782973002E-6</v>
      </c>
    </row>
    <row r="157" spans="2:21">
      <c r="B157" s="76" t="s">
        <v>641</v>
      </c>
      <c r="C157" s="70" t="s">
        <v>642</v>
      </c>
      <c r="D157" s="83" t="s">
        <v>113</v>
      </c>
      <c r="E157" s="83" t="s">
        <v>280</v>
      </c>
      <c r="F157" s="70" t="s">
        <v>643</v>
      </c>
      <c r="G157" s="83" t="s">
        <v>345</v>
      </c>
      <c r="H157" s="70" t="s">
        <v>640</v>
      </c>
      <c r="I157" s="70"/>
      <c r="J157" s="70"/>
      <c r="K157" s="77">
        <v>1.9799999997017719</v>
      </c>
      <c r="L157" s="83" t="s">
        <v>157</v>
      </c>
      <c r="M157" s="84">
        <v>0.01</v>
      </c>
      <c r="N157" s="84">
        <v>3.3999999994408212E-2</v>
      </c>
      <c r="O157" s="77">
        <v>2221.31</v>
      </c>
      <c r="P157" s="79">
        <v>96.61</v>
      </c>
      <c r="Q157" s="70"/>
      <c r="R157" s="77">
        <v>2.1460076180000001</v>
      </c>
      <c r="S157" s="78">
        <v>4.2988326456677067E-6</v>
      </c>
      <c r="T157" s="78">
        <f t="shared" si="4"/>
        <v>1.6348697480974162E-3</v>
      </c>
      <c r="U157" s="78">
        <f>R157/'סכום נכסי הקרן'!$C$42</f>
        <v>2.6542594605455281E-5</v>
      </c>
    </row>
    <row r="158" spans="2:21">
      <c r="B158" s="76" t="s">
        <v>644</v>
      </c>
      <c r="C158" s="70" t="s">
        <v>645</v>
      </c>
      <c r="D158" s="83" t="s">
        <v>113</v>
      </c>
      <c r="E158" s="83" t="s">
        <v>280</v>
      </c>
      <c r="F158" s="70" t="s">
        <v>646</v>
      </c>
      <c r="G158" s="83" t="s">
        <v>345</v>
      </c>
      <c r="H158" s="70" t="s">
        <v>640</v>
      </c>
      <c r="I158" s="70"/>
      <c r="J158" s="70"/>
      <c r="K158" s="77">
        <v>2.4300000015094212</v>
      </c>
      <c r="L158" s="83" t="s">
        <v>157</v>
      </c>
      <c r="M158" s="84">
        <v>2.1000000000000001E-2</v>
      </c>
      <c r="N158" s="84">
        <v>1.8400000007547108E-2</v>
      </c>
      <c r="O158" s="77">
        <v>362.02500600000002</v>
      </c>
      <c r="P158" s="79">
        <v>102.48</v>
      </c>
      <c r="Q158" s="70"/>
      <c r="R158" s="77">
        <v>0.37100320799999992</v>
      </c>
      <c r="S158" s="78">
        <v>1.4730768072671544E-6</v>
      </c>
      <c r="T158" s="78">
        <f t="shared" si="4"/>
        <v>2.8263735697805576E-4</v>
      </c>
      <c r="U158" s="78">
        <f>R158/'סכום נכסי הקרן'!$C$42</f>
        <v>4.58870120714893E-6</v>
      </c>
    </row>
    <row r="159" spans="2:21">
      <c r="B159" s="76" t="s">
        <v>647</v>
      </c>
      <c r="C159" s="70" t="s">
        <v>648</v>
      </c>
      <c r="D159" s="83" t="s">
        <v>113</v>
      </c>
      <c r="E159" s="83" t="s">
        <v>280</v>
      </c>
      <c r="F159" s="70" t="s">
        <v>646</v>
      </c>
      <c r="G159" s="83" t="s">
        <v>345</v>
      </c>
      <c r="H159" s="70" t="s">
        <v>640</v>
      </c>
      <c r="I159" s="70"/>
      <c r="J159" s="70"/>
      <c r="K159" s="77">
        <v>5.9299999995513657</v>
      </c>
      <c r="L159" s="83" t="s">
        <v>157</v>
      </c>
      <c r="M159" s="84">
        <v>2.75E-2</v>
      </c>
      <c r="N159" s="84">
        <v>1.7699999998121628E-2</v>
      </c>
      <c r="O159" s="77">
        <v>6122.1842239999996</v>
      </c>
      <c r="P159" s="79">
        <v>105.22</v>
      </c>
      <c r="Q159" s="70"/>
      <c r="R159" s="77">
        <v>6.4417621729999999</v>
      </c>
      <c r="S159" s="78">
        <v>1.5418012047950034E-5</v>
      </c>
      <c r="T159" s="78">
        <f t="shared" si="4"/>
        <v>4.9074579291991938E-3</v>
      </c>
      <c r="U159" s="78">
        <f>R159/'סכום נכסי הקרן'!$C$42</f>
        <v>7.967403305960476E-5</v>
      </c>
    </row>
    <row r="160" spans="2:21">
      <c r="B160" s="73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7"/>
      <c r="P160" s="79"/>
      <c r="Q160" s="70"/>
      <c r="R160" s="70"/>
      <c r="S160" s="70"/>
      <c r="T160" s="78"/>
      <c r="U160" s="70"/>
    </row>
    <row r="161" spans="2:21">
      <c r="B161" s="89" t="s">
        <v>42</v>
      </c>
      <c r="C161" s="72"/>
      <c r="D161" s="72"/>
      <c r="E161" s="72"/>
      <c r="F161" s="72"/>
      <c r="G161" s="72"/>
      <c r="H161" s="72"/>
      <c r="I161" s="72"/>
      <c r="J161" s="72"/>
      <c r="K161" s="80">
        <v>4.9062098239549883</v>
      </c>
      <c r="L161" s="72"/>
      <c r="M161" s="72"/>
      <c r="N161" s="94">
        <v>3.9101094942184181E-2</v>
      </c>
      <c r="O161" s="80"/>
      <c r="P161" s="82"/>
      <c r="Q161" s="80">
        <v>1.020972124</v>
      </c>
      <c r="R161" s="80">
        <f>SUM(R162:R243)</f>
        <v>255.60258910800007</v>
      </c>
      <c r="S161" s="72"/>
      <c r="T161" s="81">
        <f t="shared" ref="T161:T224" si="5">R161/$R$11</f>
        <v>0.19472295296765504</v>
      </c>
      <c r="U161" s="81">
        <f>R161/'סכום נכסי הקרן'!$C$42</f>
        <v>3.1613848179724425E-3</v>
      </c>
    </row>
    <row r="162" spans="2:21">
      <c r="B162" s="76" t="s">
        <v>649</v>
      </c>
      <c r="C162" s="70" t="s">
        <v>650</v>
      </c>
      <c r="D162" s="83" t="s">
        <v>113</v>
      </c>
      <c r="E162" s="83" t="s">
        <v>280</v>
      </c>
      <c r="F162" s="70" t="s">
        <v>341</v>
      </c>
      <c r="G162" s="83" t="s">
        <v>290</v>
      </c>
      <c r="H162" s="70" t="s">
        <v>298</v>
      </c>
      <c r="I162" s="70" t="s">
        <v>153</v>
      </c>
      <c r="J162" s="70"/>
      <c r="K162" s="77">
        <v>2.3611111111111112</v>
      </c>
      <c r="L162" s="83" t="s">
        <v>157</v>
      </c>
      <c r="M162" s="84">
        <v>1.8700000000000001E-2</v>
      </c>
      <c r="N162" s="84">
        <v>7.4999999999999989E-3</v>
      </c>
      <c r="O162" s="77">
        <v>3.4E-5</v>
      </c>
      <c r="P162" s="79">
        <v>103.72</v>
      </c>
      <c r="Q162" s="70"/>
      <c r="R162" s="77">
        <v>3.5999999999999998E-8</v>
      </c>
      <c r="S162" s="78">
        <v>2.45861007671319E-14</v>
      </c>
      <c r="T162" s="78">
        <f t="shared" si="5"/>
        <v>2.7425490216273305E-11</v>
      </c>
      <c r="U162" s="78">
        <f>R162/'סכום נכסי הקרן'!$C$42</f>
        <v>4.452609570356101E-13</v>
      </c>
    </row>
    <row r="163" spans="2:21">
      <c r="B163" s="76" t="s">
        <v>651</v>
      </c>
      <c r="C163" s="70" t="s">
        <v>652</v>
      </c>
      <c r="D163" s="83" t="s">
        <v>113</v>
      </c>
      <c r="E163" s="83" t="s">
        <v>280</v>
      </c>
      <c r="F163" s="70" t="s">
        <v>341</v>
      </c>
      <c r="G163" s="83" t="s">
        <v>290</v>
      </c>
      <c r="H163" s="70" t="s">
        <v>298</v>
      </c>
      <c r="I163" s="70" t="s">
        <v>153</v>
      </c>
      <c r="J163" s="70"/>
      <c r="K163" s="77">
        <v>5.0899999999504031</v>
      </c>
      <c r="L163" s="83" t="s">
        <v>157</v>
      </c>
      <c r="M163" s="84">
        <v>2.6800000000000001E-2</v>
      </c>
      <c r="N163" s="84">
        <v>1.0999999999898783E-2</v>
      </c>
      <c r="O163" s="77">
        <v>18012.479964999999</v>
      </c>
      <c r="P163" s="79">
        <v>109.7</v>
      </c>
      <c r="Q163" s="70"/>
      <c r="R163" s="77">
        <v>19.759690721999998</v>
      </c>
      <c r="S163" s="78">
        <v>7.4790427066639523E-6</v>
      </c>
      <c r="T163" s="78">
        <f t="shared" si="5"/>
        <v>1.5053311238133261E-2</v>
      </c>
      <c r="U163" s="78">
        <f>R163/'סכום נכסי הקרן'!$C$42</f>
        <v>2.4439496671126073E-4</v>
      </c>
    </row>
    <row r="164" spans="2:21">
      <c r="B164" s="76" t="s">
        <v>653</v>
      </c>
      <c r="C164" s="70" t="s">
        <v>654</v>
      </c>
      <c r="D164" s="83" t="s">
        <v>113</v>
      </c>
      <c r="E164" s="83" t="s">
        <v>280</v>
      </c>
      <c r="F164" s="70" t="s">
        <v>655</v>
      </c>
      <c r="G164" s="83" t="s">
        <v>345</v>
      </c>
      <c r="H164" s="70" t="s">
        <v>298</v>
      </c>
      <c r="I164" s="70" t="s">
        <v>153</v>
      </c>
      <c r="J164" s="70"/>
      <c r="K164" s="77">
        <v>3.8900000007622397</v>
      </c>
      <c r="L164" s="83" t="s">
        <v>157</v>
      </c>
      <c r="M164" s="84">
        <v>1.44E-2</v>
      </c>
      <c r="N164" s="84">
        <v>7.2000000071740199E-3</v>
      </c>
      <c r="O164" s="77">
        <v>432.22276499999998</v>
      </c>
      <c r="P164" s="79">
        <v>103.2</v>
      </c>
      <c r="Q164" s="70"/>
      <c r="R164" s="77">
        <v>0.44605389400000001</v>
      </c>
      <c r="S164" s="78">
        <v>5.4027845625E-7</v>
      </c>
      <c r="T164" s="78">
        <f t="shared" si="5"/>
        <v>3.3981240849521139E-4</v>
      </c>
      <c r="U164" s="78">
        <f>R164/'סכום נכסי הקרן'!$C$42</f>
        <v>5.5169551036639054E-6</v>
      </c>
    </row>
    <row r="165" spans="2:21">
      <c r="B165" s="76" t="s">
        <v>656</v>
      </c>
      <c r="C165" s="70" t="s">
        <v>657</v>
      </c>
      <c r="D165" s="83" t="s">
        <v>113</v>
      </c>
      <c r="E165" s="83" t="s">
        <v>280</v>
      </c>
      <c r="F165" s="70" t="s">
        <v>338</v>
      </c>
      <c r="G165" s="83" t="s">
        <v>290</v>
      </c>
      <c r="H165" s="70" t="s">
        <v>333</v>
      </c>
      <c r="I165" s="70" t="s">
        <v>153</v>
      </c>
      <c r="J165" s="70"/>
      <c r="K165" s="77">
        <v>1.3880597014925373</v>
      </c>
      <c r="L165" s="83" t="s">
        <v>157</v>
      </c>
      <c r="M165" s="84">
        <v>6.4000000000000001E-2</v>
      </c>
      <c r="N165" s="84">
        <v>7.761194029850745E-3</v>
      </c>
      <c r="O165" s="77">
        <v>6.2000000000000003E-5</v>
      </c>
      <c r="P165" s="79">
        <v>108.41</v>
      </c>
      <c r="Q165" s="70"/>
      <c r="R165" s="77">
        <v>6.7000000000000004E-8</v>
      </c>
      <c r="S165" s="78">
        <v>3.8105071662118641E-13</v>
      </c>
      <c r="T165" s="78">
        <f t="shared" si="5"/>
        <v>5.1041884569175323E-11</v>
      </c>
      <c r="U165" s="78">
        <f>R165/'סכום נכסי הקרן'!$C$42</f>
        <v>8.2868011448294108E-13</v>
      </c>
    </row>
    <row r="166" spans="2:21">
      <c r="B166" s="76" t="s">
        <v>658</v>
      </c>
      <c r="C166" s="70" t="s">
        <v>659</v>
      </c>
      <c r="D166" s="83" t="s">
        <v>113</v>
      </c>
      <c r="E166" s="83" t="s">
        <v>280</v>
      </c>
      <c r="F166" s="70" t="s">
        <v>351</v>
      </c>
      <c r="G166" s="83" t="s">
        <v>345</v>
      </c>
      <c r="H166" s="70" t="s">
        <v>333</v>
      </c>
      <c r="I166" s="70" t="s">
        <v>153</v>
      </c>
      <c r="J166" s="70"/>
      <c r="K166" s="77">
        <v>2.9500000001521904</v>
      </c>
      <c r="L166" s="83" t="s">
        <v>157</v>
      </c>
      <c r="M166" s="84">
        <v>1.6299999999999999E-2</v>
      </c>
      <c r="N166" s="84">
        <v>5.8999999996279771E-3</v>
      </c>
      <c r="O166" s="77">
        <v>2868.1886009999998</v>
      </c>
      <c r="P166" s="79">
        <v>103.09</v>
      </c>
      <c r="Q166" s="70"/>
      <c r="R166" s="77">
        <v>2.9568156290000003</v>
      </c>
      <c r="S166" s="78">
        <v>3.4422159800489413E-6</v>
      </c>
      <c r="T166" s="78">
        <f t="shared" si="5"/>
        <v>2.2525588362350977E-3</v>
      </c>
      <c r="U166" s="78">
        <f>R166/'סכום נכסי הקרן'!$C$42</f>
        <v>3.6570959909621933E-5</v>
      </c>
    </row>
    <row r="167" spans="2:21">
      <c r="B167" s="76" t="s">
        <v>660</v>
      </c>
      <c r="C167" s="70" t="s">
        <v>661</v>
      </c>
      <c r="D167" s="83" t="s">
        <v>113</v>
      </c>
      <c r="E167" s="83" t="s">
        <v>280</v>
      </c>
      <c r="F167" s="70" t="s">
        <v>322</v>
      </c>
      <c r="G167" s="83" t="s">
        <v>290</v>
      </c>
      <c r="H167" s="70" t="s">
        <v>333</v>
      </c>
      <c r="I167" s="70" t="s">
        <v>153</v>
      </c>
      <c r="J167" s="70"/>
      <c r="K167" s="77">
        <v>0.74132492113564663</v>
      </c>
      <c r="L167" s="83" t="s">
        <v>157</v>
      </c>
      <c r="M167" s="84">
        <v>6.0999999999999999E-2</v>
      </c>
      <c r="N167" s="84">
        <v>1.1041009463722397E-3</v>
      </c>
      <c r="O167" s="77">
        <v>2.9999999999999997E-4</v>
      </c>
      <c r="P167" s="79">
        <v>106.01</v>
      </c>
      <c r="Q167" s="70"/>
      <c r="R167" s="77">
        <v>3.1699999999999999E-7</v>
      </c>
      <c r="S167" s="78">
        <v>8.7565178410840281E-13</v>
      </c>
      <c r="T167" s="78">
        <f t="shared" si="5"/>
        <v>2.4149667773773996E-10</v>
      </c>
      <c r="U167" s="78">
        <f>R167/'סכום נכסי הקרן'!$C$42</f>
        <v>3.9207700938969004E-12</v>
      </c>
    </row>
    <row r="168" spans="2:21">
      <c r="B168" s="76" t="s">
        <v>662</v>
      </c>
      <c r="C168" s="70" t="s">
        <v>663</v>
      </c>
      <c r="D168" s="83" t="s">
        <v>113</v>
      </c>
      <c r="E168" s="83" t="s">
        <v>280</v>
      </c>
      <c r="F168" s="70" t="s">
        <v>664</v>
      </c>
      <c r="G168" s="83" t="s">
        <v>665</v>
      </c>
      <c r="H168" s="70" t="s">
        <v>333</v>
      </c>
      <c r="I168" s="70" t="s">
        <v>153</v>
      </c>
      <c r="J168" s="70"/>
      <c r="K168" s="77">
        <v>4.699999998574059</v>
      </c>
      <c r="L168" s="83" t="s">
        <v>157</v>
      </c>
      <c r="M168" s="84">
        <v>2.6099999999999998E-2</v>
      </c>
      <c r="N168" s="84">
        <v>9.2999999947156325E-3</v>
      </c>
      <c r="O168" s="77">
        <v>1102.6598140000001</v>
      </c>
      <c r="P168" s="79">
        <v>108.12</v>
      </c>
      <c r="Q168" s="70"/>
      <c r="R168" s="77">
        <v>1.1921957910000001</v>
      </c>
      <c r="S168" s="78">
        <v>1.9245091144806135E-6</v>
      </c>
      <c r="T168" s="78">
        <f t="shared" si="5"/>
        <v>9.0823761116535324E-4</v>
      </c>
      <c r="U168" s="78">
        <f>R168/'סכום נכסי הקרן'!$C$42</f>
        <v>1.4745506635402397E-5</v>
      </c>
    </row>
    <row r="169" spans="2:21">
      <c r="B169" s="76" t="s">
        <v>666</v>
      </c>
      <c r="C169" s="70" t="s">
        <v>667</v>
      </c>
      <c r="D169" s="83" t="s">
        <v>113</v>
      </c>
      <c r="E169" s="83" t="s">
        <v>280</v>
      </c>
      <c r="F169" s="70" t="s">
        <v>668</v>
      </c>
      <c r="G169" s="83" t="s">
        <v>465</v>
      </c>
      <c r="H169" s="70" t="s">
        <v>375</v>
      </c>
      <c r="I169" s="70" t="s">
        <v>284</v>
      </c>
      <c r="J169" s="70"/>
      <c r="K169" s="77">
        <v>10.820000001583498</v>
      </c>
      <c r="L169" s="83" t="s">
        <v>157</v>
      </c>
      <c r="M169" s="84">
        <v>2.4E-2</v>
      </c>
      <c r="N169" s="84">
        <v>3.010000000598639E-2</v>
      </c>
      <c r="O169" s="77">
        <v>2757.405906</v>
      </c>
      <c r="P169" s="79">
        <v>93.9</v>
      </c>
      <c r="Q169" s="70"/>
      <c r="R169" s="77">
        <v>2.5892041450000001</v>
      </c>
      <c r="S169" s="78">
        <v>3.5980086720513588E-6</v>
      </c>
      <c r="T169" s="78">
        <f t="shared" si="5"/>
        <v>1.9725053596286609E-3</v>
      </c>
      <c r="U169" s="78">
        <f>R169/'סכום נכסי הקרן'!$C$42</f>
        <v>3.2024208765646355E-5</v>
      </c>
    </row>
    <row r="170" spans="2:21">
      <c r="B170" s="76" t="s">
        <v>669</v>
      </c>
      <c r="C170" s="70" t="s">
        <v>670</v>
      </c>
      <c r="D170" s="83" t="s">
        <v>113</v>
      </c>
      <c r="E170" s="83" t="s">
        <v>280</v>
      </c>
      <c r="F170" s="70" t="s">
        <v>380</v>
      </c>
      <c r="G170" s="83" t="s">
        <v>345</v>
      </c>
      <c r="H170" s="70" t="s">
        <v>381</v>
      </c>
      <c r="I170" s="70" t="s">
        <v>153</v>
      </c>
      <c r="J170" s="70"/>
      <c r="K170" s="77">
        <v>3.2399999998171487</v>
      </c>
      <c r="L170" s="83" t="s">
        <v>157</v>
      </c>
      <c r="M170" s="84">
        <v>3.39E-2</v>
      </c>
      <c r="N170" s="84">
        <v>1.6100000000866133E-2</v>
      </c>
      <c r="O170" s="77">
        <v>3867.4882520000001</v>
      </c>
      <c r="P170" s="79">
        <v>107.47</v>
      </c>
      <c r="Q170" s="70"/>
      <c r="R170" s="77">
        <v>4.156389624</v>
      </c>
      <c r="S170" s="78">
        <v>3.5638060070977781E-6</v>
      </c>
      <c r="T170" s="78">
        <f t="shared" si="5"/>
        <v>3.1664173046675524E-3</v>
      </c>
      <c r="U170" s="78">
        <f>R170/'סכום נכסי הקרן'!$C$42</f>
        <v>5.1407722827642214E-5</v>
      </c>
    </row>
    <row r="171" spans="2:21">
      <c r="B171" s="76" t="s">
        <v>671</v>
      </c>
      <c r="C171" s="70" t="s">
        <v>672</v>
      </c>
      <c r="D171" s="83" t="s">
        <v>113</v>
      </c>
      <c r="E171" s="83" t="s">
        <v>280</v>
      </c>
      <c r="F171" s="70" t="s">
        <v>380</v>
      </c>
      <c r="G171" s="83" t="s">
        <v>345</v>
      </c>
      <c r="H171" s="70" t="s">
        <v>381</v>
      </c>
      <c r="I171" s="70" t="s">
        <v>153</v>
      </c>
      <c r="J171" s="70"/>
      <c r="K171" s="77">
        <v>8.8900000004323214</v>
      </c>
      <c r="L171" s="83" t="s">
        <v>157</v>
      </c>
      <c r="M171" s="84">
        <v>2.4399999999999998E-2</v>
      </c>
      <c r="N171" s="84">
        <v>2.7700000002103816E-2</v>
      </c>
      <c r="O171" s="77">
        <v>4408.79954</v>
      </c>
      <c r="P171" s="79">
        <v>98.11</v>
      </c>
      <c r="Q171" s="70"/>
      <c r="R171" s="77">
        <v>4.3254730170000002</v>
      </c>
      <c r="S171" s="78">
        <v>9.4812893333333332E-6</v>
      </c>
      <c r="T171" s="78">
        <f t="shared" si="5"/>
        <v>3.2952282752357689E-3</v>
      </c>
      <c r="U171" s="78">
        <f>R171/'סכום נכסי הקרן'!$C$42</f>
        <v>5.3499007088364669E-5</v>
      </c>
    </row>
    <row r="172" spans="2:21">
      <c r="B172" s="76" t="s">
        <v>673</v>
      </c>
      <c r="C172" s="70" t="s">
        <v>674</v>
      </c>
      <c r="D172" s="83" t="s">
        <v>113</v>
      </c>
      <c r="E172" s="83" t="s">
        <v>280</v>
      </c>
      <c r="F172" s="70" t="s">
        <v>303</v>
      </c>
      <c r="G172" s="83" t="s">
        <v>290</v>
      </c>
      <c r="H172" s="70" t="s">
        <v>381</v>
      </c>
      <c r="I172" s="70" t="s">
        <v>153</v>
      </c>
      <c r="J172" s="70"/>
      <c r="K172" s="77">
        <v>0.58999999998297592</v>
      </c>
      <c r="L172" s="83" t="s">
        <v>157</v>
      </c>
      <c r="M172" s="84">
        <v>1.4800000000000001E-2</v>
      </c>
      <c r="N172" s="84">
        <v>9.3000000000464308E-3</v>
      </c>
      <c r="O172" s="77">
        <v>6426.6972589999996</v>
      </c>
      <c r="P172" s="79">
        <v>100.54</v>
      </c>
      <c r="Q172" s="70"/>
      <c r="R172" s="77">
        <v>6.4614015289999998</v>
      </c>
      <c r="S172" s="78">
        <v>7.9327723003109826E-6</v>
      </c>
      <c r="T172" s="78">
        <f t="shared" si="5"/>
        <v>4.9224195671389685E-3</v>
      </c>
      <c r="U172" s="78">
        <f>R172/'סכום נכסי הקרן'!$C$42</f>
        <v>7.9916939683163731E-5</v>
      </c>
    </row>
    <row r="173" spans="2:21">
      <c r="B173" s="76" t="s">
        <v>675</v>
      </c>
      <c r="C173" s="70" t="s">
        <v>676</v>
      </c>
      <c r="D173" s="83" t="s">
        <v>113</v>
      </c>
      <c r="E173" s="83" t="s">
        <v>280</v>
      </c>
      <c r="F173" s="70" t="s">
        <v>399</v>
      </c>
      <c r="G173" s="83" t="s">
        <v>345</v>
      </c>
      <c r="H173" s="70" t="s">
        <v>375</v>
      </c>
      <c r="I173" s="70" t="s">
        <v>284</v>
      </c>
      <c r="J173" s="70"/>
      <c r="K173" s="77">
        <v>8.0700000000722056</v>
      </c>
      <c r="L173" s="83" t="s">
        <v>157</v>
      </c>
      <c r="M173" s="84">
        <v>2.5499999999999998E-2</v>
      </c>
      <c r="N173" s="84">
        <v>2.4600000000324185E-2</v>
      </c>
      <c r="O173" s="77">
        <v>13456.577273000001</v>
      </c>
      <c r="P173" s="79">
        <v>100.86</v>
      </c>
      <c r="Q173" s="70"/>
      <c r="R173" s="77">
        <v>13.572304286000001</v>
      </c>
      <c r="S173" s="78">
        <v>1.3776231300740473E-5</v>
      </c>
      <c r="T173" s="78">
        <f t="shared" si="5"/>
        <v>1.0339641622443814E-2</v>
      </c>
      <c r="U173" s="78">
        <f>R173/'סכום נכסי הקרן'!$C$42</f>
        <v>1.6786714432119094E-4</v>
      </c>
    </row>
    <row r="174" spans="2:21">
      <c r="B174" s="76" t="s">
        <v>677</v>
      </c>
      <c r="C174" s="70" t="s">
        <v>678</v>
      </c>
      <c r="D174" s="83" t="s">
        <v>113</v>
      </c>
      <c r="E174" s="83" t="s">
        <v>280</v>
      </c>
      <c r="F174" s="70" t="s">
        <v>679</v>
      </c>
      <c r="G174" s="83" t="s">
        <v>498</v>
      </c>
      <c r="H174" s="70" t="s">
        <v>375</v>
      </c>
      <c r="I174" s="70" t="s">
        <v>284</v>
      </c>
      <c r="J174" s="70"/>
      <c r="K174" s="77">
        <v>3.0600000001619012</v>
      </c>
      <c r="L174" s="83" t="s">
        <v>157</v>
      </c>
      <c r="M174" s="84">
        <v>4.3499999999999997E-2</v>
      </c>
      <c r="N174" s="84">
        <v>0.1523000000129521</v>
      </c>
      <c r="O174" s="77">
        <v>4076.957723</v>
      </c>
      <c r="P174" s="79">
        <v>72.72</v>
      </c>
      <c r="Q174" s="70"/>
      <c r="R174" s="77">
        <v>2.9647637920000003</v>
      </c>
      <c r="S174" s="78">
        <v>2.608040289946183E-6</v>
      </c>
      <c r="T174" s="78">
        <f t="shared" si="5"/>
        <v>2.2586138991960375E-3</v>
      </c>
      <c r="U174" s="78">
        <f>R174/'סכום נכסי הקרן'!$C$42</f>
        <v>3.6669265650290127E-5</v>
      </c>
    </row>
    <row r="175" spans="2:21">
      <c r="B175" s="76" t="s">
        <v>680</v>
      </c>
      <c r="C175" s="70" t="s">
        <v>681</v>
      </c>
      <c r="D175" s="83" t="s">
        <v>113</v>
      </c>
      <c r="E175" s="83" t="s">
        <v>280</v>
      </c>
      <c r="F175" s="70" t="s">
        <v>344</v>
      </c>
      <c r="G175" s="83" t="s">
        <v>345</v>
      </c>
      <c r="H175" s="70" t="s">
        <v>375</v>
      </c>
      <c r="I175" s="70" t="s">
        <v>284</v>
      </c>
      <c r="J175" s="70"/>
      <c r="K175" s="77">
        <v>3.5499999999102361</v>
      </c>
      <c r="L175" s="83" t="s">
        <v>157</v>
      </c>
      <c r="M175" s="84">
        <v>2.5499999999999998E-2</v>
      </c>
      <c r="N175" s="84">
        <v>1.0799999999162209E-2</v>
      </c>
      <c r="O175" s="77">
        <v>3173.3</v>
      </c>
      <c r="P175" s="79">
        <v>105.32</v>
      </c>
      <c r="Q175" s="70"/>
      <c r="R175" s="77">
        <v>3.3421196659999999</v>
      </c>
      <c r="S175" s="78">
        <v>9.4572927221791743E-6</v>
      </c>
      <c r="T175" s="78">
        <f t="shared" si="5"/>
        <v>2.5460908389304889E-3</v>
      </c>
      <c r="U175" s="78">
        <f>R175/'סכום נכסי הקרן'!$C$42</f>
        <v>4.1336538916963713E-5</v>
      </c>
    </row>
    <row r="176" spans="2:21">
      <c r="B176" s="76" t="s">
        <v>682</v>
      </c>
      <c r="C176" s="70" t="s">
        <v>683</v>
      </c>
      <c r="D176" s="83" t="s">
        <v>113</v>
      </c>
      <c r="E176" s="83" t="s">
        <v>280</v>
      </c>
      <c r="F176" s="70" t="s">
        <v>408</v>
      </c>
      <c r="G176" s="83" t="s">
        <v>409</v>
      </c>
      <c r="H176" s="70" t="s">
        <v>381</v>
      </c>
      <c r="I176" s="70" t="s">
        <v>153</v>
      </c>
      <c r="J176" s="70"/>
      <c r="K176" s="77">
        <v>2.1699999996263166</v>
      </c>
      <c r="L176" s="83" t="s">
        <v>157</v>
      </c>
      <c r="M176" s="84">
        <v>4.8000000000000001E-2</v>
      </c>
      <c r="N176" s="84">
        <v>8.1000000002076026E-3</v>
      </c>
      <c r="O176" s="77">
        <v>1751.6033259999999</v>
      </c>
      <c r="P176" s="79">
        <v>110</v>
      </c>
      <c r="Q176" s="70"/>
      <c r="R176" s="77">
        <v>1.926763716</v>
      </c>
      <c r="S176" s="78">
        <v>8.8096843628161079E-7</v>
      </c>
      <c r="T176" s="78">
        <f t="shared" si="5"/>
        <v>1.4678455400618999E-3</v>
      </c>
      <c r="U176" s="78">
        <f>R176/'סכום נכסי הקרן'!$C$42</f>
        <v>2.3830907115768013E-5</v>
      </c>
    </row>
    <row r="177" spans="2:21">
      <c r="B177" s="76" t="s">
        <v>684</v>
      </c>
      <c r="C177" s="70" t="s">
        <v>685</v>
      </c>
      <c r="D177" s="83" t="s">
        <v>113</v>
      </c>
      <c r="E177" s="83" t="s">
        <v>280</v>
      </c>
      <c r="F177" s="70" t="s">
        <v>408</v>
      </c>
      <c r="G177" s="83" t="s">
        <v>409</v>
      </c>
      <c r="H177" s="70" t="s">
        <v>381</v>
      </c>
      <c r="I177" s="70" t="s">
        <v>153</v>
      </c>
      <c r="J177" s="70"/>
      <c r="K177" s="77">
        <v>0.65075376884422109</v>
      </c>
      <c r="L177" s="83" t="s">
        <v>157</v>
      </c>
      <c r="M177" s="84">
        <v>4.4999999999999998E-2</v>
      </c>
      <c r="N177" s="84">
        <v>1.0050251256281408E-3</v>
      </c>
      <c r="O177" s="77">
        <v>3.8100000000000005E-4</v>
      </c>
      <c r="P177" s="79">
        <v>104.43</v>
      </c>
      <c r="Q177" s="70"/>
      <c r="R177" s="77">
        <v>3.9800000000000004E-7</v>
      </c>
      <c r="S177" s="78">
        <v>6.3446282147781549E-13</v>
      </c>
      <c r="T177" s="78">
        <f t="shared" si="5"/>
        <v>3.0320403072435494E-10</v>
      </c>
      <c r="U177" s="78">
        <f>R177/'סכום נכסי הקרן'!$C$42</f>
        <v>4.9226072472270234E-12</v>
      </c>
    </row>
    <row r="178" spans="2:21">
      <c r="B178" s="76" t="s">
        <v>686</v>
      </c>
      <c r="C178" s="70" t="s">
        <v>687</v>
      </c>
      <c r="D178" s="83" t="s">
        <v>113</v>
      </c>
      <c r="E178" s="83" t="s">
        <v>280</v>
      </c>
      <c r="F178" s="70" t="s">
        <v>688</v>
      </c>
      <c r="G178" s="83" t="s">
        <v>150</v>
      </c>
      <c r="H178" s="70" t="s">
        <v>381</v>
      </c>
      <c r="I178" s="70" t="s">
        <v>153</v>
      </c>
      <c r="J178" s="70"/>
      <c r="K178" s="77">
        <v>2.1315789473684208</v>
      </c>
      <c r="L178" s="83" t="s">
        <v>157</v>
      </c>
      <c r="M178" s="84">
        <v>1.49E-2</v>
      </c>
      <c r="N178" s="84">
        <v>7.105263157894736E-3</v>
      </c>
      <c r="O178" s="77">
        <v>3.6999999999999998E-5</v>
      </c>
      <c r="P178" s="79">
        <v>101.78</v>
      </c>
      <c r="Q178" s="70"/>
      <c r="R178" s="77">
        <v>3.8000000000000003E-8</v>
      </c>
      <c r="S178" s="78">
        <v>3.8607926595704968E-14</v>
      </c>
      <c r="T178" s="78">
        <f t="shared" si="5"/>
        <v>2.8949128561621826E-11</v>
      </c>
      <c r="U178" s="78">
        <f>R178/'סכום נכסי הקרן'!$C$42</f>
        <v>4.6999767687092188E-13</v>
      </c>
    </row>
    <row r="179" spans="2:21">
      <c r="B179" s="76" t="s">
        <v>689</v>
      </c>
      <c r="C179" s="70" t="s">
        <v>690</v>
      </c>
      <c r="D179" s="83" t="s">
        <v>113</v>
      </c>
      <c r="E179" s="83" t="s">
        <v>280</v>
      </c>
      <c r="F179" s="70" t="s">
        <v>303</v>
      </c>
      <c r="G179" s="83" t="s">
        <v>290</v>
      </c>
      <c r="H179" s="70" t="s">
        <v>375</v>
      </c>
      <c r="I179" s="70" t="s">
        <v>284</v>
      </c>
      <c r="J179" s="70"/>
      <c r="K179" s="77">
        <v>0.56000000000000005</v>
      </c>
      <c r="L179" s="83" t="s">
        <v>157</v>
      </c>
      <c r="M179" s="84">
        <v>3.2500000000000001E-2</v>
      </c>
      <c r="N179" s="84">
        <v>2.9100000014338979E-2</v>
      </c>
      <c r="O179" s="77">
        <f>696.0078/50000</f>
        <v>1.3920156E-2</v>
      </c>
      <c r="P179" s="79">
        <v>5010000</v>
      </c>
      <c r="Q179" s="70"/>
      <c r="R179" s="77">
        <v>0.6973997999999999</v>
      </c>
      <c r="S179" s="78">
        <f>3.75915635970834%/50000</f>
        <v>7.51831271941668E-7</v>
      </c>
      <c r="T179" s="78">
        <f t="shared" si="5"/>
        <v>5.3129253865919325E-4</v>
      </c>
      <c r="U179" s="78">
        <f>R179/'סכום נכסי הקרן'!$C$42</f>
        <v>8.6256917329011951E-6</v>
      </c>
    </row>
    <row r="180" spans="2:21">
      <c r="B180" s="76" t="s">
        <v>691</v>
      </c>
      <c r="C180" s="70" t="s">
        <v>692</v>
      </c>
      <c r="D180" s="83" t="s">
        <v>113</v>
      </c>
      <c r="E180" s="83" t="s">
        <v>280</v>
      </c>
      <c r="F180" s="70" t="s">
        <v>693</v>
      </c>
      <c r="G180" s="83" t="s">
        <v>498</v>
      </c>
      <c r="H180" s="70" t="s">
        <v>375</v>
      </c>
      <c r="I180" s="70" t="s">
        <v>284</v>
      </c>
      <c r="J180" s="70"/>
      <c r="K180" s="77">
        <v>2.8699999998470394</v>
      </c>
      <c r="L180" s="83" t="s">
        <v>157</v>
      </c>
      <c r="M180" s="84">
        <v>3.3799999999999997E-2</v>
      </c>
      <c r="N180" s="84">
        <v>3.0499999999440388E-2</v>
      </c>
      <c r="O180" s="77">
        <v>2654.1483739999994</v>
      </c>
      <c r="P180" s="79">
        <v>100.99</v>
      </c>
      <c r="Q180" s="70"/>
      <c r="R180" s="77">
        <v>2.6804244429999997</v>
      </c>
      <c r="S180" s="78">
        <v>3.242583187645153E-6</v>
      </c>
      <c r="T180" s="78">
        <f t="shared" si="5"/>
        <v>2.0419987315821201E-3</v>
      </c>
      <c r="U180" s="78">
        <f>R180/'סכום נכסי הקרן'!$C$42</f>
        <v>3.3152454243106166E-5</v>
      </c>
    </row>
    <row r="181" spans="2:21">
      <c r="B181" s="76" t="s">
        <v>694</v>
      </c>
      <c r="C181" s="70" t="s">
        <v>695</v>
      </c>
      <c r="D181" s="83" t="s">
        <v>113</v>
      </c>
      <c r="E181" s="83" t="s">
        <v>280</v>
      </c>
      <c r="F181" s="70" t="s">
        <v>461</v>
      </c>
      <c r="G181" s="83" t="s">
        <v>144</v>
      </c>
      <c r="H181" s="70" t="s">
        <v>375</v>
      </c>
      <c r="I181" s="70" t="s">
        <v>284</v>
      </c>
      <c r="J181" s="70"/>
      <c r="K181" s="77">
        <v>4.3499999994570144</v>
      </c>
      <c r="L181" s="83" t="s">
        <v>157</v>
      </c>
      <c r="M181" s="84">
        <v>5.0900000000000001E-2</v>
      </c>
      <c r="N181" s="84">
        <v>1.2199999999789813E-2</v>
      </c>
      <c r="O181" s="77">
        <v>2352.3585699999999</v>
      </c>
      <c r="P181" s="79">
        <v>121.35</v>
      </c>
      <c r="Q181" s="70"/>
      <c r="R181" s="77">
        <v>2.8545870730000003</v>
      </c>
      <c r="S181" s="78">
        <v>2.2784652135240879E-6</v>
      </c>
      <c r="T181" s="78">
        <f t="shared" si="5"/>
        <v>2.1746791622794933E-3</v>
      </c>
      <c r="U181" s="78">
        <f>R181/'סכום נכסי הקרן'!$C$42</f>
        <v>3.5306560335151702E-5</v>
      </c>
    </row>
    <row r="182" spans="2:21">
      <c r="B182" s="76" t="s">
        <v>696</v>
      </c>
      <c r="C182" s="70" t="s">
        <v>697</v>
      </c>
      <c r="D182" s="83" t="s">
        <v>113</v>
      </c>
      <c r="E182" s="83" t="s">
        <v>280</v>
      </c>
      <c r="F182" s="70" t="s">
        <v>461</v>
      </c>
      <c r="G182" s="83" t="s">
        <v>144</v>
      </c>
      <c r="H182" s="70" t="s">
        <v>375</v>
      </c>
      <c r="I182" s="70" t="s">
        <v>284</v>
      </c>
      <c r="J182" s="70"/>
      <c r="K182" s="77">
        <v>6.489999999096284</v>
      </c>
      <c r="L182" s="83" t="s">
        <v>157</v>
      </c>
      <c r="M182" s="84">
        <v>3.5200000000000002E-2</v>
      </c>
      <c r="N182" s="84">
        <v>1.79999999977686E-2</v>
      </c>
      <c r="O182" s="77">
        <v>3173.3</v>
      </c>
      <c r="P182" s="79">
        <v>112.98</v>
      </c>
      <c r="Q182" s="70"/>
      <c r="R182" s="77">
        <v>3.585194376</v>
      </c>
      <c r="S182" s="78">
        <v>3.7117224600556765E-6</v>
      </c>
      <c r="T182" s="78">
        <f t="shared" si="5"/>
        <v>2.7312698134007245E-3</v>
      </c>
      <c r="U182" s="78">
        <f>R182/'סכום נכסי הקרן'!$C$42</f>
        <v>4.4342974417123531E-5</v>
      </c>
    </row>
    <row r="183" spans="2:21">
      <c r="B183" s="76" t="s">
        <v>698</v>
      </c>
      <c r="C183" s="70" t="s">
        <v>699</v>
      </c>
      <c r="D183" s="83" t="s">
        <v>113</v>
      </c>
      <c r="E183" s="83" t="s">
        <v>280</v>
      </c>
      <c r="F183" s="70" t="s">
        <v>700</v>
      </c>
      <c r="G183" s="83" t="s">
        <v>701</v>
      </c>
      <c r="H183" s="70" t="s">
        <v>375</v>
      </c>
      <c r="I183" s="70" t="s">
        <v>284</v>
      </c>
      <c r="J183" s="70"/>
      <c r="K183" s="77">
        <v>2.390881913303438</v>
      </c>
      <c r="L183" s="83" t="s">
        <v>157</v>
      </c>
      <c r="M183" s="84">
        <v>1.0500000000000001E-2</v>
      </c>
      <c r="N183" s="84">
        <v>9.1031390134529138E-3</v>
      </c>
      <c r="O183" s="77">
        <v>1.333E-3</v>
      </c>
      <c r="P183" s="79">
        <v>100.42</v>
      </c>
      <c r="Q183" s="70"/>
      <c r="R183" s="77">
        <v>1.3379999999999999E-6</v>
      </c>
      <c r="S183" s="78">
        <v>2.8769246042879771E-12</v>
      </c>
      <c r="T183" s="78">
        <f t="shared" si="5"/>
        <v>1.0193140530381578E-9</v>
      </c>
      <c r="U183" s="78">
        <f>R183/'סכום נכסי הקרן'!$C$42</f>
        <v>1.6548865569823509E-11</v>
      </c>
    </row>
    <row r="184" spans="2:21">
      <c r="B184" s="76" t="s">
        <v>702</v>
      </c>
      <c r="C184" s="70" t="s">
        <v>703</v>
      </c>
      <c r="D184" s="83" t="s">
        <v>113</v>
      </c>
      <c r="E184" s="83" t="s">
        <v>280</v>
      </c>
      <c r="F184" s="70" t="s">
        <v>469</v>
      </c>
      <c r="G184" s="83" t="s">
        <v>184</v>
      </c>
      <c r="H184" s="70" t="s">
        <v>470</v>
      </c>
      <c r="I184" s="70" t="s">
        <v>153</v>
      </c>
      <c r="J184" s="70"/>
      <c r="K184" s="77">
        <v>7.05999999782511</v>
      </c>
      <c r="L184" s="83" t="s">
        <v>157</v>
      </c>
      <c r="M184" s="84">
        <v>3.2000000000000001E-2</v>
      </c>
      <c r="N184" s="84">
        <v>2.339999999565022E-2</v>
      </c>
      <c r="O184" s="77">
        <v>1078.922</v>
      </c>
      <c r="P184" s="79">
        <v>106.54</v>
      </c>
      <c r="Q184" s="70"/>
      <c r="R184" s="77">
        <v>1.149483475</v>
      </c>
      <c r="S184" s="78">
        <v>1.2924843608867636E-6</v>
      </c>
      <c r="T184" s="78">
        <f t="shared" si="5"/>
        <v>8.7569854992723174E-4</v>
      </c>
      <c r="U184" s="78">
        <f>R184/'סכום נכסי הקרן'!$C$42</f>
        <v>1.4217225338197745E-5</v>
      </c>
    </row>
    <row r="185" spans="2:21">
      <c r="B185" s="76" t="s">
        <v>704</v>
      </c>
      <c r="C185" s="70" t="s">
        <v>705</v>
      </c>
      <c r="D185" s="83" t="s">
        <v>113</v>
      </c>
      <c r="E185" s="83" t="s">
        <v>280</v>
      </c>
      <c r="F185" s="70" t="s">
        <v>469</v>
      </c>
      <c r="G185" s="83" t="s">
        <v>184</v>
      </c>
      <c r="H185" s="70" t="s">
        <v>470</v>
      </c>
      <c r="I185" s="70" t="s">
        <v>153</v>
      </c>
      <c r="J185" s="70"/>
      <c r="K185" s="77">
        <v>3.9499999999288771</v>
      </c>
      <c r="L185" s="83" t="s">
        <v>157</v>
      </c>
      <c r="M185" s="84">
        <v>3.6499999999999998E-2</v>
      </c>
      <c r="N185" s="84">
        <v>1.6299999999478433E-2</v>
      </c>
      <c r="O185" s="77">
        <v>7775.2143290000004</v>
      </c>
      <c r="P185" s="79">
        <v>108.5</v>
      </c>
      <c r="Q185" s="70"/>
      <c r="R185" s="77">
        <v>8.4361072879999988</v>
      </c>
      <c r="S185" s="78">
        <v>3.6248626221929655E-6</v>
      </c>
      <c r="T185" s="78">
        <f t="shared" si="5"/>
        <v>6.426788274735442E-3</v>
      </c>
      <c r="U185" s="78">
        <f>R185/'סכום נכסי הקרן'!$C$42</f>
        <v>1.0434081124194347E-4</v>
      </c>
    </row>
    <row r="186" spans="2:21">
      <c r="B186" s="76" t="s">
        <v>706</v>
      </c>
      <c r="C186" s="70" t="s">
        <v>707</v>
      </c>
      <c r="D186" s="83" t="s">
        <v>113</v>
      </c>
      <c r="E186" s="83" t="s">
        <v>280</v>
      </c>
      <c r="F186" s="70" t="s">
        <v>390</v>
      </c>
      <c r="G186" s="83" t="s">
        <v>345</v>
      </c>
      <c r="H186" s="70" t="s">
        <v>470</v>
      </c>
      <c r="I186" s="70" t="s">
        <v>153</v>
      </c>
      <c r="J186" s="70"/>
      <c r="K186" s="77">
        <v>2.6900000000308601</v>
      </c>
      <c r="L186" s="83" t="s">
        <v>157</v>
      </c>
      <c r="M186" s="84">
        <v>3.5000000000000003E-2</v>
      </c>
      <c r="N186" s="84">
        <v>1.2300000002160189E-2</v>
      </c>
      <c r="O186" s="77">
        <v>1406.3523009999999</v>
      </c>
      <c r="P186" s="79">
        <v>106.19</v>
      </c>
      <c r="Q186" s="77">
        <v>0.12682284699999999</v>
      </c>
      <c r="R186" s="77">
        <v>1.6202283550000001</v>
      </c>
      <c r="S186" s="78">
        <v>1.1328673173344861E-5</v>
      </c>
      <c r="T186" s="78">
        <f t="shared" si="5"/>
        <v>1.2343210249494748E-3</v>
      </c>
      <c r="U186" s="78">
        <f>R186/'סכום נכסי הקרן'!$C$42</f>
        <v>2.0039567443431452E-5</v>
      </c>
    </row>
    <row r="187" spans="2:21">
      <c r="B187" s="76" t="s">
        <v>708</v>
      </c>
      <c r="C187" s="70" t="s">
        <v>709</v>
      </c>
      <c r="D187" s="83" t="s">
        <v>113</v>
      </c>
      <c r="E187" s="83" t="s">
        <v>280</v>
      </c>
      <c r="F187" s="70" t="s">
        <v>338</v>
      </c>
      <c r="G187" s="83" t="s">
        <v>290</v>
      </c>
      <c r="H187" s="70" t="s">
        <v>470</v>
      </c>
      <c r="I187" s="70" t="s">
        <v>153</v>
      </c>
      <c r="J187" s="70"/>
      <c r="K187" s="77">
        <v>1.4900000000661737</v>
      </c>
      <c r="L187" s="83" t="s">
        <v>157</v>
      </c>
      <c r="M187" s="84">
        <v>3.6000000000000004E-2</v>
      </c>
      <c r="N187" s="84">
        <v>3.0400000000230173E-2</v>
      </c>
      <c r="O187" s="77">
        <f>6781.83209999999/50000</f>
        <v>0.13563664199999978</v>
      </c>
      <c r="P187" s="79">
        <v>5124999</v>
      </c>
      <c r="Q187" s="70"/>
      <c r="R187" s="77">
        <v>6.9513765460000005</v>
      </c>
      <c r="S187" s="78">
        <f>43.2487220202793%/50000</f>
        <v>8.6497444040558594E-6</v>
      </c>
      <c r="T187" s="78">
        <f t="shared" si="5"/>
        <v>5.2956919292209649E-3</v>
      </c>
      <c r="U187" s="78">
        <f>R187/'סכום נכסי הקרן'!$C$42</f>
        <v>8.5977127044079284E-5</v>
      </c>
    </row>
    <row r="188" spans="2:21">
      <c r="B188" s="76" t="s">
        <v>710</v>
      </c>
      <c r="C188" s="70" t="s">
        <v>711</v>
      </c>
      <c r="D188" s="83" t="s">
        <v>113</v>
      </c>
      <c r="E188" s="83" t="s">
        <v>280</v>
      </c>
      <c r="F188" s="70" t="s">
        <v>404</v>
      </c>
      <c r="G188" s="83" t="s">
        <v>405</v>
      </c>
      <c r="H188" s="70" t="s">
        <v>466</v>
      </c>
      <c r="I188" s="70" t="s">
        <v>284</v>
      </c>
      <c r="J188" s="70"/>
      <c r="K188" s="77">
        <v>9.8400000010612949</v>
      </c>
      <c r="L188" s="83" t="s">
        <v>157</v>
      </c>
      <c r="M188" s="84">
        <v>3.0499999999999999E-2</v>
      </c>
      <c r="N188" s="84">
        <v>2.5800000003135645E-2</v>
      </c>
      <c r="O188" s="77">
        <v>3954.101064</v>
      </c>
      <c r="P188" s="79">
        <v>104.85</v>
      </c>
      <c r="Q188" s="70"/>
      <c r="R188" s="77">
        <v>4.145874965</v>
      </c>
      <c r="S188" s="78">
        <v>1.2511889199515864E-5</v>
      </c>
      <c r="T188" s="78">
        <f t="shared" si="5"/>
        <v>3.1584070358472204E-3</v>
      </c>
      <c r="U188" s="78">
        <f>R188/'סכום נכסי הקרן'!$C$42</f>
        <v>5.1277673740718798E-5</v>
      </c>
    </row>
    <row r="189" spans="2:21">
      <c r="B189" s="76" t="s">
        <v>712</v>
      </c>
      <c r="C189" s="70" t="s">
        <v>713</v>
      </c>
      <c r="D189" s="83" t="s">
        <v>113</v>
      </c>
      <c r="E189" s="83" t="s">
        <v>280</v>
      </c>
      <c r="F189" s="70" t="s">
        <v>404</v>
      </c>
      <c r="G189" s="83" t="s">
        <v>405</v>
      </c>
      <c r="H189" s="70" t="s">
        <v>466</v>
      </c>
      <c r="I189" s="70" t="s">
        <v>284</v>
      </c>
      <c r="J189" s="70"/>
      <c r="K189" s="77">
        <v>9.1100000006710928</v>
      </c>
      <c r="L189" s="83" t="s">
        <v>157</v>
      </c>
      <c r="M189" s="84">
        <v>3.0499999999999999E-2</v>
      </c>
      <c r="N189" s="84">
        <v>2.5300000000998902E-2</v>
      </c>
      <c r="O189" s="77">
        <v>6775.8009469999997</v>
      </c>
      <c r="P189" s="79">
        <v>104.9</v>
      </c>
      <c r="Q189" s="70"/>
      <c r="R189" s="77">
        <v>7.1078151930000004</v>
      </c>
      <c r="S189" s="78">
        <v>9.2962901512818093E-6</v>
      </c>
      <c r="T189" s="78">
        <f t="shared" si="5"/>
        <v>5.4148698898527853E-3</v>
      </c>
      <c r="U189" s="78">
        <f>R189/'סכום נכסי הקרן'!$C$42</f>
        <v>8.7912016535206385E-5</v>
      </c>
    </row>
    <row r="190" spans="2:21">
      <c r="B190" s="76" t="s">
        <v>714</v>
      </c>
      <c r="C190" s="70" t="s">
        <v>715</v>
      </c>
      <c r="D190" s="83" t="s">
        <v>113</v>
      </c>
      <c r="E190" s="83" t="s">
        <v>280</v>
      </c>
      <c r="F190" s="70" t="s">
        <v>404</v>
      </c>
      <c r="G190" s="83" t="s">
        <v>405</v>
      </c>
      <c r="H190" s="70" t="s">
        <v>466</v>
      </c>
      <c r="I190" s="70" t="s">
        <v>284</v>
      </c>
      <c r="J190" s="70"/>
      <c r="K190" s="77">
        <v>5.5700000001978918</v>
      </c>
      <c r="L190" s="83" t="s">
        <v>157</v>
      </c>
      <c r="M190" s="84">
        <v>2.9100000000000001E-2</v>
      </c>
      <c r="N190" s="84">
        <v>1.7999999999999999E-2</v>
      </c>
      <c r="O190" s="77">
        <v>3327.336742</v>
      </c>
      <c r="P190" s="79">
        <v>106.31</v>
      </c>
      <c r="Q190" s="70"/>
      <c r="R190" s="77">
        <v>3.53729169</v>
      </c>
      <c r="S190" s="78">
        <v>5.5455612366666669E-6</v>
      </c>
      <c r="T190" s="78">
        <f t="shared" si="5"/>
        <v>2.6947766287833295E-3</v>
      </c>
      <c r="U190" s="78">
        <f>R190/'סכום נכסי הקרן'!$C$42</f>
        <v>4.3750496755653078E-5</v>
      </c>
    </row>
    <row r="191" spans="2:21">
      <c r="B191" s="76" t="s">
        <v>716</v>
      </c>
      <c r="C191" s="70" t="s">
        <v>717</v>
      </c>
      <c r="D191" s="83" t="s">
        <v>113</v>
      </c>
      <c r="E191" s="83" t="s">
        <v>280</v>
      </c>
      <c r="F191" s="70" t="s">
        <v>404</v>
      </c>
      <c r="G191" s="83" t="s">
        <v>405</v>
      </c>
      <c r="H191" s="70" t="s">
        <v>466</v>
      </c>
      <c r="I191" s="70" t="s">
        <v>284</v>
      </c>
      <c r="J191" s="70"/>
      <c r="K191" s="77">
        <v>7.3999999994230299</v>
      </c>
      <c r="L191" s="83" t="s">
        <v>157</v>
      </c>
      <c r="M191" s="84">
        <v>3.95E-2</v>
      </c>
      <c r="N191" s="84">
        <v>2.0899999999963937E-2</v>
      </c>
      <c r="O191" s="77">
        <v>2421.9283740000001</v>
      </c>
      <c r="P191" s="79">
        <v>114.5</v>
      </c>
      <c r="Q191" s="70"/>
      <c r="R191" s="77">
        <v>2.7731079890000001</v>
      </c>
      <c r="S191" s="78">
        <v>1.0090948904027417E-5</v>
      </c>
      <c r="T191" s="78">
        <f t="shared" si="5"/>
        <v>2.1126068339163569E-3</v>
      </c>
      <c r="U191" s="78">
        <f>R191/'סכום נכסי הקרן'!$C$42</f>
        <v>3.4298797698478787E-5</v>
      </c>
    </row>
    <row r="192" spans="2:21">
      <c r="B192" s="76" t="s">
        <v>718</v>
      </c>
      <c r="C192" s="70" t="s">
        <v>719</v>
      </c>
      <c r="D192" s="83" t="s">
        <v>113</v>
      </c>
      <c r="E192" s="83" t="s">
        <v>280</v>
      </c>
      <c r="F192" s="70" t="s">
        <v>404</v>
      </c>
      <c r="G192" s="83" t="s">
        <v>405</v>
      </c>
      <c r="H192" s="70" t="s">
        <v>466</v>
      </c>
      <c r="I192" s="70" t="s">
        <v>284</v>
      </c>
      <c r="J192" s="70"/>
      <c r="K192" s="77">
        <v>8.1400000014822282</v>
      </c>
      <c r="L192" s="83" t="s">
        <v>157</v>
      </c>
      <c r="M192" s="84">
        <v>3.95E-2</v>
      </c>
      <c r="N192" s="84">
        <v>2.1400000000290631E-2</v>
      </c>
      <c r="O192" s="77">
        <v>595.49386200000004</v>
      </c>
      <c r="P192" s="79">
        <v>115.56</v>
      </c>
      <c r="Q192" s="70"/>
      <c r="R192" s="77">
        <v>0.68815270699999997</v>
      </c>
      <c r="S192" s="78">
        <v>2.4811213240709794E-6</v>
      </c>
      <c r="T192" s="78">
        <f t="shared" si="5"/>
        <v>5.2424792592029143E-4</v>
      </c>
      <c r="U192" s="78">
        <f>R192/'סכום נכסי הקרן'!$C$42</f>
        <v>8.5113203584851607E-6</v>
      </c>
    </row>
    <row r="193" spans="2:21">
      <c r="B193" s="76" t="s">
        <v>720</v>
      </c>
      <c r="C193" s="70" t="s">
        <v>721</v>
      </c>
      <c r="D193" s="83" t="s">
        <v>113</v>
      </c>
      <c r="E193" s="83" t="s">
        <v>280</v>
      </c>
      <c r="F193" s="70" t="s">
        <v>416</v>
      </c>
      <c r="G193" s="83" t="s">
        <v>345</v>
      </c>
      <c r="H193" s="70" t="s">
        <v>470</v>
      </c>
      <c r="I193" s="70" t="s">
        <v>153</v>
      </c>
      <c r="J193" s="70"/>
      <c r="K193" s="77">
        <v>3.3642857142857148</v>
      </c>
      <c r="L193" s="83" t="s">
        <v>157</v>
      </c>
      <c r="M193" s="84">
        <v>5.0499999999999996E-2</v>
      </c>
      <c r="N193" s="84">
        <v>2.1071428571428578E-2</v>
      </c>
      <c r="O193" s="77">
        <v>1.26E-4</v>
      </c>
      <c r="P193" s="79">
        <v>111.92</v>
      </c>
      <c r="Q193" s="70"/>
      <c r="R193" s="77">
        <v>1.3999999999999998E-7</v>
      </c>
      <c r="S193" s="78">
        <v>1.9422006871284066E-13</v>
      </c>
      <c r="T193" s="78">
        <f t="shared" si="5"/>
        <v>1.0665468417439617E-10</v>
      </c>
      <c r="U193" s="78">
        <f>R193/'סכום נכסי הקרן'!$C$42</f>
        <v>1.7315703884718169E-12</v>
      </c>
    </row>
    <row r="194" spans="2:21">
      <c r="B194" s="76" t="s">
        <v>722</v>
      </c>
      <c r="C194" s="70" t="s">
        <v>723</v>
      </c>
      <c r="D194" s="83" t="s">
        <v>113</v>
      </c>
      <c r="E194" s="83" t="s">
        <v>280</v>
      </c>
      <c r="F194" s="70" t="s">
        <v>421</v>
      </c>
      <c r="G194" s="83" t="s">
        <v>405</v>
      </c>
      <c r="H194" s="70" t="s">
        <v>470</v>
      </c>
      <c r="I194" s="70" t="s">
        <v>153</v>
      </c>
      <c r="J194" s="70"/>
      <c r="K194" s="77">
        <v>3.7699999998382312</v>
      </c>
      <c r="L194" s="83" t="s">
        <v>157</v>
      </c>
      <c r="M194" s="84">
        <v>3.9199999999999999E-2</v>
      </c>
      <c r="N194" s="84">
        <v>1.84E-2</v>
      </c>
      <c r="O194" s="77">
        <v>4222.4499400000004</v>
      </c>
      <c r="P194" s="79">
        <v>109.8</v>
      </c>
      <c r="Q194" s="70"/>
      <c r="R194" s="77">
        <v>4.6362501749999998</v>
      </c>
      <c r="S194" s="78">
        <v>4.3990543770198391E-6</v>
      </c>
      <c r="T194" s="78">
        <f t="shared" si="5"/>
        <v>3.5319842726293862E-3</v>
      </c>
      <c r="U194" s="78">
        <f>R194/'סכום נכסי הקרן'!$C$42</f>
        <v>5.7342810832694858E-5</v>
      </c>
    </row>
    <row r="195" spans="2:21">
      <c r="B195" s="76" t="s">
        <v>724</v>
      </c>
      <c r="C195" s="70" t="s">
        <v>725</v>
      </c>
      <c r="D195" s="83" t="s">
        <v>113</v>
      </c>
      <c r="E195" s="83" t="s">
        <v>280</v>
      </c>
      <c r="F195" s="70" t="s">
        <v>421</v>
      </c>
      <c r="G195" s="83" t="s">
        <v>405</v>
      </c>
      <c r="H195" s="70" t="s">
        <v>470</v>
      </c>
      <c r="I195" s="70" t="s">
        <v>153</v>
      </c>
      <c r="J195" s="70"/>
      <c r="K195" s="77">
        <v>8.5799999996944116</v>
      </c>
      <c r="L195" s="83" t="s">
        <v>157</v>
      </c>
      <c r="M195" s="84">
        <v>2.64E-2</v>
      </c>
      <c r="N195" s="84">
        <v>3.11999999987463E-2</v>
      </c>
      <c r="O195" s="77">
        <v>13181.405602000003</v>
      </c>
      <c r="P195" s="79">
        <v>96.82</v>
      </c>
      <c r="Q195" s="70"/>
      <c r="R195" s="77">
        <v>12.762236905</v>
      </c>
      <c r="S195" s="78">
        <v>8.0562456389677358E-6</v>
      </c>
      <c r="T195" s="78">
        <f t="shared" si="5"/>
        <v>9.7225167604399892E-3</v>
      </c>
      <c r="U195" s="78">
        <f>R195/'סכום נכסי הקרן'!$C$42</f>
        <v>1.5784793939543009E-4</v>
      </c>
    </row>
    <row r="196" spans="2:21">
      <c r="B196" s="76" t="s">
        <v>726</v>
      </c>
      <c r="C196" s="70" t="s">
        <v>727</v>
      </c>
      <c r="D196" s="83" t="s">
        <v>113</v>
      </c>
      <c r="E196" s="83" t="s">
        <v>280</v>
      </c>
      <c r="F196" s="70" t="s">
        <v>434</v>
      </c>
      <c r="G196" s="83" t="s">
        <v>345</v>
      </c>
      <c r="H196" s="70" t="s">
        <v>466</v>
      </c>
      <c r="I196" s="70" t="s">
        <v>284</v>
      </c>
      <c r="J196" s="70"/>
      <c r="K196" s="77">
        <v>2.1300062469632821</v>
      </c>
      <c r="L196" s="83" t="s">
        <v>157</v>
      </c>
      <c r="M196" s="84">
        <v>5.74E-2</v>
      </c>
      <c r="N196" s="84">
        <v>2.2100020823210942E-2</v>
      </c>
      <c r="O196" s="77">
        <v>0.105633</v>
      </c>
      <c r="P196" s="79">
        <v>109.11</v>
      </c>
      <c r="Q196" s="70"/>
      <c r="R196" s="77">
        <v>1.1525599999999998E-4</v>
      </c>
      <c r="S196" s="78">
        <v>7.0421967136415336E-9</v>
      </c>
      <c r="T196" s="78">
        <f t="shared" si="5"/>
        <v>8.7804230565744327E-8</v>
      </c>
      <c r="U196" s="78">
        <f>R196/'סכום נכסי הקרן'!$C$42</f>
        <v>1.4255276906693409E-9</v>
      </c>
    </row>
    <row r="197" spans="2:21">
      <c r="B197" s="76" t="s">
        <v>728</v>
      </c>
      <c r="C197" s="70" t="s">
        <v>729</v>
      </c>
      <c r="D197" s="83" t="s">
        <v>113</v>
      </c>
      <c r="E197" s="83" t="s">
        <v>280</v>
      </c>
      <c r="F197" s="70" t="s">
        <v>434</v>
      </c>
      <c r="G197" s="83" t="s">
        <v>345</v>
      </c>
      <c r="H197" s="70" t="s">
        <v>466</v>
      </c>
      <c r="I197" s="70" t="s">
        <v>284</v>
      </c>
      <c r="J197" s="70"/>
      <c r="K197" s="77">
        <v>4.0900000060607127</v>
      </c>
      <c r="L197" s="83" t="s">
        <v>157</v>
      </c>
      <c r="M197" s="84">
        <v>5.6500000000000002E-2</v>
      </c>
      <c r="N197" s="84">
        <v>2.3800000005772103E-2</v>
      </c>
      <c r="O197" s="77">
        <v>152.3184</v>
      </c>
      <c r="P197" s="79">
        <v>113.74</v>
      </c>
      <c r="Q197" s="70"/>
      <c r="R197" s="77">
        <v>0.17324695500000001</v>
      </c>
      <c r="S197" s="78">
        <v>4.8798294768734532E-7</v>
      </c>
      <c r="T197" s="78">
        <f t="shared" si="5"/>
        <v>1.3198285192643451E-4</v>
      </c>
      <c r="U197" s="78">
        <f>R197/'סכום נכסי הקרן'!$C$42</f>
        <v>2.1427806940779246E-6</v>
      </c>
    </row>
    <row r="198" spans="2:21">
      <c r="B198" s="76" t="s">
        <v>730</v>
      </c>
      <c r="C198" s="70" t="s">
        <v>731</v>
      </c>
      <c r="D198" s="83" t="s">
        <v>113</v>
      </c>
      <c r="E198" s="83" t="s">
        <v>280</v>
      </c>
      <c r="F198" s="70" t="s">
        <v>548</v>
      </c>
      <c r="G198" s="83" t="s">
        <v>405</v>
      </c>
      <c r="H198" s="70" t="s">
        <v>470</v>
      </c>
      <c r="I198" s="70" t="s">
        <v>153</v>
      </c>
      <c r="J198" s="70"/>
      <c r="K198" s="77">
        <v>3.7500000008721801</v>
      </c>
      <c r="L198" s="83" t="s">
        <v>157</v>
      </c>
      <c r="M198" s="84">
        <v>4.0999999999999995E-2</v>
      </c>
      <c r="N198" s="84">
        <v>1.3100000001511781E-2</v>
      </c>
      <c r="O198" s="77">
        <v>1523.184</v>
      </c>
      <c r="P198" s="79">
        <v>110.86</v>
      </c>
      <c r="Q198" s="77">
        <v>3.1225272000000002E-2</v>
      </c>
      <c r="R198" s="77">
        <v>1.719827054</v>
      </c>
      <c r="S198" s="78">
        <v>5.0772799999999999E-6</v>
      </c>
      <c r="T198" s="78">
        <f t="shared" si="5"/>
        <v>1.3101972234210873E-3</v>
      </c>
      <c r="U198" s="78">
        <f>R198/'סכום נכסי הקרן'!$C$42</f>
        <v>2.1271439999993722E-5</v>
      </c>
    </row>
    <row r="199" spans="2:21">
      <c r="B199" s="76" t="s">
        <v>732</v>
      </c>
      <c r="C199" s="70" t="s">
        <v>733</v>
      </c>
      <c r="D199" s="83" t="s">
        <v>113</v>
      </c>
      <c r="E199" s="83" t="s">
        <v>280</v>
      </c>
      <c r="F199" s="70" t="s">
        <v>564</v>
      </c>
      <c r="G199" s="83" t="s">
        <v>409</v>
      </c>
      <c r="H199" s="70" t="s">
        <v>466</v>
      </c>
      <c r="I199" s="70" t="s">
        <v>284</v>
      </c>
      <c r="J199" s="70"/>
      <c r="K199" s="77">
        <v>7.5399999997090807</v>
      </c>
      <c r="L199" s="83" t="s">
        <v>157</v>
      </c>
      <c r="M199" s="84">
        <v>2.4300000000000002E-2</v>
      </c>
      <c r="N199" s="84">
        <v>2.6499999998716533E-2</v>
      </c>
      <c r="O199" s="77">
        <v>8225.3773340000007</v>
      </c>
      <c r="P199" s="79">
        <v>99.46</v>
      </c>
      <c r="Q199" s="70"/>
      <c r="R199" s="77">
        <v>8.1809602970000004</v>
      </c>
      <c r="S199" s="78">
        <v>9.5133410061125486E-6</v>
      </c>
      <c r="T199" s="78">
        <f t="shared" si="5"/>
        <v>6.2324124051414964E-3</v>
      </c>
      <c r="U199" s="78">
        <f>R199/'סכום נכסי הקרן'!$C$42</f>
        <v>1.011850614253486E-4</v>
      </c>
    </row>
    <row r="200" spans="2:21">
      <c r="B200" s="76" t="s">
        <v>734</v>
      </c>
      <c r="C200" s="70" t="s">
        <v>735</v>
      </c>
      <c r="D200" s="83" t="s">
        <v>113</v>
      </c>
      <c r="E200" s="83" t="s">
        <v>280</v>
      </c>
      <c r="F200" s="70" t="s">
        <v>564</v>
      </c>
      <c r="G200" s="83" t="s">
        <v>409</v>
      </c>
      <c r="H200" s="70" t="s">
        <v>466</v>
      </c>
      <c r="I200" s="70" t="s">
        <v>284</v>
      </c>
      <c r="J200" s="70"/>
      <c r="K200" s="77">
        <v>3.7900000004597518</v>
      </c>
      <c r="L200" s="83" t="s">
        <v>157</v>
      </c>
      <c r="M200" s="84">
        <v>1.7500000000000002E-2</v>
      </c>
      <c r="N200" s="84">
        <v>1.8100000000077925E-2</v>
      </c>
      <c r="O200" s="77">
        <v>2567.1168250000001</v>
      </c>
      <c r="P200" s="79">
        <v>99.98</v>
      </c>
      <c r="Q200" s="70"/>
      <c r="R200" s="77">
        <v>2.5666033580000001</v>
      </c>
      <c r="S200" s="78">
        <v>3.6958311867558796E-6</v>
      </c>
      <c r="T200" s="78">
        <f t="shared" si="5"/>
        <v>1.9552876467745337E-3</v>
      </c>
      <c r="U200" s="78">
        <f>R200/'סכום נכסי הקרן'!$C$42</f>
        <v>3.1744674097608075E-5</v>
      </c>
    </row>
    <row r="201" spans="2:21">
      <c r="B201" s="76" t="s">
        <v>736</v>
      </c>
      <c r="C201" s="70" t="s">
        <v>737</v>
      </c>
      <c r="D201" s="83" t="s">
        <v>113</v>
      </c>
      <c r="E201" s="83" t="s">
        <v>280</v>
      </c>
      <c r="F201" s="70" t="s">
        <v>564</v>
      </c>
      <c r="G201" s="83" t="s">
        <v>409</v>
      </c>
      <c r="H201" s="70" t="s">
        <v>466</v>
      </c>
      <c r="I201" s="70" t="s">
        <v>284</v>
      </c>
      <c r="J201" s="70"/>
      <c r="K201" s="77">
        <v>2.3500000001413417</v>
      </c>
      <c r="L201" s="83" t="s">
        <v>157</v>
      </c>
      <c r="M201" s="84">
        <v>2.9600000000000001E-2</v>
      </c>
      <c r="N201" s="84">
        <v>1.5600000000376913E-2</v>
      </c>
      <c r="O201" s="77">
        <v>2049.3594720000001</v>
      </c>
      <c r="P201" s="79">
        <v>103.57</v>
      </c>
      <c r="Q201" s="70"/>
      <c r="R201" s="77">
        <v>2.1225215820000001</v>
      </c>
      <c r="S201" s="78">
        <v>5.0180939778743082E-6</v>
      </c>
      <c r="T201" s="78">
        <f t="shared" si="5"/>
        <v>1.6169776355824984E-3</v>
      </c>
      <c r="U201" s="78">
        <f>R201/'סכום נכסי הקרן'!$C$42</f>
        <v>2.6252110859168256E-5</v>
      </c>
    </row>
    <row r="202" spans="2:21">
      <c r="B202" s="76" t="s">
        <v>738</v>
      </c>
      <c r="C202" s="70" t="s">
        <v>739</v>
      </c>
      <c r="D202" s="83" t="s">
        <v>113</v>
      </c>
      <c r="E202" s="83" t="s">
        <v>280</v>
      </c>
      <c r="F202" s="70" t="s">
        <v>569</v>
      </c>
      <c r="G202" s="83" t="s">
        <v>405</v>
      </c>
      <c r="H202" s="70" t="s">
        <v>466</v>
      </c>
      <c r="I202" s="70" t="s">
        <v>284</v>
      </c>
      <c r="J202" s="70"/>
      <c r="K202" s="77">
        <v>3.3400000017215556</v>
      </c>
      <c r="L202" s="83" t="s">
        <v>157</v>
      </c>
      <c r="M202" s="84">
        <v>3.85E-2</v>
      </c>
      <c r="N202" s="84">
        <v>1.700000000637613E-2</v>
      </c>
      <c r="O202" s="77">
        <v>575.17173200000002</v>
      </c>
      <c r="P202" s="79">
        <v>109.07</v>
      </c>
      <c r="Q202" s="70"/>
      <c r="R202" s="77">
        <v>0.62733978800000001</v>
      </c>
      <c r="S202" s="78">
        <v>1.4421439958278067E-6</v>
      </c>
      <c r="T202" s="78">
        <f t="shared" si="5"/>
        <v>4.7791947827980475E-4</v>
      </c>
      <c r="U202" s="78">
        <f>R202/'סכום נכסי הקרן'!$C$42</f>
        <v>7.7591642886499108E-6</v>
      </c>
    </row>
    <row r="203" spans="2:21">
      <c r="B203" s="76" t="s">
        <v>740</v>
      </c>
      <c r="C203" s="70" t="s">
        <v>741</v>
      </c>
      <c r="D203" s="83" t="s">
        <v>113</v>
      </c>
      <c r="E203" s="83" t="s">
        <v>280</v>
      </c>
      <c r="F203" s="70" t="s">
        <v>569</v>
      </c>
      <c r="G203" s="83" t="s">
        <v>405</v>
      </c>
      <c r="H203" s="70" t="s">
        <v>470</v>
      </c>
      <c r="I203" s="70" t="s">
        <v>153</v>
      </c>
      <c r="J203" s="70"/>
      <c r="K203" s="77">
        <v>4.6500000000053907</v>
      </c>
      <c r="L203" s="83" t="s">
        <v>157</v>
      </c>
      <c r="M203" s="84">
        <v>3.61E-2</v>
      </c>
      <c r="N203" s="84">
        <v>1.5799999999849049E-2</v>
      </c>
      <c r="O203" s="77">
        <v>8326.1614690000006</v>
      </c>
      <c r="P203" s="79">
        <v>111.39</v>
      </c>
      <c r="Q203" s="70"/>
      <c r="R203" s="77">
        <v>9.2745109830000008</v>
      </c>
      <c r="S203" s="78">
        <v>1.0848418852117264E-5</v>
      </c>
      <c r="T203" s="78">
        <f t="shared" si="5"/>
        <v>7.0655002840273847E-3</v>
      </c>
      <c r="U203" s="78">
        <f>R203/'סכום נכסי הקרן'!$C$42</f>
        <v>1.1471048989799605E-4</v>
      </c>
    </row>
    <row r="204" spans="2:21">
      <c r="B204" s="76" t="s">
        <v>742</v>
      </c>
      <c r="C204" s="70" t="s">
        <v>743</v>
      </c>
      <c r="D204" s="83" t="s">
        <v>113</v>
      </c>
      <c r="E204" s="83" t="s">
        <v>280</v>
      </c>
      <c r="F204" s="70" t="s">
        <v>569</v>
      </c>
      <c r="G204" s="83" t="s">
        <v>405</v>
      </c>
      <c r="H204" s="70" t="s">
        <v>470</v>
      </c>
      <c r="I204" s="70" t="s">
        <v>153</v>
      </c>
      <c r="J204" s="70"/>
      <c r="K204" s="77">
        <v>5.6000000003171309</v>
      </c>
      <c r="L204" s="83" t="s">
        <v>157</v>
      </c>
      <c r="M204" s="84">
        <v>3.3000000000000002E-2</v>
      </c>
      <c r="N204" s="84">
        <v>1.9400000000317129E-2</v>
      </c>
      <c r="O204" s="77">
        <v>2891.84917</v>
      </c>
      <c r="P204" s="79">
        <v>109.04</v>
      </c>
      <c r="Q204" s="70"/>
      <c r="R204" s="77">
        <v>3.153272335</v>
      </c>
      <c r="S204" s="78">
        <v>9.3786154145518814E-6</v>
      </c>
      <c r="T204" s="78">
        <f t="shared" si="5"/>
        <v>2.4022233214663273E-3</v>
      </c>
      <c r="U204" s="78">
        <f>R204/'סכום נכסי הקרן'!$C$42</f>
        <v>3.9000807157667031E-5</v>
      </c>
    </row>
    <row r="205" spans="2:21">
      <c r="B205" s="76" t="s">
        <v>744</v>
      </c>
      <c r="C205" s="70" t="s">
        <v>745</v>
      </c>
      <c r="D205" s="83" t="s">
        <v>113</v>
      </c>
      <c r="E205" s="83" t="s">
        <v>280</v>
      </c>
      <c r="F205" s="70" t="s">
        <v>569</v>
      </c>
      <c r="G205" s="83" t="s">
        <v>405</v>
      </c>
      <c r="H205" s="70" t="s">
        <v>470</v>
      </c>
      <c r="I205" s="70" t="s">
        <v>153</v>
      </c>
      <c r="J205" s="70"/>
      <c r="K205" s="77">
        <v>7.9100000003867148</v>
      </c>
      <c r="L205" s="83" t="s">
        <v>157</v>
      </c>
      <c r="M205" s="84">
        <v>2.6200000000000001E-2</v>
      </c>
      <c r="N205" s="84">
        <v>2.5900000000907107E-2</v>
      </c>
      <c r="O205" s="77">
        <v>8311.7612239999999</v>
      </c>
      <c r="P205" s="79">
        <v>100.8</v>
      </c>
      <c r="Q205" s="70"/>
      <c r="R205" s="77">
        <v>8.3782550360000005</v>
      </c>
      <c r="S205" s="78">
        <v>1.038970153E-5</v>
      </c>
      <c r="T205" s="78">
        <f t="shared" si="5"/>
        <v>6.3827153199794602E-3</v>
      </c>
      <c r="U205" s="78">
        <f>R205/'סכום נכסי הקרן'!$C$42</f>
        <v>1.0362527376716056E-4</v>
      </c>
    </row>
    <row r="206" spans="2:21">
      <c r="B206" s="76" t="s">
        <v>746</v>
      </c>
      <c r="C206" s="70" t="s">
        <v>747</v>
      </c>
      <c r="D206" s="83" t="s">
        <v>113</v>
      </c>
      <c r="E206" s="83" t="s">
        <v>280</v>
      </c>
      <c r="F206" s="70" t="s">
        <v>748</v>
      </c>
      <c r="G206" s="83" t="s">
        <v>144</v>
      </c>
      <c r="H206" s="70" t="s">
        <v>470</v>
      </c>
      <c r="I206" s="70" t="s">
        <v>153</v>
      </c>
      <c r="J206" s="70"/>
      <c r="K206" s="77">
        <v>2.9499999999803288</v>
      </c>
      <c r="L206" s="83" t="s">
        <v>157</v>
      </c>
      <c r="M206" s="84">
        <v>2.75E-2</v>
      </c>
      <c r="N206" s="84">
        <v>4.0199999998505015E-2</v>
      </c>
      <c r="O206" s="77">
        <v>2611.0217830000001</v>
      </c>
      <c r="P206" s="79">
        <v>97.35</v>
      </c>
      <c r="Q206" s="70"/>
      <c r="R206" s="77">
        <v>2.541829619</v>
      </c>
      <c r="S206" s="78">
        <v>6.4666349730722008E-6</v>
      </c>
      <c r="T206" s="78">
        <f t="shared" si="5"/>
        <v>1.9364145374255058E-3</v>
      </c>
      <c r="U206" s="78">
        <f>R206/'סכום נכסי הקרן'!$C$42</f>
        <v>3.1438263577150008E-5</v>
      </c>
    </row>
    <row r="207" spans="2:21">
      <c r="B207" s="76" t="s">
        <v>749</v>
      </c>
      <c r="C207" s="70" t="s">
        <v>750</v>
      </c>
      <c r="D207" s="83" t="s">
        <v>113</v>
      </c>
      <c r="E207" s="83" t="s">
        <v>280</v>
      </c>
      <c r="F207" s="70" t="s">
        <v>748</v>
      </c>
      <c r="G207" s="83" t="s">
        <v>144</v>
      </c>
      <c r="H207" s="70" t="s">
        <v>470</v>
      </c>
      <c r="I207" s="70" t="s">
        <v>153</v>
      </c>
      <c r="J207" s="70"/>
      <c r="K207" s="77">
        <v>3.6699999997681281</v>
      </c>
      <c r="L207" s="83" t="s">
        <v>157</v>
      </c>
      <c r="M207" s="84">
        <v>2.3E-2</v>
      </c>
      <c r="N207" s="84">
        <v>4.889999999768127E-2</v>
      </c>
      <c r="O207" s="77">
        <v>4698.467267</v>
      </c>
      <c r="P207" s="79">
        <v>91.79</v>
      </c>
      <c r="Q207" s="70"/>
      <c r="R207" s="77">
        <v>4.3127230000000001</v>
      </c>
      <c r="S207" s="78">
        <v>1.5561850188864912E-5</v>
      </c>
      <c r="T207" s="78">
        <f t="shared" si="5"/>
        <v>3.2855150678332461E-3</v>
      </c>
      <c r="U207" s="78">
        <f>R207/'סכום נכסי הקרן'!$C$42</f>
        <v>5.3341310289152434E-5</v>
      </c>
    </row>
    <row r="208" spans="2:21">
      <c r="B208" s="76" t="s">
        <v>751</v>
      </c>
      <c r="C208" s="70" t="s">
        <v>752</v>
      </c>
      <c r="D208" s="83" t="s">
        <v>113</v>
      </c>
      <c r="E208" s="83" t="s">
        <v>280</v>
      </c>
      <c r="F208" s="70" t="s">
        <v>575</v>
      </c>
      <c r="G208" s="83" t="s">
        <v>149</v>
      </c>
      <c r="H208" s="70" t="s">
        <v>466</v>
      </c>
      <c r="I208" s="70" t="s">
        <v>284</v>
      </c>
      <c r="J208" s="70"/>
      <c r="K208" s="77">
        <v>2.8999999937114183</v>
      </c>
      <c r="L208" s="83" t="s">
        <v>157</v>
      </c>
      <c r="M208" s="84">
        <v>2.7000000000000003E-2</v>
      </c>
      <c r="N208" s="84">
        <v>4.2599999983829358E-2</v>
      </c>
      <c r="O208" s="77">
        <v>116.132335</v>
      </c>
      <c r="P208" s="79">
        <v>95.85</v>
      </c>
      <c r="Q208" s="70"/>
      <c r="R208" s="77">
        <v>0.11131284299999998</v>
      </c>
      <c r="S208" s="78">
        <v>6.8263669561717727E-7</v>
      </c>
      <c r="T208" s="78">
        <f t="shared" si="5"/>
        <v>8.4800257962279617E-5</v>
      </c>
      <c r="U208" s="78">
        <f>R208/'סכום נכסי הקרן'!$C$42</f>
        <v>1.3767573056815169E-6</v>
      </c>
    </row>
    <row r="209" spans="2:21">
      <c r="B209" s="76" t="s">
        <v>753</v>
      </c>
      <c r="C209" s="70" t="s">
        <v>754</v>
      </c>
      <c r="D209" s="83" t="s">
        <v>113</v>
      </c>
      <c r="E209" s="83" t="s">
        <v>280</v>
      </c>
      <c r="F209" s="70" t="s">
        <v>584</v>
      </c>
      <c r="G209" s="83" t="s">
        <v>149</v>
      </c>
      <c r="H209" s="70" t="s">
        <v>585</v>
      </c>
      <c r="I209" s="70" t="s">
        <v>284</v>
      </c>
      <c r="J209" s="70"/>
      <c r="K209" s="77">
        <v>2.9800000006817058</v>
      </c>
      <c r="L209" s="83" t="s">
        <v>157</v>
      </c>
      <c r="M209" s="84">
        <v>2.7999999999999997E-2</v>
      </c>
      <c r="N209" s="84">
        <v>0.11900000001804514</v>
      </c>
      <c r="O209" s="77">
        <v>3252.9937479999999</v>
      </c>
      <c r="P209" s="79">
        <v>76.66</v>
      </c>
      <c r="Q209" s="70"/>
      <c r="R209" s="77">
        <v>2.4937449350000001</v>
      </c>
      <c r="S209" s="78">
        <v>1.2215522898986105E-5</v>
      </c>
      <c r="T209" s="78">
        <f t="shared" si="5"/>
        <v>1.8997827032423225E-3</v>
      </c>
      <c r="U209" s="78">
        <f>R209/'סכום נכסי הקרן'!$C$42</f>
        <v>3.0843534898911259E-5</v>
      </c>
    </row>
    <row r="210" spans="2:21">
      <c r="B210" s="76" t="s">
        <v>755</v>
      </c>
      <c r="C210" s="70" t="s">
        <v>756</v>
      </c>
      <c r="D210" s="83" t="s">
        <v>113</v>
      </c>
      <c r="E210" s="83" t="s">
        <v>280</v>
      </c>
      <c r="F210" s="70" t="s">
        <v>584</v>
      </c>
      <c r="G210" s="83" t="s">
        <v>149</v>
      </c>
      <c r="H210" s="70" t="s">
        <v>585</v>
      </c>
      <c r="I210" s="70" t="s">
        <v>284</v>
      </c>
      <c r="J210" s="70"/>
      <c r="K210" s="77">
        <v>0.39999999999999997</v>
      </c>
      <c r="L210" s="83" t="s">
        <v>157</v>
      </c>
      <c r="M210" s="84">
        <v>4.2999999999999997E-2</v>
      </c>
      <c r="N210" s="84">
        <v>0.30279999986774109</v>
      </c>
      <c r="O210" s="77">
        <v>973.04954399999997</v>
      </c>
      <c r="P210" s="79">
        <v>91.69</v>
      </c>
      <c r="Q210" s="70"/>
      <c r="R210" s="77">
        <v>0.89218916000000004</v>
      </c>
      <c r="S210" s="78">
        <v>7.2522823011293462E-6</v>
      </c>
      <c r="T210" s="78">
        <f t="shared" si="5"/>
        <v>6.7968680774014168E-4</v>
      </c>
      <c r="U210" s="78">
        <f>R210/'סכום נכסי הקרן'!$C$42</f>
        <v>1.1034916645511031E-5</v>
      </c>
    </row>
    <row r="211" spans="2:21">
      <c r="B211" s="76" t="s">
        <v>757</v>
      </c>
      <c r="C211" s="70" t="s">
        <v>758</v>
      </c>
      <c r="D211" s="83" t="s">
        <v>113</v>
      </c>
      <c r="E211" s="83" t="s">
        <v>280</v>
      </c>
      <c r="F211" s="70" t="s">
        <v>584</v>
      </c>
      <c r="G211" s="83" t="s">
        <v>149</v>
      </c>
      <c r="H211" s="70" t="s">
        <v>585</v>
      </c>
      <c r="I211" s="70" t="s">
        <v>284</v>
      </c>
      <c r="J211" s="70"/>
      <c r="K211" s="77">
        <v>1.3200000013288964</v>
      </c>
      <c r="L211" s="83" t="s">
        <v>157</v>
      </c>
      <c r="M211" s="84">
        <v>4.2500000000000003E-2</v>
      </c>
      <c r="N211" s="84">
        <v>0.23460000012292295</v>
      </c>
      <c r="O211" s="77">
        <v>899.74325899999997</v>
      </c>
      <c r="P211" s="79">
        <v>80.290000000000006</v>
      </c>
      <c r="Q211" s="70"/>
      <c r="R211" s="77">
        <v>0.722403872</v>
      </c>
      <c r="S211" s="78">
        <v>3.4793036264019943E-6</v>
      </c>
      <c r="T211" s="78">
        <f t="shared" si="5"/>
        <v>5.503411201037209E-4</v>
      </c>
      <c r="U211" s="78">
        <f>R211/'סכום נכסי הקרן'!$C$42</f>
        <v>8.9349510948041772E-6</v>
      </c>
    </row>
    <row r="212" spans="2:21">
      <c r="B212" s="76" t="s">
        <v>759</v>
      </c>
      <c r="C212" s="70" t="s">
        <v>760</v>
      </c>
      <c r="D212" s="83" t="s">
        <v>113</v>
      </c>
      <c r="E212" s="83" t="s">
        <v>280</v>
      </c>
      <c r="F212" s="70" t="s">
        <v>584</v>
      </c>
      <c r="G212" s="83" t="s">
        <v>149</v>
      </c>
      <c r="H212" s="70" t="s">
        <v>585</v>
      </c>
      <c r="I212" s="70" t="s">
        <v>284</v>
      </c>
      <c r="J212" s="70"/>
      <c r="K212" s="77">
        <v>1.1900000000685251</v>
      </c>
      <c r="L212" s="83" t="s">
        <v>157</v>
      </c>
      <c r="M212" s="84">
        <v>3.7000000000000005E-2</v>
      </c>
      <c r="N212" s="84">
        <v>0.22299999998471365</v>
      </c>
      <c r="O212" s="77">
        <v>2313.8388460000001</v>
      </c>
      <c r="P212" s="79">
        <v>81.99</v>
      </c>
      <c r="Q212" s="70"/>
      <c r="R212" s="77">
        <v>1.8971165729999999</v>
      </c>
      <c r="S212" s="78">
        <v>1.1733681732669666E-5</v>
      </c>
      <c r="T212" s="78">
        <f t="shared" si="5"/>
        <v>1.4452597781094846E-3</v>
      </c>
      <c r="U212" s="78">
        <f>R212/'סכום נכסי הקרן'!$C$42</f>
        <v>2.3464220580613804E-5</v>
      </c>
    </row>
    <row r="213" spans="2:21">
      <c r="B213" s="76" t="s">
        <v>761</v>
      </c>
      <c r="C213" s="70" t="s">
        <v>762</v>
      </c>
      <c r="D213" s="83" t="s">
        <v>113</v>
      </c>
      <c r="E213" s="83" t="s">
        <v>280</v>
      </c>
      <c r="F213" s="70" t="s">
        <v>763</v>
      </c>
      <c r="G213" s="83" t="s">
        <v>635</v>
      </c>
      <c r="H213" s="70" t="s">
        <v>581</v>
      </c>
      <c r="I213" s="70" t="s">
        <v>153</v>
      </c>
      <c r="J213" s="70"/>
      <c r="K213" s="77">
        <v>3.3300000011481057</v>
      </c>
      <c r="L213" s="83" t="s">
        <v>157</v>
      </c>
      <c r="M213" s="84">
        <v>3.7499999999999999E-2</v>
      </c>
      <c r="N213" s="84">
        <v>1.6300000002649476E-2</v>
      </c>
      <c r="O213" s="77">
        <v>528.37143700000001</v>
      </c>
      <c r="P213" s="79">
        <v>107.15</v>
      </c>
      <c r="Q213" s="70"/>
      <c r="R213" s="77">
        <v>0.56614999499999996</v>
      </c>
      <c r="S213" s="78">
        <v>1.336726561696757E-6</v>
      </c>
      <c r="T213" s="78">
        <f t="shared" si="5"/>
        <v>4.3130392080043553E-4</v>
      </c>
      <c r="U213" s="78">
        <f>R213/'סכום נכסי הקרן'!$C$42</f>
        <v>7.0023469055390518E-6</v>
      </c>
    </row>
    <row r="214" spans="2:21">
      <c r="B214" s="76" t="s">
        <v>764</v>
      </c>
      <c r="C214" s="70" t="s">
        <v>765</v>
      </c>
      <c r="D214" s="83" t="s">
        <v>113</v>
      </c>
      <c r="E214" s="83" t="s">
        <v>280</v>
      </c>
      <c r="F214" s="70" t="s">
        <v>763</v>
      </c>
      <c r="G214" s="83" t="s">
        <v>635</v>
      </c>
      <c r="H214" s="70" t="s">
        <v>585</v>
      </c>
      <c r="I214" s="70" t="s">
        <v>284</v>
      </c>
      <c r="J214" s="70"/>
      <c r="K214" s="77">
        <v>5.789999999290294</v>
      </c>
      <c r="L214" s="83" t="s">
        <v>157</v>
      </c>
      <c r="M214" s="84">
        <v>3.7499999999999999E-2</v>
      </c>
      <c r="N214" s="84">
        <v>2.0799999997440404E-2</v>
      </c>
      <c r="O214" s="77">
        <v>3073.2521980000001</v>
      </c>
      <c r="P214" s="79">
        <v>111.87</v>
      </c>
      <c r="Q214" s="70"/>
      <c r="R214" s="77">
        <v>3.4380473360000003</v>
      </c>
      <c r="S214" s="78">
        <v>8.3060870216216216E-6</v>
      </c>
      <c r="T214" s="78">
        <f t="shared" si="5"/>
        <v>2.6191703771264586E-3</v>
      </c>
      <c r="U214" s="78">
        <f>R214/'סכום נכסי הקרן'!$C$42</f>
        <v>4.2523006865585831E-5</v>
      </c>
    </row>
    <row r="215" spans="2:21">
      <c r="B215" s="76" t="s">
        <v>766</v>
      </c>
      <c r="C215" s="70" t="s">
        <v>767</v>
      </c>
      <c r="D215" s="83" t="s">
        <v>113</v>
      </c>
      <c r="E215" s="83" t="s">
        <v>280</v>
      </c>
      <c r="F215" s="70" t="s">
        <v>768</v>
      </c>
      <c r="G215" s="83" t="s">
        <v>144</v>
      </c>
      <c r="H215" s="70" t="s">
        <v>585</v>
      </c>
      <c r="I215" s="70" t="s">
        <v>284</v>
      </c>
      <c r="J215" s="70"/>
      <c r="K215" s="77">
        <v>1.5200000002226148</v>
      </c>
      <c r="L215" s="83" t="s">
        <v>157</v>
      </c>
      <c r="M215" s="84">
        <v>3.4000000000000002E-2</v>
      </c>
      <c r="N215" s="84">
        <v>7.4700000010574211E-2</v>
      </c>
      <c r="O215" s="77">
        <v>189.638554</v>
      </c>
      <c r="P215" s="79">
        <v>94.75</v>
      </c>
      <c r="Q215" s="70"/>
      <c r="R215" s="77">
        <v>0.17968252300000001</v>
      </c>
      <c r="S215" s="78">
        <v>4.1670318267458887E-7</v>
      </c>
      <c r="T215" s="78">
        <f t="shared" si="5"/>
        <v>1.3688559101588342E-4</v>
      </c>
      <c r="U215" s="78">
        <f>R215/'סכום נכסי הקרן'!$C$42</f>
        <v>2.2223781153764731E-6</v>
      </c>
    </row>
    <row r="216" spans="2:21">
      <c r="B216" s="76" t="s">
        <v>769</v>
      </c>
      <c r="C216" s="70" t="s">
        <v>770</v>
      </c>
      <c r="D216" s="83" t="s">
        <v>113</v>
      </c>
      <c r="E216" s="83" t="s">
        <v>280</v>
      </c>
      <c r="F216" s="70" t="s">
        <v>771</v>
      </c>
      <c r="G216" s="83" t="s">
        <v>498</v>
      </c>
      <c r="H216" s="70" t="s">
        <v>581</v>
      </c>
      <c r="I216" s="70" t="s">
        <v>153</v>
      </c>
      <c r="J216" s="70"/>
      <c r="K216" s="77">
        <v>2.2702702702702702</v>
      </c>
      <c r="L216" s="83" t="s">
        <v>157</v>
      </c>
      <c r="M216" s="84">
        <v>6.0499999999999998E-2</v>
      </c>
      <c r="N216" s="84">
        <v>5.8918918918918921E-2</v>
      </c>
      <c r="O216" s="77">
        <v>3.6999999999999998E-5</v>
      </c>
      <c r="P216" s="79">
        <v>101.2</v>
      </c>
      <c r="Q216" s="70"/>
      <c r="R216" s="77">
        <v>3.7E-8</v>
      </c>
      <c r="S216" s="78">
        <v>6.940848555991443E-14</v>
      </c>
      <c r="T216" s="78">
        <f t="shared" si="5"/>
        <v>2.8187309388947564E-11</v>
      </c>
      <c r="U216" s="78">
        <f>R216/'סכום נכסי הקרן'!$C$42</f>
        <v>4.5762931695326602E-13</v>
      </c>
    </row>
    <row r="217" spans="2:21">
      <c r="B217" s="76" t="s">
        <v>772</v>
      </c>
      <c r="C217" s="70" t="s">
        <v>773</v>
      </c>
      <c r="D217" s="83" t="s">
        <v>113</v>
      </c>
      <c r="E217" s="83" t="s">
        <v>280</v>
      </c>
      <c r="F217" s="70" t="s">
        <v>774</v>
      </c>
      <c r="G217" s="83" t="s">
        <v>149</v>
      </c>
      <c r="H217" s="70" t="s">
        <v>585</v>
      </c>
      <c r="I217" s="70" t="s">
        <v>284</v>
      </c>
      <c r="J217" s="70"/>
      <c r="K217" s="77">
        <v>2.4200000006137872</v>
      </c>
      <c r="L217" s="83" t="s">
        <v>157</v>
      </c>
      <c r="M217" s="84">
        <v>2.9500000000000002E-2</v>
      </c>
      <c r="N217" s="84">
        <v>1.8600000004553908E-2</v>
      </c>
      <c r="O217" s="77">
        <v>1967.898089</v>
      </c>
      <c r="P217" s="79">
        <v>102.66</v>
      </c>
      <c r="Q217" s="70"/>
      <c r="R217" s="77">
        <v>2.020244178</v>
      </c>
      <c r="S217" s="78">
        <v>1.2229100833841047E-5</v>
      </c>
      <c r="T217" s="78">
        <f t="shared" si="5"/>
        <v>1.5390607482839475E-3</v>
      </c>
      <c r="U217" s="78">
        <f>R217/'סכום נכסי הקרן'!$C$42</f>
        <v>2.4987107115052762E-5</v>
      </c>
    </row>
    <row r="218" spans="2:21">
      <c r="B218" s="76" t="s">
        <v>775</v>
      </c>
      <c r="C218" s="70" t="s">
        <v>776</v>
      </c>
      <c r="D218" s="83" t="s">
        <v>113</v>
      </c>
      <c r="E218" s="83" t="s">
        <v>280</v>
      </c>
      <c r="F218" s="70" t="s">
        <v>548</v>
      </c>
      <c r="G218" s="83" t="s">
        <v>405</v>
      </c>
      <c r="H218" s="70" t="s">
        <v>581</v>
      </c>
      <c r="I218" s="70" t="s">
        <v>153</v>
      </c>
      <c r="J218" s="70"/>
      <c r="K218" s="77">
        <v>7.8899999996916179</v>
      </c>
      <c r="L218" s="83" t="s">
        <v>157</v>
      </c>
      <c r="M218" s="84">
        <v>3.4300000000000004E-2</v>
      </c>
      <c r="N218" s="84">
        <v>2.1699999998863854E-2</v>
      </c>
      <c r="O218" s="77">
        <v>3907.9705479999998</v>
      </c>
      <c r="P218" s="79">
        <v>110.36</v>
      </c>
      <c r="Q218" s="70"/>
      <c r="R218" s="77">
        <v>4.3128362969999996</v>
      </c>
      <c r="S218" s="78">
        <v>1.5392983094375293E-5</v>
      </c>
      <c r="T218" s="78">
        <f t="shared" si="5"/>
        <v>3.2856013796600525E-3</v>
      </c>
      <c r="U218" s="78">
        <f>R218/'סכום נכסי הקרן'!$C$42</f>
        <v>5.3342711587226018E-5</v>
      </c>
    </row>
    <row r="219" spans="2:21">
      <c r="B219" s="76" t="s">
        <v>777</v>
      </c>
      <c r="C219" s="70" t="s">
        <v>778</v>
      </c>
      <c r="D219" s="83" t="s">
        <v>113</v>
      </c>
      <c r="E219" s="83" t="s">
        <v>280</v>
      </c>
      <c r="F219" s="70" t="s">
        <v>779</v>
      </c>
      <c r="G219" s="83" t="s">
        <v>498</v>
      </c>
      <c r="H219" s="70" t="s">
        <v>585</v>
      </c>
      <c r="I219" s="70" t="s">
        <v>284</v>
      </c>
      <c r="J219" s="70"/>
      <c r="K219" s="77">
        <v>3.9300000006326696</v>
      </c>
      <c r="L219" s="83" t="s">
        <v>157</v>
      </c>
      <c r="M219" s="84">
        <v>3.9E-2</v>
      </c>
      <c r="N219" s="84">
        <v>5.200000000843559E-2</v>
      </c>
      <c r="O219" s="77">
        <v>3717.7113479999998</v>
      </c>
      <c r="P219" s="79">
        <v>95.66</v>
      </c>
      <c r="Q219" s="70"/>
      <c r="R219" s="77">
        <v>3.5563626749999995</v>
      </c>
      <c r="S219" s="78">
        <v>8.8329761885528283E-6</v>
      </c>
      <c r="T219" s="78">
        <f t="shared" si="5"/>
        <v>2.7093052707981126E-3</v>
      </c>
      <c r="U219" s="78">
        <f>R219/'סכום נכסי הקרן'!$C$42</f>
        <v>4.3986373562117284E-5</v>
      </c>
    </row>
    <row r="220" spans="2:21">
      <c r="B220" s="76" t="s">
        <v>780</v>
      </c>
      <c r="C220" s="70" t="s">
        <v>781</v>
      </c>
      <c r="D220" s="83" t="s">
        <v>113</v>
      </c>
      <c r="E220" s="83" t="s">
        <v>280</v>
      </c>
      <c r="F220" s="70" t="s">
        <v>782</v>
      </c>
      <c r="G220" s="83" t="s">
        <v>184</v>
      </c>
      <c r="H220" s="70" t="s">
        <v>585</v>
      </c>
      <c r="I220" s="70" t="s">
        <v>284</v>
      </c>
      <c r="J220" s="70"/>
      <c r="K220" s="77">
        <v>0.99000000045950054</v>
      </c>
      <c r="L220" s="83" t="s">
        <v>157</v>
      </c>
      <c r="M220" s="84">
        <v>1.21E-2</v>
      </c>
      <c r="N220" s="84">
        <v>1.4400000002732167E-2</v>
      </c>
      <c r="O220" s="77">
        <v>1613.3476999999998</v>
      </c>
      <c r="P220" s="79">
        <v>99.82</v>
      </c>
      <c r="Q220" s="70"/>
      <c r="R220" s="77">
        <v>1.6104436740000001</v>
      </c>
      <c r="S220" s="78">
        <v>7.3852024748142412E-6</v>
      </c>
      <c r="T220" s="78">
        <f t="shared" si="5"/>
        <v>1.2268668673651732E-3</v>
      </c>
      <c r="U220" s="78">
        <f>R220/'סכום נכסי הקרן'!$C$42</f>
        <v>1.9918546987144006E-5</v>
      </c>
    </row>
    <row r="221" spans="2:21">
      <c r="B221" s="76" t="s">
        <v>783</v>
      </c>
      <c r="C221" s="70" t="s">
        <v>784</v>
      </c>
      <c r="D221" s="83" t="s">
        <v>113</v>
      </c>
      <c r="E221" s="83" t="s">
        <v>280</v>
      </c>
      <c r="F221" s="70" t="s">
        <v>782</v>
      </c>
      <c r="G221" s="83" t="s">
        <v>184</v>
      </c>
      <c r="H221" s="70" t="s">
        <v>585</v>
      </c>
      <c r="I221" s="70" t="s">
        <v>284</v>
      </c>
      <c r="J221" s="70"/>
      <c r="K221" s="77">
        <v>2.4299999998295565</v>
      </c>
      <c r="L221" s="83" t="s">
        <v>157</v>
      </c>
      <c r="M221" s="84">
        <v>2.1600000000000001E-2</v>
      </c>
      <c r="N221" s="84">
        <v>1.4399999999703577E-2</v>
      </c>
      <c r="O221" s="77">
        <v>6628.4464130000006</v>
      </c>
      <c r="P221" s="79">
        <v>101.79</v>
      </c>
      <c r="Q221" s="70"/>
      <c r="R221" s="77">
        <v>6.7470956050000002</v>
      </c>
      <c r="S221" s="78">
        <v>8.1168652066599856E-6</v>
      </c>
      <c r="T221" s="78">
        <f t="shared" si="5"/>
        <v>5.140066791755226E-3</v>
      </c>
      <c r="U221" s="78">
        <f>R221/'סכום נכסי הקרן'!$C$42</f>
        <v>8.3450506841473856E-5</v>
      </c>
    </row>
    <row r="222" spans="2:21">
      <c r="B222" s="76" t="s">
        <v>785</v>
      </c>
      <c r="C222" s="70" t="s">
        <v>786</v>
      </c>
      <c r="D222" s="83" t="s">
        <v>113</v>
      </c>
      <c r="E222" s="83" t="s">
        <v>280</v>
      </c>
      <c r="F222" s="70" t="s">
        <v>748</v>
      </c>
      <c r="G222" s="83" t="s">
        <v>144</v>
      </c>
      <c r="H222" s="70" t="s">
        <v>581</v>
      </c>
      <c r="I222" s="70" t="s">
        <v>153</v>
      </c>
      <c r="J222" s="70"/>
      <c r="K222" s="77">
        <v>1.9600000001240239</v>
      </c>
      <c r="L222" s="83" t="s">
        <v>157</v>
      </c>
      <c r="M222" s="84">
        <v>2.4E-2</v>
      </c>
      <c r="N222" s="84">
        <v>4.0400000006511248E-2</v>
      </c>
      <c r="O222" s="77">
        <v>1327.923241</v>
      </c>
      <c r="P222" s="79">
        <v>97.15</v>
      </c>
      <c r="Q222" s="70"/>
      <c r="R222" s="77">
        <v>1.2900774289999999</v>
      </c>
      <c r="S222" s="78">
        <v>4.7168576494077224E-6</v>
      </c>
      <c r="T222" s="78">
        <f t="shared" si="5"/>
        <v>9.8280571964651448E-4</v>
      </c>
      <c r="U222" s="78">
        <f>R222/'סכום נכסי הקרן'!$C$42</f>
        <v>1.5956141963516092E-5</v>
      </c>
    </row>
    <row r="223" spans="2:21">
      <c r="B223" s="76" t="s">
        <v>787</v>
      </c>
      <c r="C223" s="70" t="s">
        <v>788</v>
      </c>
      <c r="D223" s="83" t="s">
        <v>113</v>
      </c>
      <c r="E223" s="83" t="s">
        <v>280</v>
      </c>
      <c r="F223" s="70" t="s">
        <v>789</v>
      </c>
      <c r="G223" s="83" t="s">
        <v>790</v>
      </c>
      <c r="H223" s="70" t="s">
        <v>585</v>
      </c>
      <c r="I223" s="70" t="s">
        <v>284</v>
      </c>
      <c r="J223" s="70"/>
      <c r="K223" s="77">
        <v>5.150000000505158</v>
      </c>
      <c r="L223" s="83" t="s">
        <v>157</v>
      </c>
      <c r="M223" s="84">
        <v>2.6200000000000001E-2</v>
      </c>
      <c r="N223" s="84">
        <v>1.9200000001709763E-2</v>
      </c>
      <c r="O223" s="77">
        <v>4475.870218</v>
      </c>
      <c r="P223" s="79">
        <v>103.6</v>
      </c>
      <c r="Q223" s="77">
        <v>0.50990948999999997</v>
      </c>
      <c r="R223" s="77">
        <v>5.1469110360000005</v>
      </c>
      <c r="S223" s="78">
        <v>6.8947121098200482E-6</v>
      </c>
      <c r="T223" s="78">
        <f t="shared" si="5"/>
        <v>3.9210155072735313E-3</v>
      </c>
      <c r="U223" s="78">
        <f>R223/'סכום נכסי הקרן'!$C$42</f>
        <v>6.3658848157402878E-5</v>
      </c>
    </row>
    <row r="224" spans="2:21">
      <c r="B224" s="76" t="s">
        <v>791</v>
      </c>
      <c r="C224" s="70" t="s">
        <v>792</v>
      </c>
      <c r="D224" s="83" t="s">
        <v>113</v>
      </c>
      <c r="E224" s="83" t="s">
        <v>280</v>
      </c>
      <c r="F224" s="70" t="s">
        <v>789</v>
      </c>
      <c r="G224" s="83" t="s">
        <v>790</v>
      </c>
      <c r="H224" s="70" t="s">
        <v>585</v>
      </c>
      <c r="I224" s="70" t="s">
        <v>284</v>
      </c>
      <c r="J224" s="70"/>
      <c r="K224" s="77">
        <v>2.640000000379942</v>
      </c>
      <c r="L224" s="83" t="s">
        <v>157</v>
      </c>
      <c r="M224" s="84">
        <v>3.3500000000000002E-2</v>
      </c>
      <c r="N224" s="84">
        <v>1.5900000001688629E-2</v>
      </c>
      <c r="O224" s="77">
        <v>1795.8922969999999</v>
      </c>
      <c r="P224" s="79">
        <v>105.52</v>
      </c>
      <c r="Q224" s="70"/>
      <c r="R224" s="77">
        <v>1.8950255520000001</v>
      </c>
      <c r="S224" s="78">
        <v>4.3557563875322816E-6</v>
      </c>
      <c r="T224" s="78">
        <f t="shared" si="5"/>
        <v>1.4436667982212202E-3</v>
      </c>
      <c r="U224" s="78">
        <f>R224/'סכום נכסי הקרן'!$C$42</f>
        <v>2.3438358080290427E-5</v>
      </c>
    </row>
    <row r="225" spans="2:21">
      <c r="B225" s="76" t="s">
        <v>793</v>
      </c>
      <c r="C225" s="70" t="s">
        <v>794</v>
      </c>
      <c r="D225" s="83" t="s">
        <v>113</v>
      </c>
      <c r="E225" s="83" t="s">
        <v>280</v>
      </c>
      <c r="F225" s="70" t="s">
        <v>580</v>
      </c>
      <c r="G225" s="83" t="s">
        <v>290</v>
      </c>
      <c r="H225" s="70" t="s">
        <v>595</v>
      </c>
      <c r="I225" s="70" t="s">
        <v>153</v>
      </c>
      <c r="J225" s="70"/>
      <c r="K225" s="77">
        <v>0.19000000109188553</v>
      </c>
      <c r="L225" s="83" t="s">
        <v>157</v>
      </c>
      <c r="M225" s="84">
        <v>2.5399999999999999E-2</v>
      </c>
      <c r="N225" s="84">
        <v>2.0899999998786792E-2</v>
      </c>
      <c r="O225" s="77">
        <v>246.71122500000001</v>
      </c>
      <c r="P225" s="79">
        <v>100.23</v>
      </c>
      <c r="Q225" s="70"/>
      <c r="R225" s="77">
        <v>0.24727866700000001</v>
      </c>
      <c r="S225" s="78">
        <v>2.5558514109895578E-6</v>
      </c>
      <c r="T225" s="78">
        <f t="shared" ref="T225:T243" si="6">R225/$R$11</f>
        <v>1.8838162951393346E-4</v>
      </c>
      <c r="U225" s="78">
        <f>R225/'סכום נכסי הקרן'!$C$42</f>
        <v>3.058431553414165E-6</v>
      </c>
    </row>
    <row r="226" spans="2:21">
      <c r="B226" s="76" t="s">
        <v>795</v>
      </c>
      <c r="C226" s="70" t="s">
        <v>796</v>
      </c>
      <c r="D226" s="83" t="s">
        <v>113</v>
      </c>
      <c r="E226" s="83" t="s">
        <v>280</v>
      </c>
      <c r="F226" s="70" t="s">
        <v>797</v>
      </c>
      <c r="G226" s="83" t="s">
        <v>498</v>
      </c>
      <c r="H226" s="70" t="s">
        <v>595</v>
      </c>
      <c r="I226" s="70" t="s">
        <v>153</v>
      </c>
      <c r="J226" s="70"/>
      <c r="K226" s="77">
        <v>3.0899999994520679</v>
      </c>
      <c r="L226" s="83" t="s">
        <v>157</v>
      </c>
      <c r="M226" s="84">
        <v>3.95E-2</v>
      </c>
      <c r="N226" s="84">
        <v>0.17239999997133895</v>
      </c>
      <c r="O226" s="77">
        <v>3063.5581219999999</v>
      </c>
      <c r="P226" s="79">
        <v>69.7</v>
      </c>
      <c r="Q226" s="70"/>
      <c r="R226" s="77">
        <v>2.135300113</v>
      </c>
      <c r="S226" s="78">
        <v>5.2183730976550555E-6</v>
      </c>
      <c r="T226" s="78">
        <f t="shared" si="6"/>
        <v>1.6267125654969108E-3</v>
      </c>
      <c r="U226" s="78">
        <f>R226/'סכום נכסי הקרן'!$C$42</f>
        <v>2.6410160329795179E-5</v>
      </c>
    </row>
    <row r="227" spans="2:21">
      <c r="B227" s="76" t="s">
        <v>798</v>
      </c>
      <c r="C227" s="70" t="s">
        <v>799</v>
      </c>
      <c r="D227" s="83" t="s">
        <v>113</v>
      </c>
      <c r="E227" s="83" t="s">
        <v>280</v>
      </c>
      <c r="F227" s="70" t="s">
        <v>797</v>
      </c>
      <c r="G227" s="83" t="s">
        <v>498</v>
      </c>
      <c r="H227" s="70" t="s">
        <v>595</v>
      </c>
      <c r="I227" s="70" t="s">
        <v>153</v>
      </c>
      <c r="J227" s="70"/>
      <c r="K227" s="77">
        <v>3.6600000001485165</v>
      </c>
      <c r="L227" s="83" t="s">
        <v>157</v>
      </c>
      <c r="M227" s="84">
        <v>0.03</v>
      </c>
      <c r="N227" s="84">
        <v>5.2800000003630422E-2</v>
      </c>
      <c r="O227" s="77">
        <v>5184.4046420000004</v>
      </c>
      <c r="P227" s="79">
        <v>93.51</v>
      </c>
      <c r="Q227" s="70"/>
      <c r="R227" s="77">
        <v>4.8479366080000004</v>
      </c>
      <c r="S227" s="78">
        <v>6.3206024609900292E-6</v>
      </c>
      <c r="T227" s="78">
        <f t="shared" si="6"/>
        <v>3.6932510558838113E-3</v>
      </c>
      <c r="U227" s="78">
        <f>R227/'סכום נכסי הקרן'!$C$42</f>
        <v>5.99610248257236E-5</v>
      </c>
    </row>
    <row r="228" spans="2:21">
      <c r="B228" s="76" t="s">
        <v>800</v>
      </c>
      <c r="C228" s="70" t="s">
        <v>801</v>
      </c>
      <c r="D228" s="83" t="s">
        <v>113</v>
      </c>
      <c r="E228" s="83" t="s">
        <v>280</v>
      </c>
      <c r="F228" s="70" t="s">
        <v>598</v>
      </c>
      <c r="G228" s="83" t="s">
        <v>599</v>
      </c>
      <c r="H228" s="70" t="s">
        <v>595</v>
      </c>
      <c r="I228" s="70" t="s">
        <v>153</v>
      </c>
      <c r="J228" s="70"/>
      <c r="K228" s="77">
        <v>4.0600000002138286</v>
      </c>
      <c r="L228" s="83" t="s">
        <v>157</v>
      </c>
      <c r="M228" s="84">
        <v>2.9500000000000002E-2</v>
      </c>
      <c r="N228" s="84">
        <v>3.4800000001832816E-2</v>
      </c>
      <c r="O228" s="77">
        <v>3340.4694439999998</v>
      </c>
      <c r="P228" s="79">
        <v>98</v>
      </c>
      <c r="Q228" s="70"/>
      <c r="R228" s="77">
        <v>3.2736600549999997</v>
      </c>
      <c r="S228" s="78">
        <v>1.05241468258719E-5</v>
      </c>
      <c r="T228" s="78">
        <f t="shared" si="6"/>
        <v>2.4939369947168675E-3</v>
      </c>
      <c r="U228" s="78">
        <f>R228/'סכום נכסי הקרן'!$C$42</f>
        <v>4.0489805808293001E-5</v>
      </c>
    </row>
    <row r="229" spans="2:21">
      <c r="B229" s="76" t="s">
        <v>802</v>
      </c>
      <c r="C229" s="70" t="s">
        <v>803</v>
      </c>
      <c r="D229" s="83" t="s">
        <v>113</v>
      </c>
      <c r="E229" s="83" t="s">
        <v>280</v>
      </c>
      <c r="F229" s="70" t="s">
        <v>804</v>
      </c>
      <c r="G229" s="83" t="s">
        <v>405</v>
      </c>
      <c r="H229" s="70" t="s">
        <v>595</v>
      </c>
      <c r="I229" s="70" t="s">
        <v>153</v>
      </c>
      <c r="J229" s="70"/>
      <c r="K229" s="77">
        <v>1.9400000437049214</v>
      </c>
      <c r="L229" s="83" t="s">
        <v>157</v>
      </c>
      <c r="M229" s="84">
        <v>4.3499999999999997E-2</v>
      </c>
      <c r="N229" s="84">
        <v>2.1000000805090659E-2</v>
      </c>
      <c r="O229" s="77">
        <v>8.1640119999999996</v>
      </c>
      <c r="P229" s="79">
        <v>106.5</v>
      </c>
      <c r="Q229" s="70"/>
      <c r="R229" s="77">
        <v>8.694673E-3</v>
      </c>
      <c r="S229" s="78">
        <v>4.7252276081609024E-8</v>
      </c>
      <c r="T229" s="78">
        <f t="shared" si="6"/>
        <v>6.6237685915332133E-6</v>
      </c>
      <c r="U229" s="78">
        <f>R229/'סכום נכסי הקרן'!$C$42</f>
        <v>1.0753884503032443E-7</v>
      </c>
    </row>
    <row r="230" spans="2:21">
      <c r="B230" s="76" t="s">
        <v>805</v>
      </c>
      <c r="C230" s="70" t="s">
        <v>806</v>
      </c>
      <c r="D230" s="83" t="s">
        <v>113</v>
      </c>
      <c r="E230" s="83" t="s">
        <v>280</v>
      </c>
      <c r="F230" s="70" t="s">
        <v>804</v>
      </c>
      <c r="G230" s="83" t="s">
        <v>405</v>
      </c>
      <c r="H230" s="70" t="s">
        <v>595</v>
      </c>
      <c r="I230" s="70" t="s">
        <v>153</v>
      </c>
      <c r="J230" s="70"/>
      <c r="K230" s="77">
        <v>4.9700000012185654</v>
      </c>
      <c r="L230" s="83" t="s">
        <v>157</v>
      </c>
      <c r="M230" s="84">
        <v>3.27E-2</v>
      </c>
      <c r="N230" s="84">
        <v>2.2700000003159245E-2</v>
      </c>
      <c r="O230" s="77">
        <v>1680.1661360000001</v>
      </c>
      <c r="P230" s="79">
        <v>105.5</v>
      </c>
      <c r="Q230" s="70"/>
      <c r="R230" s="77">
        <v>1.7725752720000001</v>
      </c>
      <c r="S230" s="78">
        <v>7.5343772914798206E-6</v>
      </c>
      <c r="T230" s="78">
        <f t="shared" si="6"/>
        <v>1.3503818272178887E-3</v>
      </c>
      <c r="U230" s="78">
        <f>R230/'סכום נכסי הקרן'!$C$42</f>
        <v>2.1923848945232695E-5</v>
      </c>
    </row>
    <row r="231" spans="2:21">
      <c r="B231" s="76" t="s">
        <v>807</v>
      </c>
      <c r="C231" s="70" t="s">
        <v>808</v>
      </c>
      <c r="D231" s="83" t="s">
        <v>113</v>
      </c>
      <c r="E231" s="83" t="s">
        <v>280</v>
      </c>
      <c r="F231" s="70" t="s">
        <v>809</v>
      </c>
      <c r="G231" s="83" t="s">
        <v>149</v>
      </c>
      <c r="H231" s="70" t="s">
        <v>602</v>
      </c>
      <c r="I231" s="70" t="s">
        <v>284</v>
      </c>
      <c r="J231" s="70"/>
      <c r="K231" s="77">
        <v>0.72000000021695121</v>
      </c>
      <c r="L231" s="83" t="s">
        <v>157</v>
      </c>
      <c r="M231" s="84">
        <v>3.3000000000000002E-2</v>
      </c>
      <c r="N231" s="84">
        <v>0.17150000011118749</v>
      </c>
      <c r="O231" s="77">
        <v>603.44730500000003</v>
      </c>
      <c r="P231" s="79">
        <v>91.66</v>
      </c>
      <c r="Q231" s="70"/>
      <c r="R231" s="77">
        <v>0.55311977899999998</v>
      </c>
      <c r="S231" s="78">
        <v>2.7934940753126219E-6</v>
      </c>
      <c r="T231" s="78">
        <f t="shared" si="6"/>
        <v>4.2137725242754866E-4</v>
      </c>
      <c r="U231" s="78">
        <f>R231/'סכום נכסי הקרן'!$C$42</f>
        <v>6.841184504246254E-6</v>
      </c>
    </row>
    <row r="232" spans="2:21">
      <c r="B232" s="76" t="s">
        <v>810</v>
      </c>
      <c r="C232" s="70" t="s">
        <v>811</v>
      </c>
      <c r="D232" s="83" t="s">
        <v>113</v>
      </c>
      <c r="E232" s="83" t="s">
        <v>280</v>
      </c>
      <c r="F232" s="70" t="s">
        <v>615</v>
      </c>
      <c r="G232" s="83" t="s">
        <v>184</v>
      </c>
      <c r="H232" s="70" t="s">
        <v>602</v>
      </c>
      <c r="I232" s="70" t="s">
        <v>284</v>
      </c>
      <c r="J232" s="70"/>
      <c r="K232" s="77">
        <v>2.8300000003679497</v>
      </c>
      <c r="L232" s="83" t="s">
        <v>157</v>
      </c>
      <c r="M232" s="84">
        <v>4.1399999999999999E-2</v>
      </c>
      <c r="N232" s="84">
        <v>3.8700000003098527E-2</v>
      </c>
      <c r="O232" s="77">
        <v>1758.5993229999999</v>
      </c>
      <c r="P232" s="79">
        <v>100.8</v>
      </c>
      <c r="Q232" s="77">
        <v>0.292831911</v>
      </c>
      <c r="R232" s="77">
        <v>2.0655000279999998</v>
      </c>
      <c r="S232" s="78">
        <v>3.5710785366571452E-6</v>
      </c>
      <c r="T232" s="78">
        <f t="shared" si="6"/>
        <v>1.5735375224896176E-3</v>
      </c>
      <c r="U232" s="78">
        <f>R232/'סכום נכסי הקרן'!$C$42</f>
        <v>2.5546847756232207E-5</v>
      </c>
    </row>
    <row r="233" spans="2:21">
      <c r="B233" s="76" t="s">
        <v>812</v>
      </c>
      <c r="C233" s="70" t="s">
        <v>813</v>
      </c>
      <c r="D233" s="83" t="s">
        <v>113</v>
      </c>
      <c r="E233" s="83" t="s">
        <v>280</v>
      </c>
      <c r="F233" s="70" t="s">
        <v>615</v>
      </c>
      <c r="G233" s="83" t="s">
        <v>184</v>
      </c>
      <c r="H233" s="70" t="s">
        <v>602</v>
      </c>
      <c r="I233" s="70" t="s">
        <v>284</v>
      </c>
      <c r="J233" s="70"/>
      <c r="K233" s="77">
        <v>4.7499999997741806</v>
      </c>
      <c r="L233" s="83" t="s">
        <v>157</v>
      </c>
      <c r="M233" s="84">
        <v>2.5000000000000001E-2</v>
      </c>
      <c r="N233" s="84">
        <v>5.7699999997974066E-2</v>
      </c>
      <c r="O233" s="77">
        <v>8907.5594689999998</v>
      </c>
      <c r="P233" s="79">
        <v>87</v>
      </c>
      <c r="Q233" s="70"/>
      <c r="R233" s="77">
        <v>7.7495765410000006</v>
      </c>
      <c r="S233" s="78">
        <v>1.0797321699535163E-5</v>
      </c>
      <c r="T233" s="78">
        <f t="shared" si="6"/>
        <v>5.9037759890404624E-3</v>
      </c>
      <c r="U233" s="78">
        <f>R233/'סכום נכסי הקרן'!$C$42</f>
        <v>9.5849551868510373E-5</v>
      </c>
    </row>
    <row r="234" spans="2:21">
      <c r="B234" s="76" t="s">
        <v>814</v>
      </c>
      <c r="C234" s="70" t="s">
        <v>815</v>
      </c>
      <c r="D234" s="83" t="s">
        <v>113</v>
      </c>
      <c r="E234" s="83" t="s">
        <v>280</v>
      </c>
      <c r="F234" s="70" t="s">
        <v>615</v>
      </c>
      <c r="G234" s="83" t="s">
        <v>184</v>
      </c>
      <c r="H234" s="70" t="s">
        <v>602</v>
      </c>
      <c r="I234" s="70" t="s">
        <v>284</v>
      </c>
      <c r="J234" s="70"/>
      <c r="K234" s="77">
        <v>3.4199999996900701</v>
      </c>
      <c r="L234" s="83" t="s">
        <v>157</v>
      </c>
      <c r="M234" s="84">
        <v>3.5499999999999997E-2</v>
      </c>
      <c r="N234" s="84">
        <v>5.0299999994135619E-2</v>
      </c>
      <c r="O234" s="77">
        <v>3390.5691869999996</v>
      </c>
      <c r="P234" s="79">
        <v>95.29</v>
      </c>
      <c r="Q234" s="77">
        <v>6.0182604000000001E-2</v>
      </c>
      <c r="R234" s="77">
        <v>3.2910558309999995</v>
      </c>
      <c r="S234" s="78">
        <v>4.7711890888980823E-6</v>
      </c>
      <c r="T234" s="78">
        <f t="shared" si="6"/>
        <v>2.5071894303972139E-3</v>
      </c>
      <c r="U234" s="78">
        <f>R234/'סכום נכסי הקרן'!$C$42</f>
        <v>4.0704963026907915E-5</v>
      </c>
    </row>
    <row r="235" spans="2:21">
      <c r="B235" s="76" t="s">
        <v>816</v>
      </c>
      <c r="C235" s="70" t="s">
        <v>817</v>
      </c>
      <c r="D235" s="83" t="s">
        <v>113</v>
      </c>
      <c r="E235" s="83" t="s">
        <v>280</v>
      </c>
      <c r="F235" s="70" t="s">
        <v>622</v>
      </c>
      <c r="G235" s="83" t="s">
        <v>409</v>
      </c>
      <c r="H235" s="70" t="s">
        <v>619</v>
      </c>
      <c r="I235" s="70" t="s">
        <v>153</v>
      </c>
      <c r="J235" s="70"/>
      <c r="K235" s="77">
        <v>5.3000000005902157</v>
      </c>
      <c r="L235" s="83" t="s">
        <v>157</v>
      </c>
      <c r="M235" s="84">
        <v>4.4500000000000005E-2</v>
      </c>
      <c r="N235" s="84">
        <v>2.2300000003273014E-2</v>
      </c>
      <c r="O235" s="77">
        <v>3326.8934749999999</v>
      </c>
      <c r="P235" s="79">
        <v>112.04</v>
      </c>
      <c r="Q235" s="70"/>
      <c r="R235" s="77">
        <v>3.7274514860000001</v>
      </c>
      <c r="S235" s="78">
        <v>1.2294870044199385E-5</v>
      </c>
      <c r="T235" s="78">
        <f t="shared" si="6"/>
        <v>2.8396440072479554E-3</v>
      </c>
      <c r="U235" s="78">
        <f>R235/'סכום נכסי הקרן'!$C$42</f>
        <v>4.6102461554449086E-5</v>
      </c>
    </row>
    <row r="236" spans="2:21">
      <c r="B236" s="76" t="s">
        <v>818</v>
      </c>
      <c r="C236" s="70" t="s">
        <v>819</v>
      </c>
      <c r="D236" s="83" t="s">
        <v>113</v>
      </c>
      <c r="E236" s="83" t="s">
        <v>280</v>
      </c>
      <c r="F236" s="70" t="s">
        <v>820</v>
      </c>
      <c r="G236" s="83" t="s">
        <v>183</v>
      </c>
      <c r="H236" s="70" t="s">
        <v>619</v>
      </c>
      <c r="I236" s="70" t="s">
        <v>153</v>
      </c>
      <c r="J236" s="70"/>
      <c r="K236" s="77">
        <v>3.5</v>
      </c>
      <c r="L236" s="83" t="s">
        <v>157</v>
      </c>
      <c r="M236" s="84">
        <v>4.2500000000000003E-2</v>
      </c>
      <c r="N236" s="84">
        <v>2.3200000002104273E-2</v>
      </c>
      <c r="O236" s="77">
        <v>350.75062400000002</v>
      </c>
      <c r="P236" s="79">
        <v>108.39</v>
      </c>
      <c r="Q236" s="70"/>
      <c r="R236" s="77">
        <v>0.38017860599999997</v>
      </c>
      <c r="S236" s="78">
        <v>2.9029639892406375E-6</v>
      </c>
      <c r="T236" s="78">
        <f t="shared" si="6"/>
        <v>2.8962735109137286E-4</v>
      </c>
      <c r="U236" s="78">
        <f>R236/'סכום נכסי הקרן'!$C$42</f>
        <v>4.7021858320006708E-6</v>
      </c>
    </row>
    <row r="237" spans="2:21">
      <c r="B237" s="76" t="s">
        <v>821</v>
      </c>
      <c r="C237" s="70" t="s">
        <v>822</v>
      </c>
      <c r="D237" s="83" t="s">
        <v>113</v>
      </c>
      <c r="E237" s="83" t="s">
        <v>280</v>
      </c>
      <c r="F237" s="70" t="s">
        <v>820</v>
      </c>
      <c r="G237" s="83" t="s">
        <v>183</v>
      </c>
      <c r="H237" s="70" t="s">
        <v>619</v>
      </c>
      <c r="I237" s="70" t="s">
        <v>153</v>
      </c>
      <c r="J237" s="70"/>
      <c r="K237" s="77">
        <v>4.1499999998957513</v>
      </c>
      <c r="L237" s="83" t="s">
        <v>157</v>
      </c>
      <c r="M237" s="84">
        <v>3.4500000000000003E-2</v>
      </c>
      <c r="N237" s="84">
        <v>2.1599999999583001E-2</v>
      </c>
      <c r="O237" s="77">
        <v>3598.7416020000001</v>
      </c>
      <c r="P237" s="79">
        <v>106.62</v>
      </c>
      <c r="Q237" s="70"/>
      <c r="R237" s="77">
        <v>3.8369781760000001</v>
      </c>
      <c r="S237" s="78">
        <v>1.1141266452221566E-5</v>
      </c>
      <c r="T237" s="78">
        <f t="shared" si="6"/>
        <v>2.9230835396095054E-3</v>
      </c>
      <c r="U237" s="78">
        <f>R237/'סכום נכסי הקרן'!$C$42</f>
        <v>4.7457127076958605E-5</v>
      </c>
    </row>
    <row r="238" spans="2:21">
      <c r="B238" s="76" t="s">
        <v>823</v>
      </c>
      <c r="C238" s="70" t="s">
        <v>824</v>
      </c>
      <c r="D238" s="83" t="s">
        <v>113</v>
      </c>
      <c r="E238" s="83" t="s">
        <v>280</v>
      </c>
      <c r="F238" s="70" t="s">
        <v>825</v>
      </c>
      <c r="G238" s="83" t="s">
        <v>409</v>
      </c>
      <c r="H238" s="70" t="s">
        <v>629</v>
      </c>
      <c r="I238" s="70" t="s">
        <v>284</v>
      </c>
      <c r="J238" s="70"/>
      <c r="K238" s="77">
        <v>2.5600000002311631</v>
      </c>
      <c r="L238" s="83" t="s">
        <v>157</v>
      </c>
      <c r="M238" s="84">
        <v>5.9000000000000004E-2</v>
      </c>
      <c r="N238" s="84">
        <v>6.0000000008255831E-2</v>
      </c>
      <c r="O238" s="77">
        <v>3634.1571769999996</v>
      </c>
      <c r="P238" s="79">
        <v>99.99</v>
      </c>
      <c r="Q238" s="70"/>
      <c r="R238" s="77">
        <v>3.6337937609999997</v>
      </c>
      <c r="S238" s="78">
        <v>4.0621862439865012E-6</v>
      </c>
      <c r="T238" s="78">
        <f t="shared" si="6"/>
        <v>2.7682937566739022E-3</v>
      </c>
      <c r="U238" s="78">
        <f>R238/'סכום נכסי הקרן'!$C$42</f>
        <v>4.4944069102580248E-5</v>
      </c>
    </row>
    <row r="239" spans="2:21">
      <c r="B239" s="76" t="s">
        <v>826</v>
      </c>
      <c r="C239" s="70" t="s">
        <v>827</v>
      </c>
      <c r="D239" s="83" t="s">
        <v>113</v>
      </c>
      <c r="E239" s="83" t="s">
        <v>280</v>
      </c>
      <c r="F239" s="70" t="s">
        <v>825</v>
      </c>
      <c r="G239" s="83" t="s">
        <v>409</v>
      </c>
      <c r="H239" s="70" t="s">
        <v>629</v>
      </c>
      <c r="I239" s="70" t="s">
        <v>284</v>
      </c>
      <c r="J239" s="70"/>
      <c r="K239" s="77">
        <v>4.9899999969497406</v>
      </c>
      <c r="L239" s="83" t="s">
        <v>157</v>
      </c>
      <c r="M239" s="84">
        <v>2.7000000000000003E-2</v>
      </c>
      <c r="N239" s="84">
        <v>6.5899999949162347E-2</v>
      </c>
      <c r="O239" s="77">
        <v>590.34987899999999</v>
      </c>
      <c r="P239" s="79">
        <v>83.3</v>
      </c>
      <c r="Q239" s="70"/>
      <c r="R239" s="77">
        <v>0.49176145000000004</v>
      </c>
      <c r="S239" s="78">
        <v>6.7111407257505801E-7</v>
      </c>
      <c r="T239" s="78">
        <f t="shared" si="6"/>
        <v>3.7463330099209375E-4</v>
      </c>
      <c r="U239" s="78">
        <f>R239/'סכום נכסי הקרן'!$C$42</f>
        <v>6.0822826072283155E-6</v>
      </c>
    </row>
    <row r="240" spans="2:21">
      <c r="B240" s="76" t="s">
        <v>828</v>
      </c>
      <c r="C240" s="70" t="s">
        <v>829</v>
      </c>
      <c r="D240" s="83" t="s">
        <v>113</v>
      </c>
      <c r="E240" s="83" t="s">
        <v>280</v>
      </c>
      <c r="F240" s="70" t="s">
        <v>830</v>
      </c>
      <c r="G240" s="83" t="s">
        <v>498</v>
      </c>
      <c r="H240" s="70" t="s">
        <v>619</v>
      </c>
      <c r="I240" s="70" t="s">
        <v>153</v>
      </c>
      <c r="J240" s="70"/>
      <c r="K240" s="77">
        <v>2.6599999998498505</v>
      </c>
      <c r="L240" s="83" t="s">
        <v>157</v>
      </c>
      <c r="M240" s="84">
        <v>4.5999999999999999E-2</v>
      </c>
      <c r="N240" s="84">
        <v>9.2299999998623636E-2</v>
      </c>
      <c r="O240" s="77">
        <v>1772.4673029999999</v>
      </c>
      <c r="P240" s="79">
        <v>90.18</v>
      </c>
      <c r="Q240" s="70"/>
      <c r="R240" s="77">
        <v>1.5984110140000003</v>
      </c>
      <c r="S240" s="78">
        <v>7.4179054901983819E-6</v>
      </c>
      <c r="T240" s="78">
        <f t="shared" si="6"/>
        <v>1.2177001562789027E-3</v>
      </c>
      <c r="U240" s="78">
        <f>R240/'סכום נכסי הקרן'!$C$42</f>
        <v>1.9769722717497227E-5</v>
      </c>
    </row>
    <row r="241" spans="2:21">
      <c r="B241" s="76" t="s">
        <v>831</v>
      </c>
      <c r="C241" s="70" t="s">
        <v>832</v>
      </c>
      <c r="D241" s="83" t="s">
        <v>113</v>
      </c>
      <c r="E241" s="83" t="s">
        <v>280</v>
      </c>
      <c r="F241" s="70" t="s">
        <v>833</v>
      </c>
      <c r="G241" s="83" t="s">
        <v>834</v>
      </c>
      <c r="H241" s="70" t="s">
        <v>619</v>
      </c>
      <c r="I241" s="70" t="s">
        <v>153</v>
      </c>
      <c r="J241" s="70"/>
      <c r="K241" s="77">
        <v>2.8500000012474822</v>
      </c>
      <c r="L241" s="83" t="s">
        <v>157</v>
      </c>
      <c r="M241" s="84">
        <v>0.04</v>
      </c>
      <c r="N241" s="84">
        <v>0.16860000011295387</v>
      </c>
      <c r="O241" s="77">
        <v>627.95621300000005</v>
      </c>
      <c r="P241" s="79">
        <v>70.209999999999994</v>
      </c>
      <c r="Q241" s="70"/>
      <c r="R241" s="77">
        <v>0.44088805699999994</v>
      </c>
      <c r="S241" s="78">
        <v>8.582529412247085E-7</v>
      </c>
      <c r="T241" s="78">
        <f t="shared" si="6"/>
        <v>3.3587697482570126E-4</v>
      </c>
      <c r="U241" s="78">
        <f>R241/'סכום נכסי הקרן'!$C$42</f>
        <v>5.4530621723719609E-6</v>
      </c>
    </row>
    <row r="242" spans="2:21">
      <c r="B242" s="76" t="s">
        <v>835</v>
      </c>
      <c r="C242" s="70" t="s">
        <v>836</v>
      </c>
      <c r="D242" s="83" t="s">
        <v>113</v>
      </c>
      <c r="E242" s="83" t="s">
        <v>280</v>
      </c>
      <c r="F242" s="70" t="s">
        <v>833</v>
      </c>
      <c r="G242" s="83" t="s">
        <v>834</v>
      </c>
      <c r="H242" s="70" t="s">
        <v>619</v>
      </c>
      <c r="I242" s="70" t="s">
        <v>153</v>
      </c>
      <c r="J242" s="70"/>
      <c r="K242" s="77">
        <v>4.5300000002830227</v>
      </c>
      <c r="L242" s="83" t="s">
        <v>157</v>
      </c>
      <c r="M242" s="84">
        <v>2.9100000000000001E-2</v>
      </c>
      <c r="N242" s="84">
        <v>0.11620000000900105</v>
      </c>
      <c r="O242" s="77">
        <v>3173.3</v>
      </c>
      <c r="P242" s="79">
        <v>67.92</v>
      </c>
      <c r="Q242" s="70"/>
      <c r="R242" s="77">
        <v>2.1553053630000001</v>
      </c>
      <c r="S242" s="78">
        <v>1.3855934608616678E-5</v>
      </c>
      <c r="T242" s="78">
        <f t="shared" si="6"/>
        <v>1.6419529485010526E-3</v>
      </c>
      <c r="U242" s="78">
        <f>R242/'סכום נכסי הקרן'!$C$42</f>
        <v>2.6657592462037864E-5</v>
      </c>
    </row>
    <row r="243" spans="2:21">
      <c r="B243" s="76" t="s">
        <v>837</v>
      </c>
      <c r="C243" s="70" t="s">
        <v>838</v>
      </c>
      <c r="D243" s="83" t="s">
        <v>113</v>
      </c>
      <c r="E243" s="83" t="s">
        <v>280</v>
      </c>
      <c r="F243" s="70" t="s">
        <v>839</v>
      </c>
      <c r="G243" s="83" t="s">
        <v>498</v>
      </c>
      <c r="H243" s="70" t="s">
        <v>840</v>
      </c>
      <c r="I243" s="70" t="s">
        <v>284</v>
      </c>
      <c r="J243" s="70"/>
      <c r="K243" s="77">
        <v>0.25</v>
      </c>
      <c r="L243" s="83" t="s">
        <v>157</v>
      </c>
      <c r="M243" s="84">
        <v>6.0999999999999999E-2</v>
      </c>
      <c r="N243" s="84">
        <v>0.27080000000878962</v>
      </c>
      <c r="O243" s="77">
        <v>6327.0501869999998</v>
      </c>
      <c r="P243" s="79">
        <v>97.1</v>
      </c>
      <c r="Q243" s="70"/>
      <c r="R243" s="77">
        <v>6.1435655200000001</v>
      </c>
      <c r="S243" s="78">
        <v>9.3374412440968115E-6</v>
      </c>
      <c r="T243" s="78">
        <f t="shared" si="6"/>
        <v>4.6802860017165007E-3</v>
      </c>
      <c r="U243" s="78">
        <f>R243/'סכום נכסי הקרן'!$C$42</f>
        <v>7.5985829529060444E-5</v>
      </c>
    </row>
    <row r="244" spans="2:21">
      <c r="B244" s="73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7"/>
      <c r="P244" s="79"/>
      <c r="Q244" s="70"/>
      <c r="R244" s="70"/>
      <c r="S244" s="70"/>
      <c r="T244" s="78"/>
      <c r="U244" s="70"/>
    </row>
    <row r="245" spans="2:21">
      <c r="B245" s="89" t="s">
        <v>43</v>
      </c>
      <c r="C245" s="72"/>
      <c r="D245" s="72"/>
      <c r="E245" s="72"/>
      <c r="F245" s="72"/>
      <c r="G245" s="72"/>
      <c r="H245" s="72"/>
      <c r="I245" s="72"/>
      <c r="J245" s="72"/>
      <c r="K245" s="80">
        <v>3.5198713751046169</v>
      </c>
      <c r="L245" s="72"/>
      <c r="M245" s="72"/>
      <c r="N245" s="94">
        <v>9.0973050325384205E-2</v>
      </c>
      <c r="O245" s="80"/>
      <c r="P245" s="82"/>
      <c r="Q245" s="72"/>
      <c r="R245" s="80">
        <f>SUM(R246:R252)</f>
        <v>43.165890716611905</v>
      </c>
      <c r="S245" s="72"/>
      <c r="T245" s="81">
        <f t="shared" ref="T245:T251" si="7">R245/$R$11</f>
        <v>3.2884603153476737E-2</v>
      </c>
      <c r="U245" s="81">
        <f>R245/'סכום נכסי הקרן'!$C$42</f>
        <v>5.3389127254925485E-4</v>
      </c>
    </row>
    <row r="246" spans="2:21">
      <c r="B246" s="76" t="s">
        <v>841</v>
      </c>
      <c r="C246" s="70" t="s">
        <v>842</v>
      </c>
      <c r="D246" s="83" t="s">
        <v>113</v>
      </c>
      <c r="E246" s="83" t="s">
        <v>280</v>
      </c>
      <c r="F246" s="70" t="s">
        <v>843</v>
      </c>
      <c r="G246" s="83" t="s">
        <v>139</v>
      </c>
      <c r="H246" s="70" t="s">
        <v>375</v>
      </c>
      <c r="I246" s="70" t="s">
        <v>284</v>
      </c>
      <c r="J246" s="70"/>
      <c r="K246" s="77">
        <v>2.5499999999726999</v>
      </c>
      <c r="L246" s="83" t="s">
        <v>157</v>
      </c>
      <c r="M246" s="84">
        <v>3.49E-2</v>
      </c>
      <c r="N246" s="84">
        <v>6.1099999999180969E-2</v>
      </c>
      <c r="O246" s="77">
        <v>20165.732517</v>
      </c>
      <c r="P246" s="79">
        <v>90.82</v>
      </c>
      <c r="Q246" s="70"/>
      <c r="R246" s="77">
        <v>18.31451775</v>
      </c>
      <c r="S246" s="78">
        <v>1.0917735142097628E-5</v>
      </c>
      <c r="T246" s="78">
        <f t="shared" si="7"/>
        <v>1.3952350760233023E-2</v>
      </c>
      <c r="U246" s="78">
        <f>R246/'סכום נכסי הקרן'!$C$42</f>
        <v>2.2652054725029637E-4</v>
      </c>
    </row>
    <row r="247" spans="2:21">
      <c r="B247" s="76" t="s">
        <v>844</v>
      </c>
      <c r="C247" s="70" t="s">
        <v>845</v>
      </c>
      <c r="D247" s="83" t="s">
        <v>113</v>
      </c>
      <c r="E247" s="83" t="s">
        <v>280</v>
      </c>
      <c r="F247" s="70" t="s">
        <v>846</v>
      </c>
      <c r="G247" s="83" t="s">
        <v>139</v>
      </c>
      <c r="H247" s="70" t="s">
        <v>581</v>
      </c>
      <c r="I247" s="70" t="s">
        <v>153</v>
      </c>
      <c r="J247" s="70"/>
      <c r="K247" s="77">
        <v>4.3800000000350847</v>
      </c>
      <c r="L247" s="83" t="s">
        <v>157</v>
      </c>
      <c r="M247" s="84">
        <v>4.6900000000000004E-2</v>
      </c>
      <c r="N247" s="84">
        <v>0.11620000000099853</v>
      </c>
      <c r="O247" s="77">
        <v>9967.4416629999996</v>
      </c>
      <c r="P247" s="79">
        <v>74.349999999999994</v>
      </c>
      <c r="Q247" s="70"/>
      <c r="R247" s="77">
        <v>7.4107924730000008</v>
      </c>
      <c r="S247" s="78">
        <v>5.0691275376472422E-6</v>
      </c>
      <c r="T247" s="78">
        <f t="shared" si="7"/>
        <v>5.6456837906414831E-3</v>
      </c>
      <c r="U247" s="78">
        <f>R247/'סכום נכסי הקרן'!$C$42</f>
        <v>9.1659348581118788E-5</v>
      </c>
    </row>
    <row r="248" spans="2:21">
      <c r="B248" s="76" t="s">
        <v>847</v>
      </c>
      <c r="C248" s="70" t="s">
        <v>848</v>
      </c>
      <c r="D248" s="83" t="s">
        <v>113</v>
      </c>
      <c r="E248" s="83" t="s">
        <v>280</v>
      </c>
      <c r="F248" s="70" t="s">
        <v>846</v>
      </c>
      <c r="G248" s="83" t="s">
        <v>139</v>
      </c>
      <c r="H248" s="70" t="s">
        <v>581</v>
      </c>
      <c r="I248" s="70" t="s">
        <v>153</v>
      </c>
      <c r="J248" s="70"/>
      <c r="K248" s="77">
        <v>4.6300000001798187</v>
      </c>
      <c r="L248" s="83" t="s">
        <v>157</v>
      </c>
      <c r="M248" s="84">
        <v>4.6900000000000004E-2</v>
      </c>
      <c r="N248" s="84">
        <v>0.11660000000403319</v>
      </c>
      <c r="O248" s="77">
        <v>18474.925555999998</v>
      </c>
      <c r="P248" s="79">
        <v>74.349999999999994</v>
      </c>
      <c r="Q248" s="70"/>
      <c r="R248" s="77">
        <v>13.736106330999998</v>
      </c>
      <c r="S248" s="78">
        <v>1.145433683592018E-5</v>
      </c>
      <c r="T248" s="78">
        <f t="shared" si="7"/>
        <v>1.0464429160848063E-2</v>
      </c>
      <c r="U248" s="78">
        <f>R248/'סכום נכסי הקרן'!$C$42</f>
        <v>1.6989310696899896E-4</v>
      </c>
    </row>
    <row r="249" spans="2:21">
      <c r="B249" s="76" t="s">
        <v>849</v>
      </c>
      <c r="C249" s="70" t="s">
        <v>850</v>
      </c>
      <c r="D249" s="83" t="s">
        <v>113</v>
      </c>
      <c r="E249" s="83" t="s">
        <v>280</v>
      </c>
      <c r="F249" s="70" t="s">
        <v>851</v>
      </c>
      <c r="G249" s="83" t="s">
        <v>139</v>
      </c>
      <c r="H249" s="70" t="s">
        <v>595</v>
      </c>
      <c r="I249" s="70" t="s">
        <v>153</v>
      </c>
      <c r="J249" s="70"/>
      <c r="K249" s="77">
        <v>1.4599999960108798</v>
      </c>
      <c r="L249" s="83" t="s">
        <v>157</v>
      </c>
      <c r="M249" s="84">
        <v>4.4999999999999998E-2</v>
      </c>
      <c r="N249" s="84">
        <v>0.18679999961854038</v>
      </c>
      <c r="O249" s="77">
        <v>212.77655599999997</v>
      </c>
      <c r="P249" s="79">
        <v>75.39</v>
      </c>
      <c r="Q249" s="70"/>
      <c r="R249" s="77">
        <v>0.16043638400000002</v>
      </c>
      <c r="S249" s="78">
        <v>1.3920311566711349E-7</v>
      </c>
      <c r="T249" s="78">
        <f t="shared" si="7"/>
        <v>1.2222351332572966E-4</v>
      </c>
      <c r="U249" s="78">
        <f>R249/'סכום נכסי הקרן'!$C$42</f>
        <v>1.9843349411992406E-6</v>
      </c>
    </row>
    <row r="250" spans="2:21">
      <c r="B250" s="76" t="s">
        <v>852</v>
      </c>
      <c r="C250" s="70" t="s">
        <v>853</v>
      </c>
      <c r="D250" s="83" t="s">
        <v>113</v>
      </c>
      <c r="E250" s="83" t="s">
        <v>280</v>
      </c>
      <c r="F250" s="70" t="s">
        <v>825</v>
      </c>
      <c r="G250" s="83" t="s">
        <v>409</v>
      </c>
      <c r="H250" s="70" t="s">
        <v>629</v>
      </c>
      <c r="I250" s="70" t="s">
        <v>284</v>
      </c>
      <c r="J250" s="70"/>
      <c r="K250" s="77">
        <v>2.0800000005509371</v>
      </c>
      <c r="L250" s="83" t="s">
        <v>157</v>
      </c>
      <c r="M250" s="84">
        <v>6.7000000000000004E-2</v>
      </c>
      <c r="N250" s="84">
        <v>9.3100000017659501E-2</v>
      </c>
      <c r="O250" s="77">
        <v>2343.1339899999998</v>
      </c>
      <c r="P250" s="79">
        <v>85.27</v>
      </c>
      <c r="Q250" s="70"/>
      <c r="R250" s="77">
        <v>1.9979903536119143</v>
      </c>
      <c r="S250" s="78">
        <v>2.2889936791642575E-6</v>
      </c>
      <c r="T250" s="78">
        <f t="shared" si="7"/>
        <v>1.5221073581997778E-3</v>
      </c>
      <c r="U250" s="78">
        <f>R250/'סכום נכסי הקרן'!$C$42</f>
        <v>2.4711863805476615E-5</v>
      </c>
    </row>
    <row r="251" spans="2:21">
      <c r="B251" s="76" t="s">
        <v>854</v>
      </c>
      <c r="C251" s="70" t="s">
        <v>855</v>
      </c>
      <c r="D251" s="83" t="s">
        <v>113</v>
      </c>
      <c r="E251" s="83" t="s">
        <v>280</v>
      </c>
      <c r="F251" s="70" t="s">
        <v>825</v>
      </c>
      <c r="G251" s="83" t="s">
        <v>409</v>
      </c>
      <c r="H251" s="70" t="s">
        <v>629</v>
      </c>
      <c r="I251" s="70" t="s">
        <v>284</v>
      </c>
      <c r="J251" s="70"/>
      <c r="K251" s="77">
        <v>3.1300000004851078</v>
      </c>
      <c r="L251" s="83" t="s">
        <v>157</v>
      </c>
      <c r="M251" s="84">
        <v>4.7E-2</v>
      </c>
      <c r="N251" s="84">
        <v>8.3500000014553238E-2</v>
      </c>
      <c r="O251" s="77">
        <v>1790.442824</v>
      </c>
      <c r="P251" s="79">
        <v>86.35</v>
      </c>
      <c r="Q251" s="70"/>
      <c r="R251" s="77">
        <v>1.546047425</v>
      </c>
      <c r="S251" s="78">
        <v>2.5029728718284587E-6</v>
      </c>
      <c r="T251" s="78">
        <f t="shared" si="7"/>
        <v>1.1778085702286677E-3</v>
      </c>
      <c r="U251" s="78">
        <f>R251/'סכום נכסי הקרן'!$C$42</f>
        <v>1.9122071002165018E-5</v>
      </c>
    </row>
    <row r="252" spans="2:21">
      <c r="C252" s="1"/>
      <c r="D252" s="1"/>
      <c r="E252" s="1"/>
      <c r="F252" s="1"/>
    </row>
    <row r="253" spans="2:21">
      <c r="C253" s="1"/>
      <c r="D253" s="1"/>
      <c r="E253" s="1"/>
      <c r="F253" s="1"/>
    </row>
    <row r="254" spans="2:21">
      <c r="C254" s="1"/>
      <c r="D254" s="1"/>
      <c r="E254" s="1"/>
      <c r="F254" s="1"/>
    </row>
    <row r="255" spans="2:21">
      <c r="B255" s="85" t="s">
        <v>244</v>
      </c>
      <c r="C255" s="86"/>
      <c r="D255" s="86"/>
      <c r="E255" s="86"/>
      <c r="F255" s="86"/>
      <c r="G255" s="86"/>
      <c r="H255" s="86"/>
      <c r="I255" s="86"/>
      <c r="J255" s="86"/>
      <c r="K255" s="86"/>
    </row>
    <row r="256" spans="2:21">
      <c r="B256" s="85" t="s">
        <v>105</v>
      </c>
      <c r="C256" s="86"/>
      <c r="D256" s="86"/>
      <c r="E256" s="86"/>
      <c r="F256" s="86"/>
      <c r="G256" s="86"/>
      <c r="H256" s="86"/>
      <c r="I256" s="86"/>
      <c r="J256" s="86"/>
      <c r="K256" s="86"/>
    </row>
    <row r="257" spans="2:11">
      <c r="B257" s="85" t="s">
        <v>227</v>
      </c>
      <c r="C257" s="86"/>
      <c r="D257" s="86"/>
      <c r="E257" s="86"/>
      <c r="F257" s="86"/>
      <c r="G257" s="86"/>
      <c r="H257" s="86"/>
      <c r="I257" s="86"/>
      <c r="J257" s="86"/>
      <c r="K257" s="86"/>
    </row>
    <row r="258" spans="2:11">
      <c r="B258" s="85" t="s">
        <v>235</v>
      </c>
      <c r="C258" s="86"/>
      <c r="D258" s="86"/>
      <c r="E258" s="86"/>
      <c r="F258" s="86"/>
      <c r="G258" s="86"/>
      <c r="H258" s="86"/>
      <c r="I258" s="86"/>
      <c r="J258" s="86"/>
      <c r="K258" s="86"/>
    </row>
    <row r="259" spans="2:11">
      <c r="B259" s="132" t="s">
        <v>240</v>
      </c>
      <c r="C259" s="132"/>
      <c r="D259" s="132"/>
      <c r="E259" s="132"/>
      <c r="F259" s="132"/>
      <c r="G259" s="132"/>
      <c r="H259" s="132"/>
      <c r="I259" s="132"/>
      <c r="J259" s="132"/>
      <c r="K259" s="132"/>
    </row>
    <row r="260" spans="2:11">
      <c r="C260" s="1"/>
      <c r="D260" s="1"/>
      <c r="E260" s="1"/>
      <c r="F260" s="1"/>
    </row>
    <row r="261" spans="2:11">
      <c r="C261" s="1"/>
      <c r="D261" s="1"/>
      <c r="E261" s="1"/>
      <c r="F261" s="1"/>
    </row>
    <row r="262" spans="2:11">
      <c r="C262" s="1"/>
      <c r="D262" s="1"/>
      <c r="E262" s="1"/>
      <c r="F262" s="1"/>
    </row>
    <row r="263" spans="2:11">
      <c r="C263" s="1"/>
      <c r="D263" s="1"/>
      <c r="E263" s="1"/>
      <c r="F263" s="1"/>
    </row>
    <row r="264" spans="2:11">
      <c r="C264" s="1"/>
      <c r="D264" s="1"/>
      <c r="E264" s="1"/>
      <c r="F264" s="1"/>
    </row>
    <row r="265" spans="2:11">
      <c r="C265" s="1"/>
      <c r="D265" s="1"/>
      <c r="E265" s="1"/>
      <c r="F265" s="1"/>
    </row>
    <row r="266" spans="2:11">
      <c r="C266" s="1"/>
      <c r="D266" s="1"/>
      <c r="E266" s="1"/>
      <c r="F266" s="1"/>
    </row>
    <row r="267" spans="2:11">
      <c r="C267" s="1"/>
      <c r="D267" s="1"/>
      <c r="E267" s="1"/>
      <c r="F267" s="1"/>
    </row>
    <row r="268" spans="2:11">
      <c r="C268" s="1"/>
      <c r="D268" s="1"/>
      <c r="E268" s="1"/>
      <c r="F268" s="1"/>
    </row>
    <row r="269" spans="2:11">
      <c r="C269" s="1"/>
      <c r="D269" s="1"/>
      <c r="E269" s="1"/>
      <c r="F269" s="1"/>
    </row>
    <row r="270" spans="2:11">
      <c r="C270" s="1"/>
      <c r="D270" s="1"/>
      <c r="E270" s="1"/>
      <c r="F270" s="1"/>
    </row>
    <row r="271" spans="2:11">
      <c r="C271" s="1"/>
      <c r="D271" s="1"/>
      <c r="E271" s="1"/>
      <c r="F271" s="1"/>
    </row>
    <row r="272" spans="2:11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2"/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59:K259"/>
  </mergeCells>
  <phoneticPr fontId="3" type="noConversion"/>
  <conditionalFormatting sqref="B12:B251">
    <cfRule type="cellIs" dxfId="11" priority="2" operator="equal">
      <formula>"NR3"</formula>
    </cfRule>
  </conditionalFormatting>
  <conditionalFormatting sqref="B12:B251">
    <cfRule type="containsText" dxfId="10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257 B259"/>
    <dataValidation type="list" allowBlank="1" showInputMessage="1" showErrorMessage="1" sqref="I12:I35 I260:I827 I37:I258">
      <formula1>$BM$7:$BM$10</formula1>
    </dataValidation>
    <dataValidation type="list" allowBlank="1" showInputMessage="1" showErrorMessage="1" sqref="G555:G827">
      <formula1>$BK$7:$BK$24</formula1>
    </dataValidation>
    <dataValidation type="list" allowBlank="1" showInputMessage="1" showErrorMessage="1" sqref="E12:E35 E260:E821 E37:E258">
      <formula1>$BI$7:$BI$24</formula1>
    </dataValidation>
    <dataValidation type="list" allowBlank="1" showInputMessage="1" showErrorMessage="1" sqref="L12:L827">
      <formula1>$BN$7:$BN$20</formula1>
    </dataValidation>
    <dataValidation type="list" allowBlank="1" showInputMessage="1" showErrorMessage="1" sqref="G12:G35 G260:G554 G37:G258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zoomScale="90" zoomScaleNormal="90" workbookViewId="0">
      <selection activeCell="O14" sqref="O14"/>
    </sheetView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64.8554687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172</v>
      </c>
      <c r="C1" s="68" t="s" vm="1">
        <v>252</v>
      </c>
    </row>
    <row r="2" spans="2:62">
      <c r="B2" s="47" t="s">
        <v>171</v>
      </c>
      <c r="C2" s="68" t="s">
        <v>253</v>
      </c>
    </row>
    <row r="3" spans="2:62">
      <c r="B3" s="47" t="s">
        <v>173</v>
      </c>
      <c r="C3" s="68" t="s">
        <v>254</v>
      </c>
    </row>
    <row r="4" spans="2:62">
      <c r="B4" s="47" t="s">
        <v>174</v>
      </c>
      <c r="C4" s="68">
        <v>8602</v>
      </c>
    </row>
    <row r="6" spans="2:62" ht="26.25" customHeight="1">
      <c r="B6" s="123" t="s">
        <v>202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BJ6" s="3"/>
    </row>
    <row r="7" spans="2:62" ht="26.25" customHeight="1">
      <c r="B7" s="123" t="s">
        <v>85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F7" s="3"/>
      <c r="BJ7" s="3"/>
    </row>
    <row r="8" spans="2:62" s="3" customFormat="1" ht="78.75">
      <c r="B8" s="22" t="s">
        <v>108</v>
      </c>
      <c r="C8" s="30" t="s">
        <v>41</v>
      </c>
      <c r="D8" s="30" t="s">
        <v>112</v>
      </c>
      <c r="E8" s="30" t="s">
        <v>218</v>
      </c>
      <c r="F8" s="30" t="s">
        <v>110</v>
      </c>
      <c r="G8" s="30" t="s">
        <v>61</v>
      </c>
      <c r="H8" s="30" t="s">
        <v>96</v>
      </c>
      <c r="I8" s="13" t="s">
        <v>229</v>
      </c>
      <c r="J8" s="13" t="s">
        <v>228</v>
      </c>
      <c r="K8" s="30" t="s">
        <v>243</v>
      </c>
      <c r="L8" s="13" t="s">
        <v>58</v>
      </c>
      <c r="M8" s="13" t="s">
        <v>55</v>
      </c>
      <c r="N8" s="13" t="s">
        <v>175</v>
      </c>
      <c r="O8" s="14" t="s">
        <v>177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236</v>
      </c>
      <c r="J9" s="16"/>
      <c r="K9" s="16" t="s">
        <v>232</v>
      </c>
      <c r="L9" s="16" t="s">
        <v>232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87" t="s">
        <v>28</v>
      </c>
      <c r="C11" s="88"/>
      <c r="D11" s="88"/>
      <c r="E11" s="88"/>
      <c r="F11" s="88"/>
      <c r="G11" s="88"/>
      <c r="H11" s="88"/>
      <c r="I11" s="90"/>
      <c r="J11" s="92"/>
      <c r="K11" s="90">
        <v>1.2522556819999999</v>
      </c>
      <c r="L11" s="90">
        <f>L12+L131</f>
        <v>774.17262431799998</v>
      </c>
      <c r="M11" s="88"/>
      <c r="N11" s="93">
        <f t="shared" ref="N11:N42" si="0">L11/$L$11</f>
        <v>1</v>
      </c>
      <c r="O11" s="93">
        <f>L11/'סכום נכסי הקרן'!$C$42</f>
        <v>9.5752456559611808E-3</v>
      </c>
      <c r="BF11" s="1"/>
      <c r="BG11" s="3"/>
      <c r="BH11" s="1"/>
      <c r="BJ11" s="1"/>
    </row>
    <row r="12" spans="2:62" ht="20.25">
      <c r="B12" s="71" t="s">
        <v>223</v>
      </c>
      <c r="C12" s="72"/>
      <c r="D12" s="72"/>
      <c r="E12" s="72"/>
      <c r="F12" s="72"/>
      <c r="G12" s="72"/>
      <c r="H12" s="72"/>
      <c r="I12" s="80"/>
      <c r="J12" s="82"/>
      <c r="K12" s="80">
        <v>1.160507108</v>
      </c>
      <c r="L12" s="80">
        <f>L13+L44+L87</f>
        <v>470.31822133500003</v>
      </c>
      <c r="M12" s="72"/>
      <c r="N12" s="81">
        <f t="shared" si="0"/>
        <v>0.60751078837142092</v>
      </c>
      <c r="O12" s="81">
        <f>L12/'סכום נכסי הקרן'!$C$42</f>
        <v>5.8170650373030007E-3</v>
      </c>
      <c r="BG12" s="4"/>
    </row>
    <row r="13" spans="2:62">
      <c r="B13" s="89" t="s">
        <v>856</v>
      </c>
      <c r="C13" s="72"/>
      <c r="D13" s="72"/>
      <c r="E13" s="72"/>
      <c r="F13" s="72"/>
      <c r="G13" s="72"/>
      <c r="H13" s="72"/>
      <c r="I13" s="80"/>
      <c r="J13" s="82"/>
      <c r="K13" s="80">
        <v>8.7420129999999999E-3</v>
      </c>
      <c r="L13" s="80">
        <f>SUM(L14:L42)</f>
        <v>287.68261214600005</v>
      </c>
      <c r="M13" s="72"/>
      <c r="N13" s="81">
        <f t="shared" si="0"/>
        <v>0.37160008389528282</v>
      </c>
      <c r="O13" s="81">
        <f>L13/'סכום נכסי הקרן'!$C$42</f>
        <v>3.5581620890731171E-3</v>
      </c>
    </row>
    <row r="14" spans="2:62">
      <c r="B14" s="76" t="s">
        <v>857</v>
      </c>
      <c r="C14" s="70" t="s">
        <v>858</v>
      </c>
      <c r="D14" s="83" t="s">
        <v>113</v>
      </c>
      <c r="E14" s="83" t="s">
        <v>280</v>
      </c>
      <c r="F14" s="70" t="s">
        <v>859</v>
      </c>
      <c r="G14" s="83" t="s">
        <v>183</v>
      </c>
      <c r="H14" s="83" t="s">
        <v>157</v>
      </c>
      <c r="I14" s="77">
        <v>54.437779999999997</v>
      </c>
      <c r="J14" s="79">
        <v>22090</v>
      </c>
      <c r="K14" s="70"/>
      <c r="L14" s="77">
        <v>12.025305679999999</v>
      </c>
      <c r="M14" s="78">
        <v>1.066660412223455E-6</v>
      </c>
      <c r="N14" s="78">
        <f t="shared" si="0"/>
        <v>1.5533106315395197E-2</v>
      </c>
      <c r="O14" s="78">
        <f>L14/'סכום נכסי הקרן'!$C$42</f>
        <v>1.4873330877007105E-4</v>
      </c>
    </row>
    <row r="15" spans="2:62">
      <c r="B15" s="76" t="s">
        <v>860</v>
      </c>
      <c r="C15" s="70" t="s">
        <v>861</v>
      </c>
      <c r="D15" s="83" t="s">
        <v>113</v>
      </c>
      <c r="E15" s="83" t="s">
        <v>280</v>
      </c>
      <c r="F15" s="70" t="s">
        <v>668</v>
      </c>
      <c r="G15" s="83" t="s">
        <v>465</v>
      </c>
      <c r="H15" s="83" t="s">
        <v>157</v>
      </c>
      <c r="I15" s="77">
        <v>1531.3202249999999</v>
      </c>
      <c r="J15" s="79">
        <v>1026</v>
      </c>
      <c r="K15" s="70"/>
      <c r="L15" s="77">
        <v>15.711345510999999</v>
      </c>
      <c r="M15" s="78">
        <v>1.1958290214236948E-6</v>
      </c>
      <c r="N15" s="78">
        <f t="shared" si="0"/>
        <v>2.0294369779402573E-2</v>
      </c>
      <c r="O15" s="78">
        <f>L15/'סכום נכסי הקרן'!$C$42</f>
        <v>1.9432357607069436E-4</v>
      </c>
    </row>
    <row r="16" spans="2:62" ht="20.25">
      <c r="B16" s="76" t="s">
        <v>862</v>
      </c>
      <c r="C16" s="70" t="s">
        <v>863</v>
      </c>
      <c r="D16" s="83" t="s">
        <v>113</v>
      </c>
      <c r="E16" s="83" t="s">
        <v>280</v>
      </c>
      <c r="F16" s="70">
        <v>1760</v>
      </c>
      <c r="G16" s="83" t="s">
        <v>665</v>
      </c>
      <c r="H16" s="83" t="s">
        <v>157</v>
      </c>
      <c r="I16" s="77">
        <v>3.3746429999999998</v>
      </c>
      <c r="J16" s="79">
        <v>42220</v>
      </c>
      <c r="K16" s="77">
        <v>8.7420129999999999E-3</v>
      </c>
      <c r="L16" s="77">
        <v>1.4335161969999999</v>
      </c>
      <c r="M16" s="78">
        <v>3.1594154966690758E-8</v>
      </c>
      <c r="N16" s="78">
        <f t="shared" si="0"/>
        <v>1.8516751328721322E-3</v>
      </c>
      <c r="O16" s="78">
        <f>L16/'סכום נכסי הקרן'!$C$42</f>
        <v>1.7730244272285228E-5</v>
      </c>
      <c r="BF16" s="4"/>
    </row>
    <row r="17" spans="2:15">
      <c r="B17" s="76" t="s">
        <v>864</v>
      </c>
      <c r="C17" s="70" t="s">
        <v>865</v>
      </c>
      <c r="D17" s="83" t="s">
        <v>113</v>
      </c>
      <c r="E17" s="83" t="s">
        <v>280</v>
      </c>
      <c r="F17" s="70" t="s">
        <v>374</v>
      </c>
      <c r="G17" s="83" t="s">
        <v>345</v>
      </c>
      <c r="H17" s="83" t="s">
        <v>157</v>
      </c>
      <c r="I17" s="77">
        <v>130.55611300000001</v>
      </c>
      <c r="J17" s="79">
        <v>3713</v>
      </c>
      <c r="K17" s="70"/>
      <c r="L17" s="77">
        <v>4.8475484599999996</v>
      </c>
      <c r="M17" s="78">
        <v>1.0238139823292258E-6</v>
      </c>
      <c r="N17" s="78">
        <f t="shared" si="0"/>
        <v>6.2615859922331941E-3</v>
      </c>
      <c r="O17" s="78">
        <f>L17/'סכום נכסי הקרן'!$C$42</f>
        <v>5.9956224071558271E-5</v>
      </c>
    </row>
    <row r="18" spans="2:15">
      <c r="B18" s="76" t="s">
        <v>866</v>
      </c>
      <c r="C18" s="70" t="s">
        <v>867</v>
      </c>
      <c r="D18" s="83" t="s">
        <v>113</v>
      </c>
      <c r="E18" s="83" t="s">
        <v>280</v>
      </c>
      <c r="F18" s="70" t="s">
        <v>868</v>
      </c>
      <c r="G18" s="83" t="s">
        <v>701</v>
      </c>
      <c r="H18" s="83" t="s">
        <v>157</v>
      </c>
      <c r="I18" s="77">
        <v>37.206916999999997</v>
      </c>
      <c r="J18" s="79">
        <v>47400</v>
      </c>
      <c r="K18" s="70"/>
      <c r="L18" s="77">
        <v>17.636078716</v>
      </c>
      <c r="M18" s="78">
        <v>8.4181725870638097E-7</v>
      </c>
      <c r="N18" s="78">
        <f t="shared" si="0"/>
        <v>2.2780550696346744E-2</v>
      </c>
      <c r="O18" s="78">
        <f>L18/'סכום נכסי הקרן'!$C$42</f>
        <v>2.1812936909559763E-4</v>
      </c>
    </row>
    <row r="19" spans="2:15">
      <c r="B19" s="76" t="s">
        <v>869</v>
      </c>
      <c r="C19" s="70" t="s">
        <v>870</v>
      </c>
      <c r="D19" s="83" t="s">
        <v>113</v>
      </c>
      <c r="E19" s="83" t="s">
        <v>280</v>
      </c>
      <c r="F19" s="70" t="s">
        <v>763</v>
      </c>
      <c r="G19" s="83" t="s">
        <v>635</v>
      </c>
      <c r="H19" s="83" t="s">
        <v>157</v>
      </c>
      <c r="I19" s="77">
        <v>9.5821939999999994</v>
      </c>
      <c r="J19" s="79">
        <v>147300</v>
      </c>
      <c r="K19" s="70"/>
      <c r="L19" s="77">
        <v>14.114571671</v>
      </c>
      <c r="M19" s="78">
        <v>2.5505702466645885E-6</v>
      </c>
      <c r="N19" s="78">
        <f t="shared" si="0"/>
        <v>1.8231814491547153E-2</v>
      </c>
      <c r="O19" s="78">
        <f>L19/'סכום נכסי הקרן'!$C$42</f>
        <v>1.7457410251047698E-4</v>
      </c>
    </row>
    <row r="20" spans="2:15">
      <c r="B20" s="76" t="s">
        <v>871</v>
      </c>
      <c r="C20" s="70" t="s">
        <v>872</v>
      </c>
      <c r="D20" s="83" t="s">
        <v>113</v>
      </c>
      <c r="E20" s="83" t="s">
        <v>280</v>
      </c>
      <c r="F20" s="70" t="s">
        <v>380</v>
      </c>
      <c r="G20" s="83" t="s">
        <v>345</v>
      </c>
      <c r="H20" s="83" t="s">
        <v>157</v>
      </c>
      <c r="I20" s="77">
        <v>314.66161799999998</v>
      </c>
      <c r="J20" s="79">
        <v>1569</v>
      </c>
      <c r="K20" s="70"/>
      <c r="L20" s="77">
        <v>4.9370407919999995</v>
      </c>
      <c r="M20" s="78">
        <v>8.2482250430520993E-7</v>
      </c>
      <c r="N20" s="78">
        <f t="shared" si="0"/>
        <v>6.3771833786414739E-3</v>
      </c>
      <c r="O20" s="78">
        <f>L20/'סכום נכסי הקרן'!$C$42</f>
        <v>6.1063097443604626E-5</v>
      </c>
    </row>
    <row r="21" spans="2:15">
      <c r="B21" s="76" t="s">
        <v>873</v>
      </c>
      <c r="C21" s="70" t="s">
        <v>874</v>
      </c>
      <c r="D21" s="83" t="s">
        <v>113</v>
      </c>
      <c r="E21" s="83" t="s">
        <v>280</v>
      </c>
      <c r="F21" s="70" t="s">
        <v>875</v>
      </c>
      <c r="G21" s="83" t="s">
        <v>139</v>
      </c>
      <c r="H21" s="83" t="s">
        <v>157</v>
      </c>
      <c r="I21" s="77">
        <v>30.78529</v>
      </c>
      <c r="J21" s="79">
        <v>2644</v>
      </c>
      <c r="K21" s="70"/>
      <c r="L21" s="77">
        <v>0.81396307200000007</v>
      </c>
      <c r="M21" s="78">
        <v>1.7384038207231889E-7</v>
      </c>
      <c r="N21" s="78">
        <f t="shared" si="0"/>
        <v>1.0513973840357027E-3</v>
      </c>
      <c r="O21" s="78">
        <f>L21/'סכום נכסי הקרן'!$C$42</f>
        <v>1.0067388234176812E-5</v>
      </c>
    </row>
    <row r="22" spans="2:15">
      <c r="B22" s="76" t="s">
        <v>876</v>
      </c>
      <c r="C22" s="70" t="s">
        <v>877</v>
      </c>
      <c r="D22" s="83" t="s">
        <v>113</v>
      </c>
      <c r="E22" s="83" t="s">
        <v>280</v>
      </c>
      <c r="F22" s="70" t="s">
        <v>469</v>
      </c>
      <c r="G22" s="83" t="s">
        <v>184</v>
      </c>
      <c r="H22" s="83" t="s">
        <v>157</v>
      </c>
      <c r="I22" s="77">
        <v>3222.8995399999999</v>
      </c>
      <c r="J22" s="79">
        <v>314</v>
      </c>
      <c r="K22" s="70"/>
      <c r="L22" s="77">
        <v>10.119904554000001</v>
      </c>
      <c r="M22" s="78">
        <v>1.1654008835532049E-6</v>
      </c>
      <c r="N22" s="78">
        <f t="shared" si="0"/>
        <v>1.3071896675389466E-2</v>
      </c>
      <c r="O22" s="78">
        <f>L22/'סכום נכסי הקרן'!$C$42</f>
        <v>1.2516662185619638E-4</v>
      </c>
    </row>
    <row r="23" spans="2:15">
      <c r="B23" s="76" t="s">
        <v>878</v>
      </c>
      <c r="C23" s="70" t="s">
        <v>879</v>
      </c>
      <c r="D23" s="83" t="s">
        <v>113</v>
      </c>
      <c r="E23" s="83" t="s">
        <v>280</v>
      </c>
      <c r="F23" s="70" t="s">
        <v>880</v>
      </c>
      <c r="G23" s="83" t="s">
        <v>290</v>
      </c>
      <c r="H23" s="83" t="s">
        <v>157</v>
      </c>
      <c r="I23" s="77">
        <v>78.497326000000001</v>
      </c>
      <c r="J23" s="79">
        <v>7310</v>
      </c>
      <c r="K23" s="70"/>
      <c r="L23" s="77">
        <v>5.7381545569999988</v>
      </c>
      <c r="M23" s="78">
        <v>7.8239105655693949E-7</v>
      </c>
      <c r="N23" s="78">
        <f t="shared" si="0"/>
        <v>7.4119832925569687E-3</v>
      </c>
      <c r="O23" s="78">
        <f>L23/'סכום נכסי הקרן'!$C$42</f>
        <v>7.0971560824112975E-5</v>
      </c>
    </row>
    <row r="24" spans="2:15">
      <c r="B24" s="76" t="s">
        <v>881</v>
      </c>
      <c r="C24" s="70" t="s">
        <v>882</v>
      </c>
      <c r="D24" s="83" t="s">
        <v>113</v>
      </c>
      <c r="E24" s="83" t="s">
        <v>280</v>
      </c>
      <c r="F24" s="70" t="s">
        <v>825</v>
      </c>
      <c r="G24" s="83" t="s">
        <v>409</v>
      </c>
      <c r="H24" s="83" t="s">
        <v>157</v>
      </c>
      <c r="I24" s="77">
        <v>3167.6180709999999</v>
      </c>
      <c r="J24" s="79">
        <v>63.9</v>
      </c>
      <c r="K24" s="70"/>
      <c r="L24" s="77">
        <v>2.0241079470000001</v>
      </c>
      <c r="M24" s="78">
        <v>9.8811650289032697E-7</v>
      </c>
      <c r="N24" s="78">
        <f t="shared" si="0"/>
        <v>2.614543427937818E-3</v>
      </c>
      <c r="O24" s="78">
        <f>L24/'סכום נכסי הקרן'!$C$42</f>
        <v>2.5034895600683446E-5</v>
      </c>
    </row>
    <row r="25" spans="2:15">
      <c r="B25" s="76" t="s">
        <v>883</v>
      </c>
      <c r="C25" s="70" t="s">
        <v>884</v>
      </c>
      <c r="D25" s="83" t="s">
        <v>113</v>
      </c>
      <c r="E25" s="83" t="s">
        <v>280</v>
      </c>
      <c r="F25" s="70" t="s">
        <v>338</v>
      </c>
      <c r="G25" s="83" t="s">
        <v>290</v>
      </c>
      <c r="H25" s="83" t="s">
        <v>157</v>
      </c>
      <c r="I25" s="77">
        <v>1179.8810490000001</v>
      </c>
      <c r="J25" s="79">
        <v>1050</v>
      </c>
      <c r="K25" s="70"/>
      <c r="L25" s="77">
        <v>12.38875101</v>
      </c>
      <c r="M25" s="78">
        <v>1.0136287151264982E-6</v>
      </c>
      <c r="N25" s="78">
        <f t="shared" si="0"/>
        <v>1.6002569221449481E-2</v>
      </c>
      <c r="O25" s="78">
        <f>L25/'סכום נכסי הקרן'!$C$42</f>
        <v>1.5322853142190227E-4</v>
      </c>
    </row>
    <row r="26" spans="2:15">
      <c r="B26" s="76" t="s">
        <v>885</v>
      </c>
      <c r="C26" s="70" t="s">
        <v>886</v>
      </c>
      <c r="D26" s="83" t="s">
        <v>113</v>
      </c>
      <c r="E26" s="83" t="s">
        <v>280</v>
      </c>
      <c r="F26" s="70" t="s">
        <v>851</v>
      </c>
      <c r="G26" s="83" t="s">
        <v>139</v>
      </c>
      <c r="H26" s="83" t="s">
        <v>157</v>
      </c>
      <c r="I26" s="77">
        <v>1651.65897</v>
      </c>
      <c r="J26" s="79">
        <v>252</v>
      </c>
      <c r="K26" s="70"/>
      <c r="L26" s="77">
        <v>4.1621806049999996</v>
      </c>
      <c r="M26" s="78">
        <v>1.407086640390327E-6</v>
      </c>
      <c r="N26" s="78">
        <f t="shared" si="0"/>
        <v>5.3762952528405832E-3</v>
      </c>
      <c r="O26" s="78">
        <f>L26/'סכום נכסי הקרן'!$C$42</f>
        <v>5.1479347764926515E-5</v>
      </c>
    </row>
    <row r="27" spans="2:15">
      <c r="B27" s="76" t="s">
        <v>887</v>
      </c>
      <c r="C27" s="70" t="s">
        <v>888</v>
      </c>
      <c r="D27" s="83" t="s">
        <v>113</v>
      </c>
      <c r="E27" s="83" t="s">
        <v>280</v>
      </c>
      <c r="F27" s="70" t="s">
        <v>889</v>
      </c>
      <c r="G27" s="83" t="s">
        <v>405</v>
      </c>
      <c r="H27" s="83" t="s">
        <v>157</v>
      </c>
      <c r="I27" s="77">
        <v>275.11440099999999</v>
      </c>
      <c r="J27" s="79">
        <v>1280</v>
      </c>
      <c r="K27" s="70"/>
      <c r="L27" s="77">
        <v>3.5214643360000002</v>
      </c>
      <c r="M27" s="78">
        <v>1.0740226711077527E-6</v>
      </c>
      <c r="N27" s="78">
        <f t="shared" si="0"/>
        <v>4.5486810375169242E-3</v>
      </c>
      <c r="O27" s="78">
        <f>L27/'סכום נכסי הקרן'!$C$42</f>
        <v>4.3554738344836927E-5</v>
      </c>
    </row>
    <row r="28" spans="2:15">
      <c r="B28" s="76" t="s">
        <v>890</v>
      </c>
      <c r="C28" s="70" t="s">
        <v>891</v>
      </c>
      <c r="D28" s="83" t="s">
        <v>113</v>
      </c>
      <c r="E28" s="83" t="s">
        <v>280</v>
      </c>
      <c r="F28" s="70" t="s">
        <v>892</v>
      </c>
      <c r="G28" s="83" t="s">
        <v>405</v>
      </c>
      <c r="H28" s="83" t="s">
        <v>157</v>
      </c>
      <c r="I28" s="77">
        <v>207.411619</v>
      </c>
      <c r="J28" s="79">
        <v>1870</v>
      </c>
      <c r="K28" s="70"/>
      <c r="L28" s="77">
        <v>3.8785972720000004</v>
      </c>
      <c r="M28" s="78">
        <v>9.675007282554043E-7</v>
      </c>
      <c r="N28" s="78">
        <f t="shared" si="0"/>
        <v>5.0099902142843322E-3</v>
      </c>
      <c r="O28" s="78">
        <f>L28/'סכום נכסי הקרן'!$C$42</f>
        <v>4.7971887035734075E-5</v>
      </c>
    </row>
    <row r="29" spans="2:15">
      <c r="B29" s="76" t="s">
        <v>893</v>
      </c>
      <c r="C29" s="70" t="s">
        <v>894</v>
      </c>
      <c r="D29" s="83" t="s">
        <v>113</v>
      </c>
      <c r="E29" s="83" t="s">
        <v>280</v>
      </c>
      <c r="F29" s="70" t="s">
        <v>895</v>
      </c>
      <c r="G29" s="83" t="s">
        <v>896</v>
      </c>
      <c r="H29" s="83" t="s">
        <v>157</v>
      </c>
      <c r="I29" s="77">
        <v>65.820302999999996</v>
      </c>
      <c r="J29" s="79">
        <v>6606</v>
      </c>
      <c r="K29" s="70"/>
      <c r="L29" s="77">
        <v>4.3480892100000004</v>
      </c>
      <c r="M29" s="78">
        <v>6.1603583309140944E-7</v>
      </c>
      <c r="N29" s="78">
        <f t="shared" si="0"/>
        <v>5.6164336911685665E-3</v>
      </c>
      <c r="O29" s="78">
        <f>L29/'סכום נכסי הקרן'!$C$42</f>
        <v>5.3778732303355839E-5</v>
      </c>
    </row>
    <row r="30" spans="2:15">
      <c r="B30" s="76" t="s">
        <v>897</v>
      </c>
      <c r="C30" s="70" t="s">
        <v>898</v>
      </c>
      <c r="D30" s="83" t="s">
        <v>113</v>
      </c>
      <c r="E30" s="83" t="s">
        <v>280</v>
      </c>
      <c r="F30" s="70" t="s">
        <v>899</v>
      </c>
      <c r="G30" s="83" t="s">
        <v>900</v>
      </c>
      <c r="H30" s="83" t="s">
        <v>157</v>
      </c>
      <c r="I30" s="77">
        <v>116.400785</v>
      </c>
      <c r="J30" s="79">
        <v>4166</v>
      </c>
      <c r="K30" s="70"/>
      <c r="L30" s="77">
        <v>4.8492567209999997</v>
      </c>
      <c r="M30" s="78">
        <v>1.0625116605646611E-7</v>
      </c>
      <c r="N30" s="78">
        <f t="shared" si="0"/>
        <v>6.2637925556614802E-3</v>
      </c>
      <c r="O30" s="78">
        <f>L30/'סכום נכסי הקרן'!$C$42</f>
        <v>5.9977352458439569E-5</v>
      </c>
    </row>
    <row r="31" spans="2:15">
      <c r="B31" s="76" t="s">
        <v>901</v>
      </c>
      <c r="C31" s="70" t="s">
        <v>902</v>
      </c>
      <c r="D31" s="83" t="s">
        <v>113</v>
      </c>
      <c r="E31" s="83" t="s">
        <v>280</v>
      </c>
      <c r="F31" s="70" t="s">
        <v>303</v>
      </c>
      <c r="G31" s="83" t="s">
        <v>290</v>
      </c>
      <c r="H31" s="83" t="s">
        <v>157</v>
      </c>
      <c r="I31" s="77">
        <v>1704.796208</v>
      </c>
      <c r="J31" s="79">
        <v>1731</v>
      </c>
      <c r="K31" s="70"/>
      <c r="L31" s="77">
        <v>29.510022366000001</v>
      </c>
      <c r="M31" s="78">
        <v>1.1733779988104668E-6</v>
      </c>
      <c r="N31" s="78">
        <f t="shared" si="0"/>
        <v>3.8118142438834719E-2</v>
      </c>
      <c r="O31" s="78">
        <f>L31/'סכום נכסי הקרן'!$C$42</f>
        <v>3.649905778007617E-4</v>
      </c>
    </row>
    <row r="32" spans="2:15">
      <c r="B32" s="76" t="s">
        <v>903</v>
      </c>
      <c r="C32" s="70" t="s">
        <v>904</v>
      </c>
      <c r="D32" s="83" t="s">
        <v>113</v>
      </c>
      <c r="E32" s="83" t="s">
        <v>280</v>
      </c>
      <c r="F32" s="70" t="s">
        <v>434</v>
      </c>
      <c r="G32" s="83" t="s">
        <v>345</v>
      </c>
      <c r="H32" s="83" t="s">
        <v>157</v>
      </c>
      <c r="I32" s="77">
        <v>785.02150600000004</v>
      </c>
      <c r="J32" s="79">
        <v>624</v>
      </c>
      <c r="K32" s="70"/>
      <c r="L32" s="77">
        <v>4.8985341989999993</v>
      </c>
      <c r="M32" s="78">
        <v>9.6566845731137202E-7</v>
      </c>
      <c r="N32" s="78">
        <f t="shared" si="0"/>
        <v>6.3274443517236439E-3</v>
      </c>
      <c r="O32" s="78">
        <f>L32/'סכום נכסי הקרן'!$C$42</f>
        <v>6.0586834042177931E-5</v>
      </c>
    </row>
    <row r="33" spans="2:15">
      <c r="B33" s="76" t="s">
        <v>905</v>
      </c>
      <c r="C33" s="70" t="s">
        <v>906</v>
      </c>
      <c r="D33" s="83" t="s">
        <v>113</v>
      </c>
      <c r="E33" s="83" t="s">
        <v>280</v>
      </c>
      <c r="F33" s="70" t="s">
        <v>539</v>
      </c>
      <c r="G33" s="83" t="s">
        <v>290</v>
      </c>
      <c r="H33" s="83" t="s">
        <v>157</v>
      </c>
      <c r="I33" s="77">
        <v>277.08817299999998</v>
      </c>
      <c r="J33" s="79">
        <v>6462</v>
      </c>
      <c r="K33" s="70"/>
      <c r="L33" s="77">
        <v>17.90543774</v>
      </c>
      <c r="M33" s="78">
        <v>1.1787184542537601E-6</v>
      </c>
      <c r="N33" s="78">
        <f t="shared" si="0"/>
        <v>2.3128482172530482E-2</v>
      </c>
      <c r="O33" s="78">
        <f>L33/'סכום נכסי הקרן'!$C$42</f>
        <v>2.2146089845149811E-4</v>
      </c>
    </row>
    <row r="34" spans="2:15">
      <c r="B34" s="76" t="s">
        <v>907</v>
      </c>
      <c r="C34" s="70" t="s">
        <v>908</v>
      </c>
      <c r="D34" s="83" t="s">
        <v>113</v>
      </c>
      <c r="E34" s="83" t="s">
        <v>280</v>
      </c>
      <c r="F34" s="70" t="s">
        <v>439</v>
      </c>
      <c r="G34" s="83" t="s">
        <v>345</v>
      </c>
      <c r="H34" s="83" t="s">
        <v>157</v>
      </c>
      <c r="I34" s="77">
        <v>66.969042000000002</v>
      </c>
      <c r="J34" s="79">
        <v>12950</v>
      </c>
      <c r="K34" s="70"/>
      <c r="L34" s="77">
        <v>8.6724908739999993</v>
      </c>
      <c r="M34" s="78">
        <v>1.4117018158113624E-6</v>
      </c>
      <c r="N34" s="78">
        <f t="shared" si="0"/>
        <v>1.1202270141804546E-2</v>
      </c>
      <c r="O34" s="78">
        <f>L34/'סכום נכסי הקרן'!$C$42</f>
        <v>1.0726448851221762E-4</v>
      </c>
    </row>
    <row r="35" spans="2:15">
      <c r="B35" s="76" t="s">
        <v>909</v>
      </c>
      <c r="C35" s="70" t="s">
        <v>910</v>
      </c>
      <c r="D35" s="83" t="s">
        <v>113</v>
      </c>
      <c r="E35" s="83" t="s">
        <v>280</v>
      </c>
      <c r="F35" s="70" t="s">
        <v>911</v>
      </c>
      <c r="G35" s="83" t="s">
        <v>185</v>
      </c>
      <c r="H35" s="83" t="s">
        <v>157</v>
      </c>
      <c r="I35" s="77">
        <v>13.279658</v>
      </c>
      <c r="J35" s="79">
        <v>64490</v>
      </c>
      <c r="K35" s="70"/>
      <c r="L35" s="77">
        <v>8.5640514159999999</v>
      </c>
      <c r="M35" s="78">
        <v>2.128210994989745E-7</v>
      </c>
      <c r="N35" s="78">
        <f t="shared" si="0"/>
        <v>1.1062198722855151E-2</v>
      </c>
      <c r="O35" s="78">
        <f>L35/'סכום נכסי הקרן'!$C$42</f>
        <v>1.0592327026639811E-4</v>
      </c>
    </row>
    <row r="36" spans="2:15">
      <c r="B36" s="76" t="s">
        <v>912</v>
      </c>
      <c r="C36" s="70" t="s">
        <v>913</v>
      </c>
      <c r="D36" s="83" t="s">
        <v>113</v>
      </c>
      <c r="E36" s="83" t="s">
        <v>280</v>
      </c>
      <c r="F36" s="70" t="s">
        <v>914</v>
      </c>
      <c r="G36" s="83" t="s">
        <v>290</v>
      </c>
      <c r="H36" s="83" t="s">
        <v>157</v>
      </c>
      <c r="I36" s="77">
        <v>1569.611435</v>
      </c>
      <c r="J36" s="79">
        <v>2058</v>
      </c>
      <c r="K36" s="70"/>
      <c r="L36" s="77">
        <v>32.302603331</v>
      </c>
      <c r="M36" s="78">
        <v>1.1749484720991478E-6</v>
      </c>
      <c r="N36" s="78">
        <f t="shared" si="0"/>
        <v>4.17253236763011E-2</v>
      </c>
      <c r="O36" s="78">
        <f>L36/'סכום נכסי הקרן'!$C$42</f>
        <v>3.9953022427507631E-4</v>
      </c>
    </row>
    <row r="37" spans="2:15">
      <c r="B37" s="76" t="s">
        <v>915</v>
      </c>
      <c r="C37" s="70" t="s">
        <v>916</v>
      </c>
      <c r="D37" s="83" t="s">
        <v>113</v>
      </c>
      <c r="E37" s="83" t="s">
        <v>280</v>
      </c>
      <c r="F37" s="70" t="s">
        <v>917</v>
      </c>
      <c r="G37" s="83" t="s">
        <v>900</v>
      </c>
      <c r="H37" s="83" t="s">
        <v>157</v>
      </c>
      <c r="I37" s="77">
        <v>41.372124000000007</v>
      </c>
      <c r="J37" s="79">
        <v>19000</v>
      </c>
      <c r="K37" s="70"/>
      <c r="L37" s="77">
        <v>7.8607035349999999</v>
      </c>
      <c r="M37" s="78">
        <v>3.0392876857228455E-7</v>
      </c>
      <c r="N37" s="78">
        <f t="shared" si="0"/>
        <v>1.0153683155516914E-2</v>
      </c>
      <c r="O37" s="78">
        <f>L37/'סכום נכסי הקרן'!$C$42</f>
        <v>9.722401052686954E-5</v>
      </c>
    </row>
    <row r="38" spans="2:15">
      <c r="B38" s="76" t="s">
        <v>918</v>
      </c>
      <c r="C38" s="70" t="s">
        <v>919</v>
      </c>
      <c r="D38" s="83" t="s">
        <v>113</v>
      </c>
      <c r="E38" s="83" t="s">
        <v>280</v>
      </c>
      <c r="F38" s="70" t="s">
        <v>359</v>
      </c>
      <c r="G38" s="83" t="s">
        <v>345</v>
      </c>
      <c r="H38" s="83" t="s">
        <v>157</v>
      </c>
      <c r="I38" s="77">
        <v>124.155233</v>
      </c>
      <c r="J38" s="79">
        <v>15670</v>
      </c>
      <c r="K38" s="70"/>
      <c r="L38" s="77">
        <v>19.455125016</v>
      </c>
      <c r="M38" s="78">
        <v>1.0237685115767135E-6</v>
      </c>
      <c r="N38" s="78">
        <f t="shared" si="0"/>
        <v>2.5130215671393456E-2</v>
      </c>
      <c r="O38" s="78">
        <f>L38/'סכום נכסי הקרן'!$C$42</f>
        <v>2.4062798844087777E-4</v>
      </c>
    </row>
    <row r="39" spans="2:15">
      <c r="B39" s="76" t="s">
        <v>920</v>
      </c>
      <c r="C39" s="70" t="s">
        <v>921</v>
      </c>
      <c r="D39" s="83" t="s">
        <v>113</v>
      </c>
      <c r="E39" s="83" t="s">
        <v>280</v>
      </c>
      <c r="F39" s="70" t="s">
        <v>461</v>
      </c>
      <c r="G39" s="83" t="s">
        <v>144</v>
      </c>
      <c r="H39" s="83" t="s">
        <v>157</v>
      </c>
      <c r="I39" s="77">
        <v>432.18862800000005</v>
      </c>
      <c r="J39" s="79">
        <v>2259</v>
      </c>
      <c r="K39" s="70"/>
      <c r="L39" s="77">
        <v>9.7631411159999999</v>
      </c>
      <c r="M39" s="78">
        <v>1.8141351425037713E-6</v>
      </c>
      <c r="N39" s="78">
        <f t="shared" si="0"/>
        <v>1.2611064779771497E-2</v>
      </c>
      <c r="O39" s="78">
        <f>L39/'סכום נכסי הקרן'!$C$42</f>
        <v>1.2075404324955207E-4</v>
      </c>
    </row>
    <row r="40" spans="2:15">
      <c r="B40" s="76" t="s">
        <v>922</v>
      </c>
      <c r="C40" s="70" t="s">
        <v>923</v>
      </c>
      <c r="D40" s="83" t="s">
        <v>113</v>
      </c>
      <c r="E40" s="83" t="s">
        <v>280</v>
      </c>
      <c r="F40" s="70" t="s">
        <v>664</v>
      </c>
      <c r="G40" s="83" t="s">
        <v>665</v>
      </c>
      <c r="H40" s="83" t="s">
        <v>157</v>
      </c>
      <c r="I40" s="77">
        <v>142.825672</v>
      </c>
      <c r="J40" s="79">
        <v>9593</v>
      </c>
      <c r="K40" s="70"/>
      <c r="L40" s="77">
        <v>13.701266731</v>
      </c>
      <c r="M40" s="78">
        <v>1.2322821141345755E-6</v>
      </c>
      <c r="N40" s="78">
        <f t="shared" si="0"/>
        <v>1.7697947848608057E-2</v>
      </c>
      <c r="O40" s="78">
        <f>L40/'סכום נכסי הקרן'!$C$42</f>
        <v>1.6946219825681182E-4</v>
      </c>
    </row>
    <row r="41" spans="2:15">
      <c r="B41" s="76" t="s">
        <v>924</v>
      </c>
      <c r="C41" s="70" t="s">
        <v>925</v>
      </c>
      <c r="D41" s="83" t="s">
        <v>113</v>
      </c>
      <c r="E41" s="83" t="s">
        <v>280</v>
      </c>
      <c r="F41" s="70" t="s">
        <v>926</v>
      </c>
      <c r="G41" s="83" t="s">
        <v>599</v>
      </c>
      <c r="H41" s="83" t="s">
        <v>157</v>
      </c>
      <c r="I41" s="77">
        <v>125.37530700000001</v>
      </c>
      <c r="J41" s="79">
        <v>1230</v>
      </c>
      <c r="K41" s="70"/>
      <c r="L41" s="77">
        <v>1.542116276</v>
      </c>
      <c r="M41" s="78">
        <v>3.0857729944564396E-7</v>
      </c>
      <c r="N41" s="78">
        <f t="shared" si="0"/>
        <v>1.9919540262205897E-3</v>
      </c>
      <c r="O41" s="78">
        <f>L41/'סכום נכסי הקרן'!$C$42</f>
        <v>1.9073449136443086E-5</v>
      </c>
    </row>
    <row r="42" spans="2:15">
      <c r="B42" s="76" t="s">
        <v>927</v>
      </c>
      <c r="C42" s="70" t="s">
        <v>928</v>
      </c>
      <c r="D42" s="83" t="s">
        <v>113</v>
      </c>
      <c r="E42" s="83" t="s">
        <v>280</v>
      </c>
      <c r="F42" s="70" t="s">
        <v>789</v>
      </c>
      <c r="G42" s="83" t="s">
        <v>790</v>
      </c>
      <c r="H42" s="83" t="s">
        <v>157</v>
      </c>
      <c r="I42" s="77">
        <v>521.52514199999996</v>
      </c>
      <c r="J42" s="79">
        <v>2101</v>
      </c>
      <c r="K42" s="70"/>
      <c r="L42" s="77">
        <v>10.957243235</v>
      </c>
      <c r="M42" s="78">
        <v>1.4638291501208851E-6</v>
      </c>
      <c r="N42" s="78">
        <f t="shared" si="0"/>
        <v>1.4153488370442805E-2</v>
      </c>
      <c r="O42" s="78">
        <f>L42/'סכום נכסי הקרן'!$C$42</f>
        <v>1.3552312803577957E-4</v>
      </c>
    </row>
    <row r="43" spans="2:15">
      <c r="B43" s="73"/>
      <c r="C43" s="70"/>
      <c r="D43" s="70"/>
      <c r="E43" s="70"/>
      <c r="F43" s="70"/>
      <c r="G43" s="70"/>
      <c r="H43" s="70"/>
      <c r="I43" s="77"/>
      <c r="J43" s="79"/>
      <c r="K43" s="70"/>
      <c r="L43" s="70"/>
      <c r="M43" s="70"/>
      <c r="N43" s="78"/>
      <c r="O43" s="70"/>
    </row>
    <row r="44" spans="2:15">
      <c r="B44" s="89" t="s">
        <v>929</v>
      </c>
      <c r="C44" s="72"/>
      <c r="D44" s="72"/>
      <c r="E44" s="72"/>
      <c r="F44" s="72"/>
      <c r="G44" s="72"/>
      <c r="H44" s="72"/>
      <c r="I44" s="80"/>
      <c r="J44" s="82"/>
      <c r="K44" s="80">
        <v>1.151765095</v>
      </c>
      <c r="L44" s="80">
        <f>SUM(L45:L85)</f>
        <v>152.88104535599996</v>
      </c>
      <c r="M44" s="72"/>
      <c r="N44" s="81">
        <f t="shared" ref="N44:N85" si="1">L44/$L$11</f>
        <v>0.19747668743864338</v>
      </c>
      <c r="O44" s="81">
        <f>L44/'סכום נכסי הקרן'!$C$42</f>
        <v>1.890887793550474E-3</v>
      </c>
    </row>
    <row r="45" spans="2:15">
      <c r="B45" s="76" t="s">
        <v>930</v>
      </c>
      <c r="C45" s="70" t="s">
        <v>931</v>
      </c>
      <c r="D45" s="83" t="s">
        <v>113</v>
      </c>
      <c r="E45" s="83" t="s">
        <v>280</v>
      </c>
      <c r="F45" s="70" t="s">
        <v>622</v>
      </c>
      <c r="G45" s="83" t="s">
        <v>409</v>
      </c>
      <c r="H45" s="83" t="s">
        <v>157</v>
      </c>
      <c r="I45" s="77">
        <v>317.434324</v>
      </c>
      <c r="J45" s="79">
        <v>2818</v>
      </c>
      <c r="K45" s="70"/>
      <c r="L45" s="77">
        <v>8.9452992630000008</v>
      </c>
      <c r="M45" s="78">
        <v>2.2142527477289954E-6</v>
      </c>
      <c r="N45" s="78">
        <f t="shared" si="1"/>
        <v>1.1554657168199763E-2</v>
      </c>
      <c r="O45" s="78">
        <f>L45/'סכום נכסי הקרן'!$C$42</f>
        <v>1.1063868085592551E-4</v>
      </c>
    </row>
    <row r="46" spans="2:15">
      <c r="B46" s="76" t="s">
        <v>932</v>
      </c>
      <c r="C46" s="70" t="s">
        <v>933</v>
      </c>
      <c r="D46" s="83" t="s">
        <v>113</v>
      </c>
      <c r="E46" s="83" t="s">
        <v>280</v>
      </c>
      <c r="F46" s="70" t="s">
        <v>598</v>
      </c>
      <c r="G46" s="83" t="s">
        <v>599</v>
      </c>
      <c r="H46" s="83" t="s">
        <v>157</v>
      </c>
      <c r="I46" s="77">
        <v>267.14569899999998</v>
      </c>
      <c r="J46" s="79">
        <v>626</v>
      </c>
      <c r="K46" s="70"/>
      <c r="L46" s="77">
        <v>1.672332079</v>
      </c>
      <c r="M46" s="78">
        <v>1.2676534330327767E-6</v>
      </c>
      <c r="N46" s="78">
        <f t="shared" si="1"/>
        <v>2.1601539843561701E-3</v>
      </c>
      <c r="O46" s="78">
        <f>L46/'סכום נכסי הקרן'!$C$42</f>
        <v>2.0684005054913655E-5</v>
      </c>
    </row>
    <row r="47" spans="2:15">
      <c r="B47" s="76" t="s">
        <v>934</v>
      </c>
      <c r="C47" s="70" t="s">
        <v>935</v>
      </c>
      <c r="D47" s="83" t="s">
        <v>113</v>
      </c>
      <c r="E47" s="83" t="s">
        <v>280</v>
      </c>
      <c r="F47" s="70" t="s">
        <v>936</v>
      </c>
      <c r="G47" s="83" t="s">
        <v>405</v>
      </c>
      <c r="H47" s="83" t="s">
        <v>157</v>
      </c>
      <c r="I47" s="77">
        <v>16.990383999999999</v>
      </c>
      <c r="J47" s="79">
        <v>8049</v>
      </c>
      <c r="K47" s="70"/>
      <c r="L47" s="77">
        <v>1.3675560250000001</v>
      </c>
      <c r="M47" s="78">
        <v>1.1577843084998187E-6</v>
      </c>
      <c r="N47" s="78">
        <f t="shared" si="1"/>
        <v>1.7664742746551334E-3</v>
      </c>
      <c r="O47" s="78">
        <f>L47/'סכום נכסי הקרן'!$C$42</f>
        <v>1.6914425124758744E-5</v>
      </c>
    </row>
    <row r="48" spans="2:15">
      <c r="B48" s="76" t="s">
        <v>937</v>
      </c>
      <c r="C48" s="70" t="s">
        <v>938</v>
      </c>
      <c r="D48" s="83" t="s">
        <v>113</v>
      </c>
      <c r="E48" s="83" t="s">
        <v>280</v>
      </c>
      <c r="F48" s="70" t="s">
        <v>939</v>
      </c>
      <c r="G48" s="83" t="s">
        <v>790</v>
      </c>
      <c r="H48" s="83" t="s">
        <v>157</v>
      </c>
      <c r="I48" s="77">
        <v>284.70853299999999</v>
      </c>
      <c r="J48" s="79">
        <v>1135</v>
      </c>
      <c r="K48" s="70"/>
      <c r="L48" s="77">
        <v>3.2314418529999993</v>
      </c>
      <c r="M48" s="78">
        <v>2.6164490125705258E-6</v>
      </c>
      <c r="N48" s="78">
        <f t="shared" si="1"/>
        <v>4.1740585387486512E-3</v>
      </c>
      <c r="O48" s="78">
        <f>L48/'סכום נכסי הקרן'!$C$42</f>
        <v>3.9967635890880694E-5</v>
      </c>
    </row>
    <row r="49" spans="2:15">
      <c r="B49" s="76" t="s">
        <v>940</v>
      </c>
      <c r="C49" s="70" t="s">
        <v>941</v>
      </c>
      <c r="D49" s="83" t="s">
        <v>113</v>
      </c>
      <c r="E49" s="83" t="s">
        <v>280</v>
      </c>
      <c r="F49" s="70" t="s">
        <v>942</v>
      </c>
      <c r="G49" s="83" t="s">
        <v>185</v>
      </c>
      <c r="H49" s="83" t="s">
        <v>157</v>
      </c>
      <c r="I49" s="77">
        <v>3.6410740000000006</v>
      </c>
      <c r="J49" s="79">
        <v>3652</v>
      </c>
      <c r="K49" s="70"/>
      <c r="L49" s="77">
        <v>0.132972016</v>
      </c>
      <c r="M49" s="78">
        <v>1.0547500620496766E-7</v>
      </c>
      <c r="N49" s="78">
        <f t="shared" si="1"/>
        <v>1.7176016281528997E-4</v>
      </c>
      <c r="O49" s="78">
        <f>L49/'סכום נכסי הקרן'!$C$42</f>
        <v>1.6446457528642907E-6</v>
      </c>
    </row>
    <row r="50" spans="2:15">
      <c r="B50" s="76" t="s">
        <v>943</v>
      </c>
      <c r="C50" s="70" t="s">
        <v>944</v>
      </c>
      <c r="D50" s="83" t="s">
        <v>113</v>
      </c>
      <c r="E50" s="83" t="s">
        <v>280</v>
      </c>
      <c r="F50" s="70" t="s">
        <v>820</v>
      </c>
      <c r="G50" s="83" t="s">
        <v>183</v>
      </c>
      <c r="H50" s="83" t="s">
        <v>157</v>
      </c>
      <c r="I50" s="77">
        <v>1919.430063</v>
      </c>
      <c r="J50" s="79">
        <v>525</v>
      </c>
      <c r="K50" s="70"/>
      <c r="L50" s="77">
        <v>10.077007833</v>
      </c>
      <c r="M50" s="78">
        <v>2.4831288956846088E-6</v>
      </c>
      <c r="N50" s="78">
        <f t="shared" si="1"/>
        <v>1.301648691320911E-2</v>
      </c>
      <c r="O50" s="78">
        <f>L50/'סכום נכסי הקרן'!$C$42</f>
        <v>1.2463605977158109E-4</v>
      </c>
    </row>
    <row r="51" spans="2:15">
      <c r="B51" s="76" t="s">
        <v>945</v>
      </c>
      <c r="C51" s="70" t="s">
        <v>946</v>
      </c>
      <c r="D51" s="83" t="s">
        <v>113</v>
      </c>
      <c r="E51" s="83" t="s">
        <v>280</v>
      </c>
      <c r="F51" s="70" t="s">
        <v>947</v>
      </c>
      <c r="G51" s="83" t="s">
        <v>183</v>
      </c>
      <c r="H51" s="83" t="s">
        <v>157</v>
      </c>
      <c r="I51" s="77">
        <v>865.21254299999998</v>
      </c>
      <c r="J51" s="79">
        <v>1294</v>
      </c>
      <c r="K51" s="70"/>
      <c r="L51" s="77">
        <v>11.195850311000001</v>
      </c>
      <c r="M51" s="78">
        <v>1.8284102185872034E-6</v>
      </c>
      <c r="N51" s="78">
        <f t="shared" si="1"/>
        <v>1.4461697506887278E-2</v>
      </c>
      <c r="O51" s="78">
        <f>L51/'סכום נכסי הקרן'!$C$42</f>
        <v>1.3847430623064704E-4</v>
      </c>
    </row>
    <row r="52" spans="2:15">
      <c r="B52" s="76" t="s">
        <v>948</v>
      </c>
      <c r="C52" s="70" t="s">
        <v>949</v>
      </c>
      <c r="D52" s="83" t="s">
        <v>113</v>
      </c>
      <c r="E52" s="83" t="s">
        <v>280</v>
      </c>
      <c r="F52" s="70" t="s">
        <v>950</v>
      </c>
      <c r="G52" s="83" t="s">
        <v>635</v>
      </c>
      <c r="H52" s="83" t="s">
        <v>157</v>
      </c>
      <c r="I52" s="77">
        <v>16.272483000000001</v>
      </c>
      <c r="J52" s="79">
        <v>6299</v>
      </c>
      <c r="K52" s="70"/>
      <c r="L52" s="77">
        <v>1.025003697</v>
      </c>
      <c r="M52" s="78">
        <v>4.4789481236112255E-7</v>
      </c>
      <c r="N52" s="78">
        <f t="shared" si="1"/>
        <v>1.323998892240561E-3</v>
      </c>
      <c r="O52" s="78">
        <f>L52/'סכום נכסי הקרן'!$C$42</f>
        <v>1.2677614641423848E-5</v>
      </c>
    </row>
    <row r="53" spans="2:15">
      <c r="B53" s="76" t="s">
        <v>951</v>
      </c>
      <c r="C53" s="70" t="s">
        <v>952</v>
      </c>
      <c r="D53" s="83" t="s">
        <v>113</v>
      </c>
      <c r="E53" s="83" t="s">
        <v>280</v>
      </c>
      <c r="F53" s="70" t="s">
        <v>953</v>
      </c>
      <c r="G53" s="83" t="s">
        <v>954</v>
      </c>
      <c r="H53" s="83" t="s">
        <v>157</v>
      </c>
      <c r="I53" s="77">
        <v>56.558742000000002</v>
      </c>
      <c r="J53" s="79">
        <v>5699</v>
      </c>
      <c r="K53" s="70"/>
      <c r="L53" s="77">
        <v>3.2232826899999996</v>
      </c>
      <c r="M53" s="78">
        <v>2.2869824940050289E-6</v>
      </c>
      <c r="N53" s="78">
        <f t="shared" si="1"/>
        <v>4.1635193350314081E-3</v>
      </c>
      <c r="O53" s="78">
        <f>L53/'סכום נכסי הקרן'!$C$42</f>
        <v>3.9866720426269877E-5</v>
      </c>
    </row>
    <row r="54" spans="2:15">
      <c r="B54" s="76" t="s">
        <v>955</v>
      </c>
      <c r="C54" s="70" t="s">
        <v>956</v>
      </c>
      <c r="D54" s="83" t="s">
        <v>113</v>
      </c>
      <c r="E54" s="83" t="s">
        <v>280</v>
      </c>
      <c r="F54" s="70" t="s">
        <v>399</v>
      </c>
      <c r="G54" s="83" t="s">
        <v>345</v>
      </c>
      <c r="H54" s="83" t="s">
        <v>157</v>
      </c>
      <c r="I54" s="77">
        <v>8.683935</v>
      </c>
      <c r="J54" s="79">
        <v>179690</v>
      </c>
      <c r="K54" s="70"/>
      <c r="L54" s="77">
        <v>15.604162334</v>
      </c>
      <c r="M54" s="78">
        <v>4.0640761341379806E-6</v>
      </c>
      <c r="N54" s="78">
        <f t="shared" si="1"/>
        <v>2.0155921100602516E-2</v>
      </c>
      <c r="O54" s="78">
        <f>L54/'סכום נכסי הקרן'!$C$42</f>
        <v>1.9299789596044056E-4</v>
      </c>
    </row>
    <row r="55" spans="2:15">
      <c r="B55" s="76" t="s">
        <v>957</v>
      </c>
      <c r="C55" s="70" t="s">
        <v>958</v>
      </c>
      <c r="D55" s="83" t="s">
        <v>113</v>
      </c>
      <c r="E55" s="83" t="s">
        <v>280</v>
      </c>
      <c r="F55" s="70" t="s">
        <v>959</v>
      </c>
      <c r="G55" s="83" t="s">
        <v>599</v>
      </c>
      <c r="H55" s="83" t="s">
        <v>157</v>
      </c>
      <c r="I55" s="77">
        <v>19.654885</v>
      </c>
      <c r="J55" s="79">
        <v>9053</v>
      </c>
      <c r="K55" s="70"/>
      <c r="L55" s="77">
        <v>1.7793567250000002</v>
      </c>
      <c r="M55" s="78">
        <v>1.0506211529895626E-6</v>
      </c>
      <c r="N55" s="78">
        <f t="shared" si="1"/>
        <v>2.2983978884134628E-3</v>
      </c>
      <c r="O55" s="78">
        <f>L55/'סכום נכסי הקרן'!$C$42</f>
        <v>2.200772439670136E-5</v>
      </c>
    </row>
    <row r="56" spans="2:15">
      <c r="B56" s="76" t="s">
        <v>960</v>
      </c>
      <c r="C56" s="70" t="s">
        <v>961</v>
      </c>
      <c r="D56" s="83" t="s">
        <v>113</v>
      </c>
      <c r="E56" s="83" t="s">
        <v>280</v>
      </c>
      <c r="F56" s="70" t="s">
        <v>962</v>
      </c>
      <c r="G56" s="83" t="s">
        <v>149</v>
      </c>
      <c r="H56" s="83" t="s">
        <v>157</v>
      </c>
      <c r="I56" s="77">
        <v>20.201875000000001</v>
      </c>
      <c r="J56" s="79">
        <v>32310</v>
      </c>
      <c r="K56" s="70"/>
      <c r="L56" s="77">
        <v>6.5272257499999995</v>
      </c>
      <c r="M56" s="78">
        <v>3.7941448631577091E-6</v>
      </c>
      <c r="N56" s="78">
        <f t="shared" si="1"/>
        <v>8.4312277972242913E-3</v>
      </c>
      <c r="O56" s="78">
        <f>L56/'סכום נכסי הקרן'!$C$42</f>
        <v>8.0731077339791049E-5</v>
      </c>
    </row>
    <row r="57" spans="2:15">
      <c r="B57" s="76" t="s">
        <v>963</v>
      </c>
      <c r="C57" s="70" t="s">
        <v>964</v>
      </c>
      <c r="D57" s="83" t="s">
        <v>113</v>
      </c>
      <c r="E57" s="83" t="s">
        <v>280</v>
      </c>
      <c r="F57" s="70" t="s">
        <v>965</v>
      </c>
      <c r="G57" s="83" t="s">
        <v>790</v>
      </c>
      <c r="H57" s="83" t="s">
        <v>157</v>
      </c>
      <c r="I57" s="77">
        <v>36.726101999999997</v>
      </c>
      <c r="J57" s="79">
        <v>5480</v>
      </c>
      <c r="K57" s="70"/>
      <c r="L57" s="77">
        <v>2.0125903809999999</v>
      </c>
      <c r="M57" s="78">
        <v>2.6147664334296168E-6</v>
      </c>
      <c r="N57" s="78">
        <f t="shared" si="1"/>
        <v>2.5996661697679792E-3</v>
      </c>
      <c r="O57" s="78">
        <f>L57/'סכום נכסי הקרן'!$C$42</f>
        <v>2.4892442199020088E-5</v>
      </c>
    </row>
    <row r="58" spans="2:15">
      <c r="B58" s="76" t="s">
        <v>966</v>
      </c>
      <c r="C58" s="70" t="s">
        <v>967</v>
      </c>
      <c r="D58" s="83" t="s">
        <v>113</v>
      </c>
      <c r="E58" s="83" t="s">
        <v>280</v>
      </c>
      <c r="F58" s="70" t="s">
        <v>968</v>
      </c>
      <c r="G58" s="83" t="s">
        <v>969</v>
      </c>
      <c r="H58" s="83" t="s">
        <v>157</v>
      </c>
      <c r="I58" s="77">
        <v>18.250399000000002</v>
      </c>
      <c r="J58" s="79">
        <v>24710</v>
      </c>
      <c r="K58" s="70"/>
      <c r="L58" s="77">
        <v>4.5096736060000007</v>
      </c>
      <c r="M58" s="78">
        <v>2.6828130259852324E-6</v>
      </c>
      <c r="N58" s="78">
        <f t="shared" si="1"/>
        <v>5.8251525103626012E-3</v>
      </c>
      <c r="O58" s="78">
        <f>L58/'סכום נכסי הקרן'!$C$42</f>
        <v>5.5777266270160866E-5</v>
      </c>
    </row>
    <row r="59" spans="2:15">
      <c r="B59" s="76" t="s">
        <v>970</v>
      </c>
      <c r="C59" s="70" t="s">
        <v>971</v>
      </c>
      <c r="D59" s="83" t="s">
        <v>113</v>
      </c>
      <c r="E59" s="83" t="s">
        <v>280</v>
      </c>
      <c r="F59" s="70" t="s">
        <v>972</v>
      </c>
      <c r="G59" s="83" t="s">
        <v>969</v>
      </c>
      <c r="H59" s="83" t="s">
        <v>157</v>
      </c>
      <c r="I59" s="77">
        <v>52.685218999999996</v>
      </c>
      <c r="J59" s="79">
        <v>13930</v>
      </c>
      <c r="K59" s="70"/>
      <c r="L59" s="77">
        <v>7.339051006</v>
      </c>
      <c r="M59" s="78">
        <v>2.339207679442368E-6</v>
      </c>
      <c r="N59" s="78">
        <f t="shared" si="1"/>
        <v>9.4798637609606346E-3</v>
      </c>
      <c r="O59" s="78">
        <f>L59/'סכום נכסי הקרן'!$C$42</f>
        <v>9.0772024296242147E-5</v>
      </c>
    </row>
    <row r="60" spans="2:15">
      <c r="B60" s="76" t="s">
        <v>973</v>
      </c>
      <c r="C60" s="70" t="s">
        <v>974</v>
      </c>
      <c r="D60" s="83" t="s">
        <v>113</v>
      </c>
      <c r="E60" s="83" t="s">
        <v>280</v>
      </c>
      <c r="F60" s="70" t="s">
        <v>688</v>
      </c>
      <c r="G60" s="83" t="s">
        <v>150</v>
      </c>
      <c r="H60" s="83" t="s">
        <v>157</v>
      </c>
      <c r="I60" s="77">
        <v>299.82219199999997</v>
      </c>
      <c r="J60" s="79">
        <v>786.2</v>
      </c>
      <c r="K60" s="70"/>
      <c r="L60" s="77">
        <v>2.3572020769999997</v>
      </c>
      <c r="M60" s="78">
        <v>1.4991109599999999E-6</v>
      </c>
      <c r="N60" s="78">
        <f t="shared" si="1"/>
        <v>3.0448016410765679E-3</v>
      </c>
      <c r="O60" s="78">
        <f>L60/'סכום נכסי הקרן'!$C$42</f>
        <v>2.9154723686981884E-5</v>
      </c>
    </row>
    <row r="61" spans="2:15">
      <c r="B61" s="76" t="s">
        <v>975</v>
      </c>
      <c r="C61" s="70" t="s">
        <v>976</v>
      </c>
      <c r="D61" s="83" t="s">
        <v>113</v>
      </c>
      <c r="E61" s="83" t="s">
        <v>280</v>
      </c>
      <c r="F61" s="70" t="s">
        <v>843</v>
      </c>
      <c r="G61" s="83" t="s">
        <v>139</v>
      </c>
      <c r="H61" s="83" t="s">
        <v>157</v>
      </c>
      <c r="I61" s="77">
        <v>21310.040976</v>
      </c>
      <c r="J61" s="79">
        <v>29.9</v>
      </c>
      <c r="K61" s="77">
        <v>1.151765095</v>
      </c>
      <c r="L61" s="77">
        <v>7.5234673470000004</v>
      </c>
      <c r="M61" s="78">
        <v>4.1131817422891897E-6</v>
      </c>
      <c r="N61" s="78">
        <f t="shared" si="1"/>
        <v>9.7180746395259428E-3</v>
      </c>
      <c r="O61" s="78">
        <f>L61/'סכום נכסי הקרן'!$C$42</f>
        <v>9.3052951976427297E-5</v>
      </c>
    </row>
    <row r="62" spans="2:15">
      <c r="B62" s="76" t="s">
        <v>977</v>
      </c>
      <c r="C62" s="70" t="s">
        <v>978</v>
      </c>
      <c r="D62" s="83" t="s">
        <v>113</v>
      </c>
      <c r="E62" s="83" t="s">
        <v>280</v>
      </c>
      <c r="F62" s="70" t="s">
        <v>416</v>
      </c>
      <c r="G62" s="83" t="s">
        <v>345</v>
      </c>
      <c r="H62" s="83" t="s">
        <v>157</v>
      </c>
      <c r="I62" s="77">
        <v>3.6630750000000001</v>
      </c>
      <c r="J62" s="79">
        <v>46780</v>
      </c>
      <c r="K62" s="70"/>
      <c r="L62" s="77">
        <v>1.7135863639999998</v>
      </c>
      <c r="M62" s="78">
        <v>6.7785816011262982E-7</v>
      </c>
      <c r="N62" s="78">
        <f t="shared" si="1"/>
        <v>2.2134422093645681E-3</v>
      </c>
      <c r="O62" s="78">
        <f>L62/'סכום נכסי הקרן'!$C$42</f>
        <v>2.1194252899939201E-5</v>
      </c>
    </row>
    <row r="63" spans="2:15">
      <c r="B63" s="76" t="s">
        <v>979</v>
      </c>
      <c r="C63" s="70" t="s">
        <v>980</v>
      </c>
      <c r="D63" s="83" t="s">
        <v>113</v>
      </c>
      <c r="E63" s="83" t="s">
        <v>280</v>
      </c>
      <c r="F63" s="70" t="s">
        <v>981</v>
      </c>
      <c r="G63" s="83" t="s">
        <v>405</v>
      </c>
      <c r="H63" s="83" t="s">
        <v>157</v>
      </c>
      <c r="I63" s="77">
        <v>62.558899000000004</v>
      </c>
      <c r="J63" s="79">
        <v>2886</v>
      </c>
      <c r="K63" s="70"/>
      <c r="L63" s="77">
        <v>1.8054498189999999</v>
      </c>
      <c r="M63" s="78">
        <v>9.2481368911553934E-7</v>
      </c>
      <c r="N63" s="78">
        <f t="shared" si="1"/>
        <v>2.3321023790921227E-3</v>
      </c>
      <c r="O63" s="78">
        <f>L63/'סכום נכסי הקרן'!$C$42</f>
        <v>2.2330453174658584E-5</v>
      </c>
    </row>
    <row r="64" spans="2:15">
      <c r="B64" s="76" t="s">
        <v>982</v>
      </c>
      <c r="C64" s="70" t="s">
        <v>983</v>
      </c>
      <c r="D64" s="83" t="s">
        <v>113</v>
      </c>
      <c r="E64" s="83" t="s">
        <v>280</v>
      </c>
      <c r="F64" s="70" t="s">
        <v>984</v>
      </c>
      <c r="G64" s="83" t="s">
        <v>144</v>
      </c>
      <c r="H64" s="83" t="s">
        <v>157</v>
      </c>
      <c r="I64" s="77">
        <v>9.0617540000000005</v>
      </c>
      <c r="J64" s="79">
        <v>13790</v>
      </c>
      <c r="K64" s="70"/>
      <c r="L64" s="77">
        <v>1.2496158960000001</v>
      </c>
      <c r="M64" s="78">
        <v>7.1404068881660738E-7</v>
      </c>
      <c r="N64" s="78">
        <f t="shared" si="1"/>
        <v>1.6141308239888195E-3</v>
      </c>
      <c r="O64" s="78">
        <f>L64/'סכום נכסי הקרן'!$C$42</f>
        <v>1.5455699160551987E-5</v>
      </c>
    </row>
    <row r="65" spans="2:15">
      <c r="B65" s="76" t="s">
        <v>985</v>
      </c>
      <c r="C65" s="70" t="s">
        <v>986</v>
      </c>
      <c r="D65" s="83" t="s">
        <v>113</v>
      </c>
      <c r="E65" s="83" t="s">
        <v>280</v>
      </c>
      <c r="F65" s="70" t="s">
        <v>530</v>
      </c>
      <c r="G65" s="83" t="s">
        <v>345</v>
      </c>
      <c r="H65" s="83" t="s">
        <v>157</v>
      </c>
      <c r="I65" s="77">
        <v>19.15624</v>
      </c>
      <c r="J65" s="79">
        <v>7697</v>
      </c>
      <c r="K65" s="70"/>
      <c r="L65" s="77">
        <v>1.4744558189999999</v>
      </c>
      <c r="M65" s="78">
        <v>5.2738827690786289E-7</v>
      </c>
      <c r="N65" s="78">
        <f t="shared" si="1"/>
        <v>1.904556907187086E-3</v>
      </c>
      <c r="O65" s="78">
        <f>L65/'סכום נכסי הקרן'!$C$42</f>
        <v>1.8236600252074007E-5</v>
      </c>
    </row>
    <row r="66" spans="2:15">
      <c r="B66" s="76" t="s">
        <v>987</v>
      </c>
      <c r="C66" s="70" t="s">
        <v>988</v>
      </c>
      <c r="D66" s="83" t="s">
        <v>113</v>
      </c>
      <c r="E66" s="83" t="s">
        <v>280</v>
      </c>
      <c r="F66" s="70" t="s">
        <v>989</v>
      </c>
      <c r="G66" s="83" t="s">
        <v>969</v>
      </c>
      <c r="H66" s="83" t="s">
        <v>157</v>
      </c>
      <c r="I66" s="77">
        <v>140.43534199999999</v>
      </c>
      <c r="J66" s="79">
        <v>7349</v>
      </c>
      <c r="K66" s="70"/>
      <c r="L66" s="77">
        <v>10.320593317999998</v>
      </c>
      <c r="M66" s="78">
        <v>2.2600952512719772E-6</v>
      </c>
      <c r="N66" s="78">
        <f t="shared" si="1"/>
        <v>1.3331126668411748E-2</v>
      </c>
      <c r="O66" s="78">
        <f>L66/'סכום נכסי הקרן'!$C$42</f>
        <v>1.2764881272077784E-4</v>
      </c>
    </row>
    <row r="67" spans="2:15">
      <c r="B67" s="76" t="s">
        <v>990</v>
      </c>
      <c r="C67" s="70" t="s">
        <v>991</v>
      </c>
      <c r="D67" s="83" t="s">
        <v>113</v>
      </c>
      <c r="E67" s="83" t="s">
        <v>280</v>
      </c>
      <c r="F67" s="70" t="s">
        <v>992</v>
      </c>
      <c r="G67" s="83" t="s">
        <v>954</v>
      </c>
      <c r="H67" s="83" t="s">
        <v>157</v>
      </c>
      <c r="I67" s="77">
        <v>249.14181300000001</v>
      </c>
      <c r="J67" s="79">
        <v>3920</v>
      </c>
      <c r="K67" s="70"/>
      <c r="L67" s="77">
        <v>9.7663590870000014</v>
      </c>
      <c r="M67" s="78">
        <v>2.3046410539353773E-6</v>
      </c>
      <c r="N67" s="78">
        <f t="shared" si="1"/>
        <v>1.2615221437988178E-2</v>
      </c>
      <c r="O67" s="78">
        <f>L67/'סכום נכסי הקרן'!$C$42</f>
        <v>1.2079384427308468E-4</v>
      </c>
    </row>
    <row r="68" spans="2:15">
      <c r="B68" s="76" t="s">
        <v>993</v>
      </c>
      <c r="C68" s="70" t="s">
        <v>994</v>
      </c>
      <c r="D68" s="83" t="s">
        <v>113</v>
      </c>
      <c r="E68" s="83" t="s">
        <v>280</v>
      </c>
      <c r="F68" s="70" t="s">
        <v>995</v>
      </c>
      <c r="G68" s="83" t="s">
        <v>790</v>
      </c>
      <c r="H68" s="83" t="s">
        <v>157</v>
      </c>
      <c r="I68" s="77">
        <v>15.630157000000002</v>
      </c>
      <c r="J68" s="79">
        <v>5889</v>
      </c>
      <c r="K68" s="70"/>
      <c r="L68" s="77">
        <v>0.92045996100000005</v>
      </c>
      <c r="M68" s="78">
        <v>1.7664024586086226E-6</v>
      </c>
      <c r="N68" s="78">
        <f t="shared" si="1"/>
        <v>1.1889595835436193E-3</v>
      </c>
      <c r="O68" s="78">
        <f>L68/'סכום נכסי הקרן'!$C$42</f>
        <v>1.1384580087439455E-5</v>
      </c>
    </row>
    <row r="69" spans="2:15">
      <c r="B69" s="76" t="s">
        <v>996</v>
      </c>
      <c r="C69" s="70" t="s">
        <v>997</v>
      </c>
      <c r="D69" s="83" t="s">
        <v>113</v>
      </c>
      <c r="E69" s="83" t="s">
        <v>280</v>
      </c>
      <c r="F69" s="70" t="s">
        <v>998</v>
      </c>
      <c r="G69" s="83" t="s">
        <v>405</v>
      </c>
      <c r="H69" s="83" t="s">
        <v>157</v>
      </c>
      <c r="I69" s="77">
        <v>57.686647999999998</v>
      </c>
      <c r="J69" s="79">
        <v>3478</v>
      </c>
      <c r="K69" s="70"/>
      <c r="L69" s="77">
        <v>2.0063416270000003</v>
      </c>
      <c r="M69" s="78">
        <v>9.1172573822663952E-7</v>
      </c>
      <c r="N69" s="78">
        <f t="shared" si="1"/>
        <v>2.5915946443694879E-3</v>
      </c>
      <c r="O69" s="78">
        <f>L69/'סכום נכסי הקרן'!$C$42</f>
        <v>2.4815155360511201E-5</v>
      </c>
    </row>
    <row r="70" spans="2:15">
      <c r="B70" s="76" t="s">
        <v>999</v>
      </c>
      <c r="C70" s="70" t="s">
        <v>1000</v>
      </c>
      <c r="D70" s="83" t="s">
        <v>113</v>
      </c>
      <c r="E70" s="83" t="s">
        <v>280</v>
      </c>
      <c r="F70" s="70" t="s">
        <v>1001</v>
      </c>
      <c r="G70" s="83" t="s">
        <v>896</v>
      </c>
      <c r="H70" s="83" t="s">
        <v>157</v>
      </c>
      <c r="I70" s="77">
        <v>14.450538</v>
      </c>
      <c r="J70" s="79">
        <v>16660</v>
      </c>
      <c r="K70" s="70"/>
      <c r="L70" s="77">
        <v>2.4074596750000001</v>
      </c>
      <c r="M70" s="78">
        <v>5.159871321528106E-7</v>
      </c>
      <c r="N70" s="78">
        <f t="shared" si="1"/>
        <v>3.1097194596887597E-3</v>
      </c>
      <c r="O70" s="78">
        <f>L70/'סכום נכסי הקרן'!$C$42</f>
        <v>2.977632774764275E-5</v>
      </c>
    </row>
    <row r="71" spans="2:15">
      <c r="B71" s="76" t="s">
        <v>1002</v>
      </c>
      <c r="C71" s="70" t="s">
        <v>1003</v>
      </c>
      <c r="D71" s="83" t="s">
        <v>113</v>
      </c>
      <c r="E71" s="83" t="s">
        <v>280</v>
      </c>
      <c r="F71" s="70" t="s">
        <v>1004</v>
      </c>
      <c r="G71" s="83" t="s">
        <v>139</v>
      </c>
      <c r="H71" s="83" t="s">
        <v>157</v>
      </c>
      <c r="I71" s="77">
        <v>167.87156100000001</v>
      </c>
      <c r="J71" s="79">
        <v>1128</v>
      </c>
      <c r="K71" s="70"/>
      <c r="L71" s="77">
        <v>1.8935912109999999</v>
      </c>
      <c r="M71" s="78">
        <v>1.7413757603640278E-6</v>
      </c>
      <c r="N71" s="78">
        <f t="shared" si="1"/>
        <v>2.4459547541714499E-3</v>
      </c>
      <c r="O71" s="78">
        <f>L71/'סכום נכסי הקרן'!$C$42</f>
        <v>2.3420617634557776E-5</v>
      </c>
    </row>
    <row r="72" spans="2:15">
      <c r="B72" s="76" t="s">
        <v>1005</v>
      </c>
      <c r="C72" s="70" t="s">
        <v>1006</v>
      </c>
      <c r="D72" s="83" t="s">
        <v>113</v>
      </c>
      <c r="E72" s="83" t="s">
        <v>280</v>
      </c>
      <c r="F72" s="70" t="s">
        <v>615</v>
      </c>
      <c r="G72" s="83" t="s">
        <v>184</v>
      </c>
      <c r="H72" s="83" t="s">
        <v>157</v>
      </c>
      <c r="I72" s="77">
        <v>224.179655</v>
      </c>
      <c r="J72" s="79">
        <v>1360</v>
      </c>
      <c r="K72" s="70"/>
      <c r="L72" s="77">
        <v>3.0488433079999999</v>
      </c>
      <c r="M72" s="78">
        <v>1.4861144439946289E-6</v>
      </c>
      <c r="N72" s="78">
        <f t="shared" si="1"/>
        <v>3.9381957101439092E-3</v>
      </c>
      <c r="O72" s="78">
        <f>L72/'סכום נכסי הקרן'!$C$42</f>
        <v>3.7709191365880425E-5</v>
      </c>
    </row>
    <row r="73" spans="2:15">
      <c r="B73" s="76" t="s">
        <v>1007</v>
      </c>
      <c r="C73" s="70" t="s">
        <v>1008</v>
      </c>
      <c r="D73" s="83" t="s">
        <v>113</v>
      </c>
      <c r="E73" s="83" t="s">
        <v>280</v>
      </c>
      <c r="F73" s="70" t="s">
        <v>1009</v>
      </c>
      <c r="G73" s="83" t="s">
        <v>144</v>
      </c>
      <c r="H73" s="83" t="s">
        <v>157</v>
      </c>
      <c r="I73" s="77">
        <v>22.711804000000001</v>
      </c>
      <c r="J73" s="79">
        <v>5167</v>
      </c>
      <c r="K73" s="70"/>
      <c r="L73" s="77">
        <v>1.173518893</v>
      </c>
      <c r="M73" s="78">
        <v>2.0848238349046144E-6</v>
      </c>
      <c r="N73" s="78">
        <f t="shared" si="1"/>
        <v>1.5158362051794331E-3</v>
      </c>
      <c r="O73" s="78">
        <f>L73/'סכום נכסי הקרן'!$C$42</f>
        <v>1.4514504038793049E-5</v>
      </c>
    </row>
    <row r="74" spans="2:15">
      <c r="B74" s="76" t="s">
        <v>1010</v>
      </c>
      <c r="C74" s="70" t="s">
        <v>1011</v>
      </c>
      <c r="D74" s="83" t="s">
        <v>113</v>
      </c>
      <c r="E74" s="83" t="s">
        <v>280</v>
      </c>
      <c r="F74" s="70" t="s">
        <v>1012</v>
      </c>
      <c r="G74" s="83" t="s">
        <v>635</v>
      </c>
      <c r="H74" s="83" t="s">
        <v>157</v>
      </c>
      <c r="I74" s="77">
        <v>9.4711870000000005</v>
      </c>
      <c r="J74" s="79">
        <v>23610</v>
      </c>
      <c r="K74" s="70"/>
      <c r="L74" s="77">
        <v>2.2361472509999998</v>
      </c>
      <c r="M74" s="78">
        <v>1.2783730173191762E-6</v>
      </c>
      <c r="N74" s="78">
        <f t="shared" si="1"/>
        <v>2.8884349313822773E-3</v>
      </c>
      <c r="O74" s="78">
        <f>L74/'סכום נכסי הקרן'!$C$42</f>
        <v>2.7657474029244683E-5</v>
      </c>
    </row>
    <row r="75" spans="2:15">
      <c r="B75" s="76" t="s">
        <v>1013</v>
      </c>
      <c r="C75" s="70" t="s">
        <v>1014</v>
      </c>
      <c r="D75" s="83" t="s">
        <v>113</v>
      </c>
      <c r="E75" s="83" t="s">
        <v>280</v>
      </c>
      <c r="F75" s="70" t="s">
        <v>1015</v>
      </c>
      <c r="G75" s="83" t="s">
        <v>180</v>
      </c>
      <c r="H75" s="83" t="s">
        <v>157</v>
      </c>
      <c r="I75" s="77">
        <v>3.295331</v>
      </c>
      <c r="J75" s="79">
        <v>12690</v>
      </c>
      <c r="K75" s="70"/>
      <c r="L75" s="77">
        <v>0.41817744399999995</v>
      </c>
      <c r="M75" s="78">
        <v>2.4299501722215501E-7</v>
      </c>
      <c r="N75" s="78">
        <f t="shared" si="1"/>
        <v>5.4016046404171091E-4</v>
      </c>
      <c r="O75" s="78">
        <f>L75/'סכום נכסי הקרן'!$C$42</f>
        <v>5.1721691368373675E-6</v>
      </c>
    </row>
    <row r="76" spans="2:15">
      <c r="B76" s="76" t="s">
        <v>1016</v>
      </c>
      <c r="C76" s="70" t="s">
        <v>1017</v>
      </c>
      <c r="D76" s="83" t="s">
        <v>113</v>
      </c>
      <c r="E76" s="83" t="s">
        <v>280</v>
      </c>
      <c r="F76" s="70" t="s">
        <v>564</v>
      </c>
      <c r="G76" s="83" t="s">
        <v>409</v>
      </c>
      <c r="H76" s="83" t="s">
        <v>157</v>
      </c>
      <c r="I76" s="77">
        <v>24.432167</v>
      </c>
      <c r="J76" s="79">
        <v>27500</v>
      </c>
      <c r="K76" s="70"/>
      <c r="L76" s="77">
        <v>6.7188459220000007</v>
      </c>
      <c r="M76" s="78">
        <v>2.414470019942564E-6</v>
      </c>
      <c r="N76" s="78">
        <f t="shared" si="1"/>
        <v>8.678743875655516E-3</v>
      </c>
      <c r="O76" s="78">
        <f>L76/'סכום נכסי הקרן'!$C$42</f>
        <v>8.310110459457019E-5</v>
      </c>
    </row>
    <row r="77" spans="2:15">
      <c r="B77" s="76" t="s">
        <v>1018</v>
      </c>
      <c r="C77" s="70" t="s">
        <v>1019</v>
      </c>
      <c r="D77" s="83" t="s">
        <v>113</v>
      </c>
      <c r="E77" s="83" t="s">
        <v>280</v>
      </c>
      <c r="F77" s="70" t="s">
        <v>1020</v>
      </c>
      <c r="G77" s="83" t="s">
        <v>465</v>
      </c>
      <c r="H77" s="83" t="s">
        <v>157</v>
      </c>
      <c r="I77" s="77">
        <v>13.752008999999997</v>
      </c>
      <c r="J77" s="79">
        <v>11980</v>
      </c>
      <c r="K77" s="70"/>
      <c r="L77" s="77">
        <v>1.6474907160000001</v>
      </c>
      <c r="M77" s="78">
        <v>1.4403093646754722E-6</v>
      </c>
      <c r="N77" s="78">
        <f t="shared" si="1"/>
        <v>2.1280663565846716E-3</v>
      </c>
      <c r="O77" s="78">
        <f>L77/'סכום נכסי הקרן'!$C$42</f>
        <v>2.0376758136484516E-5</v>
      </c>
    </row>
    <row r="78" spans="2:15">
      <c r="B78" s="76" t="s">
        <v>1021</v>
      </c>
      <c r="C78" s="70" t="s">
        <v>1022</v>
      </c>
      <c r="D78" s="83" t="s">
        <v>113</v>
      </c>
      <c r="E78" s="83" t="s">
        <v>280</v>
      </c>
      <c r="F78" s="70" t="s">
        <v>782</v>
      </c>
      <c r="G78" s="83" t="s">
        <v>184</v>
      </c>
      <c r="H78" s="83" t="s">
        <v>157</v>
      </c>
      <c r="I78" s="77">
        <v>194.84557699999996</v>
      </c>
      <c r="J78" s="79">
        <v>1536</v>
      </c>
      <c r="K78" s="70"/>
      <c r="L78" s="77">
        <v>2.9928280610000004</v>
      </c>
      <c r="M78" s="78">
        <v>1.0611218421698105E-6</v>
      </c>
      <c r="N78" s="78">
        <f t="shared" si="1"/>
        <v>3.8658407272363885E-3</v>
      </c>
      <c r="O78" s="78">
        <f>L78/'סכום נכסי הקרן'!$C$42</f>
        <v>3.7016374630108042E-5</v>
      </c>
    </row>
    <row r="79" spans="2:15">
      <c r="B79" s="76" t="s">
        <v>1023</v>
      </c>
      <c r="C79" s="70" t="s">
        <v>1024</v>
      </c>
      <c r="D79" s="83" t="s">
        <v>113</v>
      </c>
      <c r="E79" s="83" t="s">
        <v>280</v>
      </c>
      <c r="F79" s="70" t="s">
        <v>1025</v>
      </c>
      <c r="G79" s="83" t="s">
        <v>1026</v>
      </c>
      <c r="H79" s="83" t="s">
        <v>157</v>
      </c>
      <c r="I79" s="77">
        <v>17.057774999999999</v>
      </c>
      <c r="J79" s="79">
        <v>2647</v>
      </c>
      <c r="K79" s="70"/>
      <c r="L79" s="77">
        <v>0.45151930000000001</v>
      </c>
      <c r="M79" s="78">
        <v>3.8315058155738815E-7</v>
      </c>
      <c r="N79" s="78">
        <f t="shared" si="1"/>
        <v>5.8322819202986107E-4</v>
      </c>
      <c r="O79" s="78">
        <f>L79/'סכום נכסי הקרן'!$C$42</f>
        <v>5.5845532121680217E-6</v>
      </c>
    </row>
    <row r="80" spans="2:15">
      <c r="B80" s="76" t="s">
        <v>1027</v>
      </c>
      <c r="C80" s="70" t="s">
        <v>1028</v>
      </c>
      <c r="D80" s="83" t="s">
        <v>113</v>
      </c>
      <c r="E80" s="83" t="s">
        <v>280</v>
      </c>
      <c r="F80" s="70" t="s">
        <v>1029</v>
      </c>
      <c r="G80" s="83" t="s">
        <v>896</v>
      </c>
      <c r="H80" s="83" t="s">
        <v>157</v>
      </c>
      <c r="I80" s="77">
        <v>17.77684</v>
      </c>
      <c r="J80" s="79">
        <v>4281</v>
      </c>
      <c r="K80" s="70"/>
      <c r="L80" s="77">
        <v>0.76102650800000005</v>
      </c>
      <c r="M80" s="78">
        <v>4.5908719463176403E-7</v>
      </c>
      <c r="N80" s="78">
        <f t="shared" si="1"/>
        <v>9.830191408155501E-4</v>
      </c>
      <c r="O80" s="78">
        <f>L80/'סכום נכסי הקרן'!$C$42</f>
        <v>9.4126497578207905E-6</v>
      </c>
    </row>
    <row r="81" spans="2:15">
      <c r="B81" s="76" t="s">
        <v>1030</v>
      </c>
      <c r="C81" s="70" t="s">
        <v>1031</v>
      </c>
      <c r="D81" s="83" t="s">
        <v>113</v>
      </c>
      <c r="E81" s="83" t="s">
        <v>280</v>
      </c>
      <c r="F81" s="70" t="s">
        <v>1032</v>
      </c>
      <c r="G81" s="83" t="s">
        <v>665</v>
      </c>
      <c r="H81" s="83" t="s">
        <v>157</v>
      </c>
      <c r="I81" s="77">
        <v>22.258395</v>
      </c>
      <c r="J81" s="79">
        <v>9394</v>
      </c>
      <c r="K81" s="70"/>
      <c r="L81" s="77">
        <v>2.090953592</v>
      </c>
      <c r="M81" s="78">
        <v>1.7696946794180798E-6</v>
      </c>
      <c r="N81" s="78">
        <f t="shared" si="1"/>
        <v>2.7008880530256488E-3</v>
      </c>
      <c r="O81" s="78">
        <f>L81/'סכום נכסי הקרן'!$C$42</f>
        <v>2.5861666596971295E-5</v>
      </c>
    </row>
    <row r="82" spans="2:15">
      <c r="B82" s="76" t="s">
        <v>1033</v>
      </c>
      <c r="C82" s="70" t="s">
        <v>1034</v>
      </c>
      <c r="D82" s="83" t="s">
        <v>113</v>
      </c>
      <c r="E82" s="83" t="s">
        <v>280</v>
      </c>
      <c r="F82" s="70" t="s">
        <v>454</v>
      </c>
      <c r="G82" s="83" t="s">
        <v>345</v>
      </c>
      <c r="H82" s="83" t="s">
        <v>157</v>
      </c>
      <c r="I82" s="77">
        <v>305.49315000000001</v>
      </c>
      <c r="J82" s="79">
        <v>1264</v>
      </c>
      <c r="K82" s="70"/>
      <c r="L82" s="77">
        <v>3.8614334100000001</v>
      </c>
      <c r="M82" s="78">
        <v>1.7115564964216547E-6</v>
      </c>
      <c r="N82" s="78">
        <f t="shared" si="1"/>
        <v>4.9878196266649102E-3</v>
      </c>
      <c r="O82" s="78">
        <f>L82/'סכום נכסי הקרן'!$C$42</f>
        <v>4.7759598212941098E-5</v>
      </c>
    </row>
    <row r="83" spans="2:15">
      <c r="B83" s="76" t="s">
        <v>1035</v>
      </c>
      <c r="C83" s="70" t="s">
        <v>1036</v>
      </c>
      <c r="D83" s="83" t="s">
        <v>113</v>
      </c>
      <c r="E83" s="83" t="s">
        <v>280</v>
      </c>
      <c r="F83" s="70" t="s">
        <v>1037</v>
      </c>
      <c r="G83" s="83" t="s">
        <v>144</v>
      </c>
      <c r="H83" s="83" t="s">
        <v>157</v>
      </c>
      <c r="I83" s="77">
        <v>14.734083</v>
      </c>
      <c r="J83" s="79">
        <v>19180</v>
      </c>
      <c r="K83" s="70"/>
      <c r="L83" s="77">
        <v>2.8259970679999995</v>
      </c>
      <c r="M83" s="78">
        <v>1.0695796323102986E-6</v>
      </c>
      <c r="N83" s="78">
        <f t="shared" si="1"/>
        <v>3.650344870421548E-3</v>
      </c>
      <c r="O83" s="78">
        <f>L83/'סכום נכסי הקרן'!$C$42</f>
        <v>3.4952948863264111E-5</v>
      </c>
    </row>
    <row r="84" spans="2:15">
      <c r="B84" s="76" t="s">
        <v>1038</v>
      </c>
      <c r="C84" s="70" t="s">
        <v>1039</v>
      </c>
      <c r="D84" s="83" t="s">
        <v>113</v>
      </c>
      <c r="E84" s="83" t="s">
        <v>280</v>
      </c>
      <c r="F84" s="70" t="s">
        <v>1040</v>
      </c>
      <c r="G84" s="83" t="s">
        <v>139</v>
      </c>
      <c r="H84" s="83" t="s">
        <v>157</v>
      </c>
      <c r="I84" s="77">
        <v>1600.9681740000001</v>
      </c>
      <c r="J84" s="79">
        <v>83.7</v>
      </c>
      <c r="K84" s="70"/>
      <c r="L84" s="77">
        <v>1.3400103619999999</v>
      </c>
      <c r="M84" s="78">
        <v>1.4245795301742795E-6</v>
      </c>
      <c r="N84" s="78">
        <f t="shared" si="1"/>
        <v>1.7308934983079119E-3</v>
      </c>
      <c r="O84" s="78">
        <f>L84/'סכום נכסי הקרן'!$C$42</f>
        <v>1.6573730450604288E-5</v>
      </c>
    </row>
    <row r="85" spans="2:15">
      <c r="B85" s="76" t="s">
        <v>1041</v>
      </c>
      <c r="C85" s="70" t="s">
        <v>1042</v>
      </c>
      <c r="D85" s="83" t="s">
        <v>113</v>
      </c>
      <c r="E85" s="83" t="s">
        <v>280</v>
      </c>
      <c r="F85" s="70" t="s">
        <v>1043</v>
      </c>
      <c r="G85" s="83" t="s">
        <v>144</v>
      </c>
      <c r="H85" s="83" t="s">
        <v>157</v>
      </c>
      <c r="I85" s="77">
        <v>7.2564200000000003</v>
      </c>
      <c r="J85" s="79">
        <v>16990</v>
      </c>
      <c r="K85" s="70"/>
      <c r="L85" s="77">
        <v>1.2328657510000001</v>
      </c>
      <c r="M85" s="78">
        <v>8.5120973644993824E-7</v>
      </c>
      <c r="N85" s="78">
        <f t="shared" si="1"/>
        <v>1.5924946352708887E-3</v>
      </c>
      <c r="O85" s="78">
        <f>L85/'סכום נכסי הקרן'!$C$42</f>
        <v>1.5248527338519062E-5</v>
      </c>
    </row>
    <row r="86" spans="2:15">
      <c r="B86" s="73"/>
      <c r="C86" s="70"/>
      <c r="D86" s="70"/>
      <c r="E86" s="70"/>
      <c r="F86" s="70"/>
      <c r="G86" s="70"/>
      <c r="H86" s="70"/>
      <c r="I86" s="77"/>
      <c r="J86" s="79"/>
      <c r="K86" s="70"/>
      <c r="L86" s="70"/>
      <c r="M86" s="70"/>
      <c r="N86" s="78"/>
      <c r="O86" s="70"/>
    </row>
    <row r="87" spans="2:15">
      <c r="B87" s="89" t="s">
        <v>27</v>
      </c>
      <c r="C87" s="72"/>
      <c r="D87" s="72"/>
      <c r="E87" s="72"/>
      <c r="F87" s="72"/>
      <c r="G87" s="72"/>
      <c r="H87" s="72"/>
      <c r="I87" s="80"/>
      <c r="J87" s="82"/>
      <c r="K87" s="72"/>
      <c r="L87" s="80">
        <f>SUM(L88:L129)</f>
        <v>29.754563832999999</v>
      </c>
      <c r="M87" s="72"/>
      <c r="N87" s="81">
        <f t="shared" ref="N87:N129" si="2">L87/$L$11</f>
        <v>3.8434017037494703E-2</v>
      </c>
      <c r="O87" s="81">
        <f>L87/'סכום נכסי הקרן'!$C$42</f>
        <v>3.6801515467940922E-4</v>
      </c>
    </row>
    <row r="88" spans="2:15">
      <c r="B88" s="76" t="s">
        <v>1044</v>
      </c>
      <c r="C88" s="70" t="s">
        <v>1045</v>
      </c>
      <c r="D88" s="83" t="s">
        <v>113</v>
      </c>
      <c r="E88" s="83" t="s">
        <v>280</v>
      </c>
      <c r="F88" s="70" t="s">
        <v>1046</v>
      </c>
      <c r="G88" s="83" t="s">
        <v>1047</v>
      </c>
      <c r="H88" s="83" t="s">
        <v>157</v>
      </c>
      <c r="I88" s="77">
        <v>621.71058700000003</v>
      </c>
      <c r="J88" s="79">
        <v>357.5</v>
      </c>
      <c r="K88" s="70"/>
      <c r="L88" s="77">
        <v>2.2226153490000002</v>
      </c>
      <c r="M88" s="78">
        <v>2.094337547032565E-6</v>
      </c>
      <c r="N88" s="78">
        <f t="shared" si="2"/>
        <v>2.8709557522238558E-3</v>
      </c>
      <c r="O88" s="78">
        <f>L88/'סכום נכסי הקרן'!$C$42</f>
        <v>2.7490106594938242E-5</v>
      </c>
    </row>
    <row r="89" spans="2:15">
      <c r="B89" s="76" t="s">
        <v>1048</v>
      </c>
      <c r="C89" s="70" t="s">
        <v>1049</v>
      </c>
      <c r="D89" s="83" t="s">
        <v>113</v>
      </c>
      <c r="E89" s="83" t="s">
        <v>280</v>
      </c>
      <c r="F89" s="70" t="s">
        <v>1050</v>
      </c>
      <c r="G89" s="83" t="s">
        <v>954</v>
      </c>
      <c r="H89" s="83" t="s">
        <v>157</v>
      </c>
      <c r="I89" s="77">
        <v>8.583183</v>
      </c>
      <c r="J89" s="79">
        <v>2871</v>
      </c>
      <c r="K89" s="70"/>
      <c r="L89" s="77">
        <v>0.24642318099999999</v>
      </c>
      <c r="M89" s="78">
        <v>1.8584863110883422E-6</v>
      </c>
      <c r="N89" s="78">
        <f t="shared" si="2"/>
        <v>3.1830521160197852E-4</v>
      </c>
      <c r="O89" s="78">
        <f>L89/'סכום נכסי הקרן'!$C$42</f>
        <v>3.0478505946616494E-6</v>
      </c>
    </row>
    <row r="90" spans="2:15">
      <c r="B90" s="76" t="s">
        <v>1051</v>
      </c>
      <c r="C90" s="70" t="s">
        <v>1052</v>
      </c>
      <c r="D90" s="83" t="s">
        <v>113</v>
      </c>
      <c r="E90" s="83" t="s">
        <v>280</v>
      </c>
      <c r="F90" s="70" t="s">
        <v>1053</v>
      </c>
      <c r="G90" s="83" t="s">
        <v>149</v>
      </c>
      <c r="H90" s="83" t="s">
        <v>157</v>
      </c>
      <c r="I90" s="77">
        <v>112.191389</v>
      </c>
      <c r="J90" s="79">
        <v>232</v>
      </c>
      <c r="K90" s="70"/>
      <c r="L90" s="77">
        <v>0.260284022</v>
      </c>
      <c r="M90" s="78">
        <v>2.0459408609141067E-6</v>
      </c>
      <c r="N90" s="78">
        <f t="shared" si="2"/>
        <v>3.3620928178556398E-4</v>
      </c>
      <c r="O90" s="78">
        <f>L90/'סכום נכסי הקרן'!$C$42</f>
        <v>3.2192864649110503E-6</v>
      </c>
    </row>
    <row r="91" spans="2:15">
      <c r="B91" s="76" t="s">
        <v>1054</v>
      </c>
      <c r="C91" s="70" t="s">
        <v>1055</v>
      </c>
      <c r="D91" s="83" t="s">
        <v>113</v>
      </c>
      <c r="E91" s="83" t="s">
        <v>280</v>
      </c>
      <c r="F91" s="70" t="s">
        <v>1056</v>
      </c>
      <c r="G91" s="83" t="s">
        <v>149</v>
      </c>
      <c r="H91" s="83" t="s">
        <v>157</v>
      </c>
      <c r="I91" s="77">
        <v>35.711951999999997</v>
      </c>
      <c r="J91" s="79">
        <v>1779</v>
      </c>
      <c r="K91" s="70"/>
      <c r="L91" s="77">
        <v>0.63531563200000007</v>
      </c>
      <c r="M91" s="78">
        <v>2.6902169442312575E-6</v>
      </c>
      <c r="N91" s="78">
        <f t="shared" si="2"/>
        <v>8.2063820399187499E-4</v>
      </c>
      <c r="O91" s="78">
        <f>L91/'סכום נכסי הקרן'!$C$42</f>
        <v>7.8578123978889877E-6</v>
      </c>
    </row>
    <row r="92" spans="2:15">
      <c r="B92" s="76" t="s">
        <v>1057</v>
      </c>
      <c r="C92" s="70" t="s">
        <v>1058</v>
      </c>
      <c r="D92" s="83" t="s">
        <v>113</v>
      </c>
      <c r="E92" s="83" t="s">
        <v>280</v>
      </c>
      <c r="F92" s="70" t="s">
        <v>1059</v>
      </c>
      <c r="G92" s="83" t="s">
        <v>144</v>
      </c>
      <c r="H92" s="83" t="s">
        <v>157</v>
      </c>
      <c r="I92" s="77">
        <v>9.8114159999999995</v>
      </c>
      <c r="J92" s="79">
        <v>9430</v>
      </c>
      <c r="K92" s="70"/>
      <c r="L92" s="77">
        <v>0.92521650799999999</v>
      </c>
      <c r="M92" s="78">
        <v>8.6975842289547505E-7</v>
      </c>
      <c r="N92" s="78">
        <f t="shared" si="2"/>
        <v>1.1951036228064261E-3</v>
      </c>
      <c r="O92" s="78">
        <f>L92/'סכום נכסי הקרן'!$C$42</f>
        <v>1.14434107727007E-5</v>
      </c>
    </row>
    <row r="93" spans="2:15">
      <c r="B93" s="76" t="s">
        <v>1060</v>
      </c>
      <c r="C93" s="70" t="s">
        <v>1061</v>
      </c>
      <c r="D93" s="83" t="s">
        <v>113</v>
      </c>
      <c r="E93" s="83" t="s">
        <v>280</v>
      </c>
      <c r="F93" s="70" t="s">
        <v>1062</v>
      </c>
      <c r="G93" s="83" t="s">
        <v>1063</v>
      </c>
      <c r="H93" s="83" t="s">
        <v>157</v>
      </c>
      <c r="I93" s="77">
        <v>526.77888800000005</v>
      </c>
      <c r="J93" s="79">
        <v>222.7</v>
      </c>
      <c r="K93" s="70"/>
      <c r="L93" s="77">
        <v>1.173136583</v>
      </c>
      <c r="M93" s="78">
        <v>1.2450369633507526E-6</v>
      </c>
      <c r="N93" s="78">
        <f t="shared" si="2"/>
        <v>1.515342374749383E-3</v>
      </c>
      <c r="O93" s="78">
        <f>L93/'סכום נכסי הקרן'!$C$42</f>
        <v>1.450977549111293E-5</v>
      </c>
    </row>
    <row r="94" spans="2:15">
      <c r="B94" s="76" t="s">
        <v>1064</v>
      </c>
      <c r="C94" s="70" t="s">
        <v>1065</v>
      </c>
      <c r="D94" s="83" t="s">
        <v>113</v>
      </c>
      <c r="E94" s="83" t="s">
        <v>280</v>
      </c>
      <c r="F94" s="70" t="s">
        <v>1066</v>
      </c>
      <c r="G94" s="83" t="s">
        <v>1067</v>
      </c>
      <c r="H94" s="83" t="s">
        <v>157</v>
      </c>
      <c r="I94" s="77">
        <v>56.211481999999997</v>
      </c>
      <c r="J94" s="79">
        <v>416</v>
      </c>
      <c r="K94" s="70"/>
      <c r="L94" s="77">
        <v>0.233839765</v>
      </c>
      <c r="M94" s="78">
        <v>2.9120086807793219E-6</v>
      </c>
      <c r="N94" s="78">
        <f t="shared" si="2"/>
        <v>3.0205119330588439E-4</v>
      </c>
      <c r="O94" s="78">
        <f>L94/'סכום נכסי הקרן'!$C$42</f>
        <v>2.8922143765800601E-6</v>
      </c>
    </row>
    <row r="95" spans="2:15">
      <c r="B95" s="76" t="s">
        <v>1068</v>
      </c>
      <c r="C95" s="70" t="s">
        <v>1069</v>
      </c>
      <c r="D95" s="83" t="s">
        <v>113</v>
      </c>
      <c r="E95" s="83" t="s">
        <v>280</v>
      </c>
      <c r="F95" s="70" t="s">
        <v>1070</v>
      </c>
      <c r="G95" s="83" t="s">
        <v>183</v>
      </c>
      <c r="H95" s="83" t="s">
        <v>157</v>
      </c>
      <c r="I95" s="77">
        <v>6.5540099999999999</v>
      </c>
      <c r="J95" s="79">
        <v>17450</v>
      </c>
      <c r="K95" s="70"/>
      <c r="L95" s="77">
        <v>1.143674745</v>
      </c>
      <c r="M95" s="78">
        <v>7.7329938403978107E-7</v>
      </c>
      <c r="N95" s="78">
        <f t="shared" si="2"/>
        <v>1.4772864721321157E-3</v>
      </c>
      <c r="O95" s="78">
        <f>L95/'סכום נכסי הקרן'!$C$42</f>
        <v>1.4145380874893261E-5</v>
      </c>
    </row>
    <row r="96" spans="2:15">
      <c r="B96" s="76" t="s">
        <v>1071</v>
      </c>
      <c r="C96" s="70" t="s">
        <v>1072</v>
      </c>
      <c r="D96" s="83" t="s">
        <v>113</v>
      </c>
      <c r="E96" s="83" t="s">
        <v>280</v>
      </c>
      <c r="F96" s="70" t="s">
        <v>1073</v>
      </c>
      <c r="G96" s="83" t="s">
        <v>182</v>
      </c>
      <c r="H96" s="83" t="s">
        <v>157</v>
      </c>
      <c r="I96" s="77">
        <v>33.737979000000003</v>
      </c>
      <c r="J96" s="79">
        <v>614</v>
      </c>
      <c r="K96" s="70"/>
      <c r="L96" s="77">
        <v>0.20715119200000001</v>
      </c>
      <c r="M96" s="78">
        <v>7.8341142800100145E-7</v>
      </c>
      <c r="N96" s="78">
        <f t="shared" si="2"/>
        <v>2.6757752146362431E-4</v>
      </c>
      <c r="O96" s="78">
        <f>L96/'סכום נכסי הקרן'!$C$42</f>
        <v>2.5621205000274284E-6</v>
      </c>
    </row>
    <row r="97" spans="2:15">
      <c r="B97" s="76" t="s">
        <v>1074</v>
      </c>
      <c r="C97" s="70" t="s">
        <v>1075</v>
      </c>
      <c r="D97" s="83" t="s">
        <v>113</v>
      </c>
      <c r="E97" s="83" t="s">
        <v>280</v>
      </c>
      <c r="F97" s="70" t="s">
        <v>1076</v>
      </c>
      <c r="G97" s="83" t="s">
        <v>635</v>
      </c>
      <c r="H97" s="83" t="s">
        <v>157</v>
      </c>
      <c r="I97" s="77">
        <v>35.367468000000002</v>
      </c>
      <c r="J97" s="79">
        <v>1331</v>
      </c>
      <c r="K97" s="70"/>
      <c r="L97" s="77">
        <v>0.47074100500000005</v>
      </c>
      <c r="M97" s="78">
        <v>1.2634047842209486E-6</v>
      </c>
      <c r="N97" s="78">
        <f t="shared" si="2"/>
        <v>6.0805689869839418E-4</v>
      </c>
      <c r="O97" s="78">
        <f>L97/'סכום נכסי הקרן'!$C$42</f>
        <v>5.8222941778390265E-6</v>
      </c>
    </row>
    <row r="98" spans="2:15">
      <c r="B98" s="76" t="s">
        <v>1077</v>
      </c>
      <c r="C98" s="70" t="s">
        <v>1078</v>
      </c>
      <c r="D98" s="83" t="s">
        <v>113</v>
      </c>
      <c r="E98" s="83" t="s">
        <v>280</v>
      </c>
      <c r="F98" s="70" t="s">
        <v>1079</v>
      </c>
      <c r="G98" s="83" t="s">
        <v>149</v>
      </c>
      <c r="H98" s="83" t="s">
        <v>157</v>
      </c>
      <c r="I98" s="77">
        <v>18.880586000000001</v>
      </c>
      <c r="J98" s="79">
        <v>1535</v>
      </c>
      <c r="K98" s="70"/>
      <c r="L98" s="77">
        <v>0.28981700100000002</v>
      </c>
      <c r="M98" s="78">
        <v>2.8408207249495313E-6</v>
      </c>
      <c r="N98" s="78">
        <f t="shared" si="2"/>
        <v>3.7435707734474798E-4</v>
      </c>
      <c r="O98" s="78">
        <f>L98/'סכום נכסי הקרן'!$C$42</f>
        <v>3.5845609786236217E-6</v>
      </c>
    </row>
    <row r="99" spans="2:15">
      <c r="B99" s="76" t="s">
        <v>1080</v>
      </c>
      <c r="C99" s="70" t="s">
        <v>1081</v>
      </c>
      <c r="D99" s="83" t="s">
        <v>113</v>
      </c>
      <c r="E99" s="83" t="s">
        <v>280</v>
      </c>
      <c r="F99" s="70" t="s">
        <v>1082</v>
      </c>
      <c r="G99" s="83" t="s">
        <v>1067</v>
      </c>
      <c r="H99" s="83" t="s">
        <v>157</v>
      </c>
      <c r="I99" s="77">
        <v>8.2312729999999998</v>
      </c>
      <c r="J99" s="79">
        <v>9180</v>
      </c>
      <c r="K99" s="70"/>
      <c r="L99" s="77">
        <v>0.75563082999999998</v>
      </c>
      <c r="M99" s="78">
        <v>1.6275707389452045E-6</v>
      </c>
      <c r="N99" s="78">
        <f t="shared" si="2"/>
        <v>9.7604953503188749E-4</v>
      </c>
      <c r="O99" s="78">
        <f>L99/'סכום נכסי הקרן'!$C$42</f>
        <v>9.3459140703170107E-6</v>
      </c>
    </row>
    <row r="100" spans="2:15">
      <c r="B100" s="76" t="s">
        <v>1083</v>
      </c>
      <c r="C100" s="70" t="s">
        <v>1084</v>
      </c>
      <c r="D100" s="83" t="s">
        <v>113</v>
      </c>
      <c r="E100" s="83" t="s">
        <v>280</v>
      </c>
      <c r="F100" s="70" t="s">
        <v>1085</v>
      </c>
      <c r="G100" s="83" t="s">
        <v>599</v>
      </c>
      <c r="H100" s="83" t="s">
        <v>157</v>
      </c>
      <c r="I100" s="77">
        <v>21.775942000000001</v>
      </c>
      <c r="J100" s="79">
        <v>8510</v>
      </c>
      <c r="K100" s="70"/>
      <c r="L100" s="77">
        <v>1.8531326979999998</v>
      </c>
      <c r="M100" s="78">
        <v>1.7222984139879857E-6</v>
      </c>
      <c r="N100" s="78">
        <f t="shared" si="2"/>
        <v>2.3936944291106902E-3</v>
      </c>
      <c r="O100" s="78">
        <f>L100/'סכום נכסי הקרן'!$C$42</f>
        <v>2.2920212184040616E-5</v>
      </c>
    </row>
    <row r="101" spans="2:15">
      <c r="B101" s="76" t="s">
        <v>1086</v>
      </c>
      <c r="C101" s="70" t="s">
        <v>1087</v>
      </c>
      <c r="D101" s="83" t="s">
        <v>113</v>
      </c>
      <c r="E101" s="83" t="s">
        <v>280</v>
      </c>
      <c r="F101" s="70" t="s">
        <v>1088</v>
      </c>
      <c r="G101" s="83" t="s">
        <v>790</v>
      </c>
      <c r="H101" s="83" t="s">
        <v>157</v>
      </c>
      <c r="I101" s="77">
        <v>3.1379830000000002</v>
      </c>
      <c r="J101" s="79">
        <v>0</v>
      </c>
      <c r="K101" s="70"/>
      <c r="L101" s="77">
        <v>3E-9</v>
      </c>
      <c r="M101" s="78">
        <v>1.9848956089797723E-6</v>
      </c>
      <c r="N101" s="78">
        <f t="shared" si="2"/>
        <v>3.875104732155598E-12</v>
      </c>
      <c r="O101" s="78">
        <f>L101/'סכום נכסי הקרן'!$C$42</f>
        <v>3.7105079752967508E-14</v>
      </c>
    </row>
    <row r="102" spans="2:15">
      <c r="B102" s="76" t="s">
        <v>1089</v>
      </c>
      <c r="C102" s="70" t="s">
        <v>1090</v>
      </c>
      <c r="D102" s="83" t="s">
        <v>113</v>
      </c>
      <c r="E102" s="83" t="s">
        <v>280</v>
      </c>
      <c r="F102" s="70" t="s">
        <v>1091</v>
      </c>
      <c r="G102" s="83" t="s">
        <v>180</v>
      </c>
      <c r="H102" s="83" t="s">
        <v>157</v>
      </c>
      <c r="I102" s="77">
        <v>21.747876000000002</v>
      </c>
      <c r="J102" s="79">
        <v>508.5</v>
      </c>
      <c r="K102" s="70"/>
      <c r="L102" s="77">
        <v>0.11058794899999999</v>
      </c>
      <c r="M102" s="78">
        <v>3.6050919810945433E-6</v>
      </c>
      <c r="N102" s="78">
        <f t="shared" si="2"/>
        <v>1.4284662816309399E-4</v>
      </c>
      <c r="O102" s="78">
        <f>L102/'סכום נכסי הקרן'!$C$42</f>
        <v>1.3677915557873678E-6</v>
      </c>
    </row>
    <row r="103" spans="2:15">
      <c r="B103" s="76" t="s">
        <v>1092</v>
      </c>
      <c r="C103" s="70" t="s">
        <v>1093</v>
      </c>
      <c r="D103" s="83" t="s">
        <v>113</v>
      </c>
      <c r="E103" s="83" t="s">
        <v>280</v>
      </c>
      <c r="F103" s="70" t="s">
        <v>1094</v>
      </c>
      <c r="G103" s="83" t="s">
        <v>183</v>
      </c>
      <c r="H103" s="83" t="s">
        <v>157</v>
      </c>
      <c r="I103" s="77">
        <v>49.693540000000006</v>
      </c>
      <c r="J103" s="79">
        <v>1214</v>
      </c>
      <c r="K103" s="70"/>
      <c r="L103" s="77">
        <v>0.60327957700000001</v>
      </c>
      <c r="M103" s="78">
        <v>3.0521640260685012E-6</v>
      </c>
      <c r="N103" s="78">
        <f t="shared" si="2"/>
        <v>7.7925718121517589E-4</v>
      </c>
      <c r="O103" s="78">
        <f>L103/'סכום נכסי הקרן'!$C$42</f>
        <v>7.4615789393071678E-6</v>
      </c>
    </row>
    <row r="104" spans="2:15">
      <c r="B104" s="76" t="s">
        <v>1095</v>
      </c>
      <c r="C104" s="70" t="s">
        <v>1096</v>
      </c>
      <c r="D104" s="83" t="s">
        <v>113</v>
      </c>
      <c r="E104" s="83" t="s">
        <v>280</v>
      </c>
      <c r="F104" s="70" t="s">
        <v>1097</v>
      </c>
      <c r="G104" s="83" t="s">
        <v>465</v>
      </c>
      <c r="H104" s="83" t="s">
        <v>157</v>
      </c>
      <c r="I104" s="77">
        <v>69.567211</v>
      </c>
      <c r="J104" s="79">
        <v>586.29999999999995</v>
      </c>
      <c r="K104" s="70"/>
      <c r="L104" s="77">
        <v>0.40787255900000002</v>
      </c>
      <c r="M104" s="78">
        <v>2.0322370946018147E-6</v>
      </c>
      <c r="N104" s="78">
        <f t="shared" si="2"/>
        <v>5.2684962783243786E-4</v>
      </c>
      <c r="O104" s="78">
        <f>L104/'סכום נכסי הקרן'!$C$42</f>
        <v>5.0447146102473154E-6</v>
      </c>
    </row>
    <row r="105" spans="2:15">
      <c r="B105" s="76" t="s">
        <v>1098</v>
      </c>
      <c r="C105" s="70" t="s">
        <v>1099</v>
      </c>
      <c r="D105" s="83" t="s">
        <v>113</v>
      </c>
      <c r="E105" s="83" t="s">
        <v>280</v>
      </c>
      <c r="F105" s="70" t="s">
        <v>1100</v>
      </c>
      <c r="G105" s="83" t="s">
        <v>465</v>
      </c>
      <c r="H105" s="83" t="s">
        <v>157</v>
      </c>
      <c r="I105" s="77">
        <v>43.432499</v>
      </c>
      <c r="J105" s="79">
        <v>1114</v>
      </c>
      <c r="K105" s="70"/>
      <c r="L105" s="77">
        <v>0.483838039</v>
      </c>
      <c r="M105" s="78">
        <v>2.8612098591500122E-6</v>
      </c>
      <c r="N105" s="78">
        <f t="shared" si="2"/>
        <v>6.2497435817526162E-4</v>
      </c>
      <c r="O105" s="78">
        <f>L105/'סכום נכסי הקרן'!$C$42</f>
        <v>5.9842830082048014E-6</v>
      </c>
    </row>
    <row r="106" spans="2:15">
      <c r="B106" s="76" t="s">
        <v>1101</v>
      </c>
      <c r="C106" s="70" t="s">
        <v>1102</v>
      </c>
      <c r="D106" s="83" t="s">
        <v>113</v>
      </c>
      <c r="E106" s="83" t="s">
        <v>280</v>
      </c>
      <c r="F106" s="70" t="s">
        <v>1103</v>
      </c>
      <c r="G106" s="83" t="s">
        <v>409</v>
      </c>
      <c r="H106" s="83" t="s">
        <v>157</v>
      </c>
      <c r="I106" s="77">
        <v>2339.1052989999998</v>
      </c>
      <c r="J106" s="79">
        <v>75</v>
      </c>
      <c r="K106" s="70"/>
      <c r="L106" s="77">
        <v>1.7543289740000003</v>
      </c>
      <c r="M106" s="78">
        <v>2.4795399950352705E-6</v>
      </c>
      <c r="N106" s="78">
        <f t="shared" si="2"/>
        <v>2.2660695029683591E-3</v>
      </c>
      <c r="O106" s="78">
        <f>L106/'סכום נכסי הקרן'!$C$42</f>
        <v>2.1698172164403893E-5</v>
      </c>
    </row>
    <row r="107" spans="2:15">
      <c r="B107" s="76" t="s">
        <v>1104</v>
      </c>
      <c r="C107" s="70" t="s">
        <v>1105</v>
      </c>
      <c r="D107" s="83" t="s">
        <v>113</v>
      </c>
      <c r="E107" s="83" t="s">
        <v>280</v>
      </c>
      <c r="F107" s="70" t="s">
        <v>1106</v>
      </c>
      <c r="G107" s="83" t="s">
        <v>139</v>
      </c>
      <c r="H107" s="83" t="s">
        <v>157</v>
      </c>
      <c r="I107" s="77">
        <v>40.879030999999998</v>
      </c>
      <c r="J107" s="79">
        <v>468.6</v>
      </c>
      <c r="K107" s="70"/>
      <c r="L107" s="77">
        <v>0.19155913899999999</v>
      </c>
      <c r="M107" s="78">
        <v>2.0438493575321235E-6</v>
      </c>
      <c r="N107" s="78">
        <f t="shared" si="2"/>
        <v>2.4743724200885066E-4</v>
      </c>
      <c r="O107" s="78">
        <f>L107/'סכום נכסי הקרן'!$C$42</f>
        <v>2.3692723766682629E-6</v>
      </c>
    </row>
    <row r="108" spans="2:15">
      <c r="B108" s="76" t="s">
        <v>1107</v>
      </c>
      <c r="C108" s="70" t="s">
        <v>1108</v>
      </c>
      <c r="D108" s="83" t="s">
        <v>113</v>
      </c>
      <c r="E108" s="83" t="s">
        <v>280</v>
      </c>
      <c r="F108" s="70" t="s">
        <v>1109</v>
      </c>
      <c r="G108" s="83" t="s">
        <v>665</v>
      </c>
      <c r="H108" s="83" t="s">
        <v>157</v>
      </c>
      <c r="I108" s="77">
        <v>30.129041000000001</v>
      </c>
      <c r="J108" s="79">
        <v>1813</v>
      </c>
      <c r="K108" s="70"/>
      <c r="L108" s="77">
        <v>0.54623951299999995</v>
      </c>
      <c r="M108" s="78">
        <v>2.0769403000250578E-6</v>
      </c>
      <c r="N108" s="78">
        <f t="shared" si="2"/>
        <v>7.0557844057222313E-4</v>
      </c>
      <c r="O108" s="78">
        <f>L108/'סכום נכסי הקרן'!$C$42</f>
        <v>6.756086898029044E-6</v>
      </c>
    </row>
    <row r="109" spans="2:15">
      <c r="B109" s="76" t="s">
        <v>1110</v>
      </c>
      <c r="C109" s="70" t="s">
        <v>1111</v>
      </c>
      <c r="D109" s="83" t="s">
        <v>113</v>
      </c>
      <c r="E109" s="83" t="s">
        <v>280</v>
      </c>
      <c r="F109" s="70" t="s">
        <v>1112</v>
      </c>
      <c r="G109" s="83" t="s">
        <v>149</v>
      </c>
      <c r="H109" s="83" t="s">
        <v>157</v>
      </c>
      <c r="I109" s="77">
        <v>30.154022999999999</v>
      </c>
      <c r="J109" s="79">
        <v>418.2</v>
      </c>
      <c r="K109" s="70"/>
      <c r="L109" s="77">
        <v>0.12610412500000001</v>
      </c>
      <c r="M109" s="78">
        <v>2.6164746844076138E-6</v>
      </c>
      <c r="N109" s="78">
        <f t="shared" si="2"/>
        <v>1.6288889717728039E-4</v>
      </c>
      <c r="O109" s="78">
        <f>L109/'סכום נכסי הקרן'!$C$42</f>
        <v>1.5597012051010615E-6</v>
      </c>
    </row>
    <row r="110" spans="2:15">
      <c r="B110" s="76" t="s">
        <v>1113</v>
      </c>
      <c r="C110" s="70" t="s">
        <v>1114</v>
      </c>
      <c r="D110" s="83" t="s">
        <v>113</v>
      </c>
      <c r="E110" s="83" t="s">
        <v>280</v>
      </c>
      <c r="F110" s="70" t="s">
        <v>1115</v>
      </c>
      <c r="G110" s="83" t="s">
        <v>599</v>
      </c>
      <c r="H110" s="83" t="s">
        <v>157</v>
      </c>
      <c r="I110" s="77">
        <v>12.648725000000002</v>
      </c>
      <c r="J110" s="79">
        <v>12980</v>
      </c>
      <c r="K110" s="70"/>
      <c r="L110" s="77">
        <v>1.641804539</v>
      </c>
      <c r="M110" s="78">
        <v>3.4652218294270556E-6</v>
      </c>
      <c r="N110" s="78">
        <f t="shared" si="2"/>
        <v>2.1207215127844801E-3</v>
      </c>
      <c r="O110" s="78">
        <f>L110/'סכום נכסי הקרן'!$C$42</f>
        <v>2.0306429452793021E-5</v>
      </c>
    </row>
    <row r="111" spans="2:15">
      <c r="B111" s="76" t="s">
        <v>1116</v>
      </c>
      <c r="C111" s="70" t="s">
        <v>1117</v>
      </c>
      <c r="D111" s="83" t="s">
        <v>113</v>
      </c>
      <c r="E111" s="83" t="s">
        <v>280</v>
      </c>
      <c r="F111" s="70" t="s">
        <v>1118</v>
      </c>
      <c r="G111" s="83" t="s">
        <v>665</v>
      </c>
      <c r="H111" s="83" t="s">
        <v>157</v>
      </c>
      <c r="I111" s="77">
        <v>1.270608</v>
      </c>
      <c r="J111" s="79">
        <v>11700</v>
      </c>
      <c r="K111" s="70"/>
      <c r="L111" s="77">
        <v>0.148661188</v>
      </c>
      <c r="M111" s="78">
        <v>3.8215797287315055E-7</v>
      </c>
      <c r="N111" s="78">
        <f t="shared" si="2"/>
        <v>1.9202589103555769E-4</v>
      </c>
      <c r="O111" s="78">
        <f>L111/'סכום נכסי הקרן'!$C$42</f>
        <v>1.8386950789702989E-6</v>
      </c>
    </row>
    <row r="112" spans="2:15">
      <c r="B112" s="76" t="s">
        <v>1119</v>
      </c>
      <c r="C112" s="70" t="s">
        <v>1120</v>
      </c>
      <c r="D112" s="83" t="s">
        <v>113</v>
      </c>
      <c r="E112" s="83" t="s">
        <v>280</v>
      </c>
      <c r="F112" s="70" t="s">
        <v>1121</v>
      </c>
      <c r="G112" s="83" t="s">
        <v>144</v>
      </c>
      <c r="H112" s="83" t="s">
        <v>157</v>
      </c>
      <c r="I112" s="77">
        <v>81.713418000000004</v>
      </c>
      <c r="J112" s="79">
        <v>606.6</v>
      </c>
      <c r="K112" s="70"/>
      <c r="L112" s="77">
        <v>0.49567359099999997</v>
      </c>
      <c r="M112" s="78">
        <v>2.0624229510536154E-6</v>
      </c>
      <c r="N112" s="78">
        <f t="shared" si="2"/>
        <v>6.4026235936288619E-4</v>
      </c>
      <c r="O112" s="78">
        <f>L112/'סכום נכסי הקרן'!$C$42</f>
        <v>6.1306693751649326E-6</v>
      </c>
    </row>
    <row r="113" spans="2:15">
      <c r="B113" s="76" t="s">
        <v>1122</v>
      </c>
      <c r="C113" s="70" t="s">
        <v>1123</v>
      </c>
      <c r="D113" s="83" t="s">
        <v>113</v>
      </c>
      <c r="E113" s="83" t="s">
        <v>280</v>
      </c>
      <c r="F113" s="70" t="s">
        <v>646</v>
      </c>
      <c r="G113" s="83" t="s">
        <v>345</v>
      </c>
      <c r="H113" s="83" t="s">
        <v>157</v>
      </c>
      <c r="I113" s="77">
        <v>428.36495300000001</v>
      </c>
      <c r="J113" s="79">
        <v>150.19999999999999</v>
      </c>
      <c r="K113" s="70"/>
      <c r="L113" s="77">
        <v>0.64340416</v>
      </c>
      <c r="M113" s="78">
        <v>8.2096195793169031E-7</v>
      </c>
      <c r="N113" s="78">
        <f t="shared" si="2"/>
        <v>8.3108616836819924E-4</v>
      </c>
      <c r="O113" s="78">
        <f>L113/'סכום נכסי הקרן'!$C$42</f>
        <v>7.9578542233970231E-6</v>
      </c>
    </row>
    <row r="114" spans="2:15">
      <c r="B114" s="76" t="s">
        <v>1126</v>
      </c>
      <c r="C114" s="70" t="s">
        <v>1127</v>
      </c>
      <c r="D114" s="83" t="s">
        <v>113</v>
      </c>
      <c r="E114" s="83" t="s">
        <v>280</v>
      </c>
      <c r="F114" s="70" t="s">
        <v>1128</v>
      </c>
      <c r="G114" s="83" t="s">
        <v>144</v>
      </c>
      <c r="H114" s="83" t="s">
        <v>157</v>
      </c>
      <c r="I114" s="77">
        <v>133.669985</v>
      </c>
      <c r="J114" s="79">
        <v>37.4</v>
      </c>
      <c r="K114" s="70"/>
      <c r="L114" s="77">
        <v>4.9992573999999998E-2</v>
      </c>
      <c r="M114" s="78">
        <v>7.6450658558126006E-7</v>
      </c>
      <c r="N114" s="78">
        <f t="shared" si="2"/>
        <v>6.4575486693346307E-5</v>
      </c>
      <c r="O114" s="78">
        <f>L114/'סכום נכסי הקרן'!$C$42</f>
        <v>6.1832614844204326E-7</v>
      </c>
    </row>
    <row r="115" spans="2:15">
      <c r="B115" s="76" t="s">
        <v>1129</v>
      </c>
      <c r="C115" s="70" t="s">
        <v>1130</v>
      </c>
      <c r="D115" s="83" t="s">
        <v>113</v>
      </c>
      <c r="E115" s="83" t="s">
        <v>280</v>
      </c>
      <c r="F115" s="70" t="s">
        <v>1131</v>
      </c>
      <c r="G115" s="83" t="s">
        <v>183</v>
      </c>
      <c r="H115" s="83" t="s">
        <v>157</v>
      </c>
      <c r="I115" s="77">
        <v>166.10431500000001</v>
      </c>
      <c r="J115" s="79">
        <v>284.3</v>
      </c>
      <c r="K115" s="70"/>
      <c r="L115" s="77">
        <v>0.47223456900000005</v>
      </c>
      <c r="M115" s="78">
        <v>1.2976899609375002E-6</v>
      </c>
      <c r="N115" s="78">
        <f t="shared" si="2"/>
        <v>6.0998613767311984E-4</v>
      </c>
      <c r="O115" s="78">
        <f>L115/'סכום נכסי הקרן'!$C$42</f>
        <v>5.8407671149510799E-6</v>
      </c>
    </row>
    <row r="116" spans="2:15">
      <c r="B116" s="76" t="s">
        <v>1132</v>
      </c>
      <c r="C116" s="70" t="s">
        <v>1133</v>
      </c>
      <c r="D116" s="83" t="s">
        <v>113</v>
      </c>
      <c r="E116" s="83" t="s">
        <v>280</v>
      </c>
      <c r="F116" s="70" t="s">
        <v>1134</v>
      </c>
      <c r="G116" s="83" t="s">
        <v>149</v>
      </c>
      <c r="H116" s="83" t="s">
        <v>157</v>
      </c>
      <c r="I116" s="77">
        <v>1006.9917399999999</v>
      </c>
      <c r="J116" s="79">
        <v>257.2</v>
      </c>
      <c r="K116" s="70"/>
      <c r="L116" s="77">
        <v>2.5899827559999999</v>
      </c>
      <c r="M116" s="78">
        <v>2.1726480380728039E-6</v>
      </c>
      <c r="N116" s="78">
        <f t="shared" si="2"/>
        <v>3.3454848113256661E-3</v>
      </c>
      <c r="O116" s="78">
        <f>L116/'סכום נכסי הקרן'!$C$42</f>
        <v>3.2033838906730198E-5</v>
      </c>
    </row>
    <row r="117" spans="2:15">
      <c r="B117" s="76" t="s">
        <v>1135</v>
      </c>
      <c r="C117" s="70" t="s">
        <v>1136</v>
      </c>
      <c r="D117" s="83" t="s">
        <v>113</v>
      </c>
      <c r="E117" s="83" t="s">
        <v>280</v>
      </c>
      <c r="F117" s="70" t="s">
        <v>1137</v>
      </c>
      <c r="G117" s="83" t="s">
        <v>409</v>
      </c>
      <c r="H117" s="83" t="s">
        <v>157</v>
      </c>
      <c r="I117" s="77">
        <v>18.521529000000001</v>
      </c>
      <c r="J117" s="79">
        <v>7627</v>
      </c>
      <c r="K117" s="70"/>
      <c r="L117" s="77">
        <v>1.4126370509999999</v>
      </c>
      <c r="M117" s="78">
        <v>1.3719651111111112E-6</v>
      </c>
      <c r="N117" s="78">
        <f t="shared" si="2"/>
        <v>1.8247055070494764E-3</v>
      </c>
      <c r="O117" s="78">
        <f>L117/'סכום נכסי הקרן'!$C$42</f>
        <v>1.7472003479783944E-5</v>
      </c>
    </row>
    <row r="118" spans="2:15">
      <c r="B118" s="76" t="s">
        <v>1138</v>
      </c>
      <c r="C118" s="70" t="s">
        <v>1139</v>
      </c>
      <c r="D118" s="83" t="s">
        <v>113</v>
      </c>
      <c r="E118" s="83" t="s">
        <v>280</v>
      </c>
      <c r="F118" s="70" t="s">
        <v>1140</v>
      </c>
      <c r="G118" s="83" t="s">
        <v>1047</v>
      </c>
      <c r="H118" s="83" t="s">
        <v>157</v>
      </c>
      <c r="I118" s="77">
        <v>15.009265000000001</v>
      </c>
      <c r="J118" s="79">
        <v>5203</v>
      </c>
      <c r="K118" s="70"/>
      <c r="L118" s="77">
        <v>0.78093207399999998</v>
      </c>
      <c r="M118" s="78">
        <v>1.425280587962256E-6</v>
      </c>
      <c r="N118" s="78">
        <f t="shared" si="2"/>
        <v>1.0087311918164953E-3</v>
      </c>
      <c r="O118" s="78">
        <f>L118/'סכום נכסי הקרן'!$C$42</f>
        <v>9.6588489624734424E-6</v>
      </c>
    </row>
    <row r="119" spans="2:15">
      <c r="B119" s="76" t="s">
        <v>1141</v>
      </c>
      <c r="C119" s="70" t="s">
        <v>1142</v>
      </c>
      <c r="D119" s="83" t="s">
        <v>113</v>
      </c>
      <c r="E119" s="83" t="s">
        <v>280</v>
      </c>
      <c r="F119" s="70" t="s">
        <v>1143</v>
      </c>
      <c r="G119" s="83" t="s">
        <v>599</v>
      </c>
      <c r="H119" s="83" t="s">
        <v>157</v>
      </c>
      <c r="I119" s="77">
        <v>0.39306099999999999</v>
      </c>
      <c r="J119" s="79">
        <v>243.7</v>
      </c>
      <c r="K119" s="70"/>
      <c r="L119" s="77">
        <v>9.5789099999999999E-4</v>
      </c>
      <c r="M119" s="78">
        <v>5.7334270960555912E-8</v>
      </c>
      <c r="N119" s="78">
        <f t="shared" si="2"/>
        <v>1.2373093156630862E-6</v>
      </c>
      <c r="O119" s="78">
        <f>L119/'סכום נכסי הקרן'!$C$42</f>
        <v>1.1847540649883268E-8</v>
      </c>
    </row>
    <row r="120" spans="2:15">
      <c r="B120" s="76" t="s">
        <v>1144</v>
      </c>
      <c r="C120" s="70" t="s">
        <v>1145</v>
      </c>
      <c r="D120" s="83" t="s">
        <v>113</v>
      </c>
      <c r="E120" s="83" t="s">
        <v>280</v>
      </c>
      <c r="F120" s="70" t="s">
        <v>1146</v>
      </c>
      <c r="G120" s="83" t="s">
        <v>465</v>
      </c>
      <c r="H120" s="83" t="s">
        <v>157</v>
      </c>
      <c r="I120" s="77">
        <v>18.975967000000001</v>
      </c>
      <c r="J120" s="79">
        <v>617.9</v>
      </c>
      <c r="K120" s="70"/>
      <c r="L120" s="77">
        <v>0.11725249700000001</v>
      </c>
      <c r="M120" s="78">
        <v>1.4457468751554719E-6</v>
      </c>
      <c r="N120" s="78">
        <f t="shared" si="2"/>
        <v>1.5145523532725339E-4</v>
      </c>
      <c r="O120" s="78">
        <f>L120/'סכום נכסי הקרן'!$C$42</f>
        <v>1.4502210841398614E-6</v>
      </c>
    </row>
    <row r="121" spans="2:15">
      <c r="B121" s="76" t="s">
        <v>1147</v>
      </c>
      <c r="C121" s="70" t="s">
        <v>1148</v>
      </c>
      <c r="D121" s="83" t="s">
        <v>113</v>
      </c>
      <c r="E121" s="83" t="s">
        <v>280</v>
      </c>
      <c r="F121" s="70" t="s">
        <v>1149</v>
      </c>
      <c r="G121" s="83" t="s">
        <v>465</v>
      </c>
      <c r="H121" s="83" t="s">
        <v>157</v>
      </c>
      <c r="I121" s="77">
        <v>41.632536999999999</v>
      </c>
      <c r="J121" s="79">
        <v>2224</v>
      </c>
      <c r="K121" s="70"/>
      <c r="L121" s="77">
        <v>0.92590761300000002</v>
      </c>
      <c r="M121" s="78">
        <v>1.6183381484673156E-6</v>
      </c>
      <c r="N121" s="78">
        <f t="shared" si="2"/>
        <v>1.1959963242250649E-3</v>
      </c>
      <c r="O121" s="78">
        <f>L121/'סכום נכסי הקרן'!$C$42</f>
        <v>1.1451958608081593E-5</v>
      </c>
    </row>
    <row r="122" spans="2:15">
      <c r="B122" s="76" t="s">
        <v>1150</v>
      </c>
      <c r="C122" s="70" t="s">
        <v>1151</v>
      </c>
      <c r="D122" s="83" t="s">
        <v>113</v>
      </c>
      <c r="E122" s="83" t="s">
        <v>280</v>
      </c>
      <c r="F122" s="70" t="s">
        <v>1152</v>
      </c>
      <c r="G122" s="83" t="s">
        <v>150</v>
      </c>
      <c r="H122" s="83" t="s">
        <v>157</v>
      </c>
      <c r="I122" s="77">
        <v>586.66601300000002</v>
      </c>
      <c r="J122" s="79">
        <v>219.5</v>
      </c>
      <c r="K122" s="70"/>
      <c r="L122" s="77">
        <v>1.2877318980000001</v>
      </c>
      <c r="M122" s="78">
        <v>2.5059829933638263E-6</v>
      </c>
      <c r="N122" s="78">
        <f t="shared" si="2"/>
        <v>1.663365323895837E-3</v>
      </c>
      <c r="O122" s="78">
        <f>L122/'סכום נכסי הקרן'!$C$42</f>
        <v>1.5927131591910076E-5</v>
      </c>
    </row>
    <row r="123" spans="2:15">
      <c r="B123" s="76" t="s">
        <v>1153</v>
      </c>
      <c r="C123" s="70" t="s">
        <v>1154</v>
      </c>
      <c r="D123" s="83" t="s">
        <v>113</v>
      </c>
      <c r="E123" s="83" t="s">
        <v>280</v>
      </c>
      <c r="F123" s="70" t="s">
        <v>1155</v>
      </c>
      <c r="G123" s="83" t="s">
        <v>790</v>
      </c>
      <c r="H123" s="83" t="s">
        <v>157</v>
      </c>
      <c r="I123" s="77">
        <v>3.4157190000000002</v>
      </c>
      <c r="J123" s="79">
        <v>22630</v>
      </c>
      <c r="K123" s="70"/>
      <c r="L123" s="77">
        <v>0.77297713999999995</v>
      </c>
      <c r="M123" s="78">
        <v>1.4858956629245059E-6</v>
      </c>
      <c r="N123" s="78">
        <f t="shared" si="2"/>
        <v>9.984557910207002E-4</v>
      </c>
      <c r="O123" s="78">
        <f>L123/'סכום נכסי הקרן'!$C$42</f>
        <v>9.5604594756402441E-6</v>
      </c>
    </row>
    <row r="124" spans="2:15">
      <c r="B124" s="76" t="s">
        <v>1156</v>
      </c>
      <c r="C124" s="70" t="s">
        <v>1157</v>
      </c>
      <c r="D124" s="83" t="s">
        <v>113</v>
      </c>
      <c r="E124" s="83" t="s">
        <v>280</v>
      </c>
      <c r="F124" s="70" t="s">
        <v>1158</v>
      </c>
      <c r="G124" s="83" t="s">
        <v>180</v>
      </c>
      <c r="H124" s="83" t="s">
        <v>157</v>
      </c>
      <c r="I124" s="77">
        <v>9.6644140000000007</v>
      </c>
      <c r="J124" s="79">
        <v>2673</v>
      </c>
      <c r="K124" s="70"/>
      <c r="L124" s="77">
        <v>0.25832979</v>
      </c>
      <c r="M124" s="78">
        <v>1.1717807418616016E-6</v>
      </c>
      <c r="N124" s="78">
        <f t="shared" si="2"/>
        <v>3.3368499722858736E-4</v>
      </c>
      <c r="O124" s="78">
        <f>L124/'סכום נכסי הקרן'!$C$42</f>
        <v>3.1951158201724495E-6</v>
      </c>
    </row>
    <row r="125" spans="2:15">
      <c r="B125" s="76" t="s">
        <v>1159</v>
      </c>
      <c r="C125" s="70" t="s">
        <v>1160</v>
      </c>
      <c r="D125" s="83" t="s">
        <v>113</v>
      </c>
      <c r="E125" s="83" t="s">
        <v>280</v>
      </c>
      <c r="F125" s="70" t="s">
        <v>1161</v>
      </c>
      <c r="G125" s="83" t="s">
        <v>465</v>
      </c>
      <c r="H125" s="83" t="s">
        <v>157</v>
      </c>
      <c r="I125" s="77">
        <v>212.80592899999999</v>
      </c>
      <c r="J125" s="79">
        <v>541.29999999999995</v>
      </c>
      <c r="K125" s="70"/>
      <c r="L125" s="77">
        <v>1.1519184929999999</v>
      </c>
      <c r="M125" s="78">
        <v>2.5071312406934328E-6</v>
      </c>
      <c r="N125" s="78">
        <f t="shared" si="2"/>
        <v>1.4879349344272819E-3</v>
      </c>
      <c r="O125" s="78">
        <f>L125/'סכום נכסי הקרן'!$C$42</f>
        <v>1.4247342517227715E-5</v>
      </c>
    </row>
    <row r="126" spans="2:15">
      <c r="B126" s="76" t="s">
        <v>1162</v>
      </c>
      <c r="C126" s="70" t="s">
        <v>1163</v>
      </c>
      <c r="D126" s="83" t="s">
        <v>113</v>
      </c>
      <c r="E126" s="83" t="s">
        <v>280</v>
      </c>
      <c r="F126" s="70" t="s">
        <v>1164</v>
      </c>
      <c r="G126" s="83" t="s">
        <v>345</v>
      </c>
      <c r="H126" s="83" t="s">
        <v>157</v>
      </c>
      <c r="I126" s="77">
        <v>218.46700000000001</v>
      </c>
      <c r="J126" s="79">
        <v>779.7</v>
      </c>
      <c r="K126" s="70"/>
      <c r="L126" s="77">
        <v>1.703387199</v>
      </c>
      <c r="M126" s="78">
        <v>3.5179871175523351E-6</v>
      </c>
      <c r="N126" s="78">
        <f t="shared" si="2"/>
        <v>2.2002679318460566E-3</v>
      </c>
      <c r="O126" s="78">
        <f>L126/'סכום נכסי הקרן'!$C$42</f>
        <v>2.1068105956359648E-5</v>
      </c>
    </row>
    <row r="127" spans="2:15">
      <c r="B127" s="76" t="s">
        <v>1165</v>
      </c>
      <c r="C127" s="70" t="s">
        <v>1166</v>
      </c>
      <c r="D127" s="83" t="s">
        <v>113</v>
      </c>
      <c r="E127" s="83" t="s">
        <v>280</v>
      </c>
      <c r="F127" s="70" t="s">
        <v>1167</v>
      </c>
      <c r="G127" s="83" t="s">
        <v>465</v>
      </c>
      <c r="H127" s="83" t="s">
        <v>157</v>
      </c>
      <c r="I127" s="77">
        <v>50.391136000000003</v>
      </c>
      <c r="J127" s="79">
        <v>610.9</v>
      </c>
      <c r="K127" s="70"/>
      <c r="L127" s="77">
        <v>0.30783944699999999</v>
      </c>
      <c r="M127" s="78">
        <v>3.0332315256347131E-6</v>
      </c>
      <c r="N127" s="78">
        <f t="shared" si="2"/>
        <v>3.9763669927128751E-4</v>
      </c>
      <c r="O127" s="78">
        <f>L127/'סכום נכסי הקרן'!$C$42</f>
        <v>3.8074690773481381E-6</v>
      </c>
    </row>
    <row r="128" spans="2:15">
      <c r="B128" s="76" t="s">
        <v>1168</v>
      </c>
      <c r="C128" s="70" t="s">
        <v>1169</v>
      </c>
      <c r="D128" s="83" t="s">
        <v>113</v>
      </c>
      <c r="E128" s="83" t="s">
        <v>280</v>
      </c>
      <c r="F128" s="70" t="s">
        <v>1170</v>
      </c>
      <c r="G128" s="83" t="s">
        <v>790</v>
      </c>
      <c r="H128" s="83" t="s">
        <v>157</v>
      </c>
      <c r="I128" s="77">
        <v>260.44975199999999</v>
      </c>
      <c r="J128" s="79">
        <v>10.7</v>
      </c>
      <c r="K128" s="70"/>
      <c r="L128" s="77">
        <v>2.7868123000000002E-2</v>
      </c>
      <c r="M128" s="78">
        <v>6.325366454850436E-7</v>
      </c>
      <c r="N128" s="78">
        <f t="shared" si="2"/>
        <v>3.5997298437864761E-5</v>
      </c>
      <c r="O128" s="78">
        <f>L128/'סכום נכסי הקרן'!$C$42</f>
        <v>3.4468297549350276E-7</v>
      </c>
    </row>
    <row r="129" spans="2:15">
      <c r="B129" s="76" t="s">
        <v>1171</v>
      </c>
      <c r="C129" s="70" t="s">
        <v>1172</v>
      </c>
      <c r="D129" s="83" t="s">
        <v>113</v>
      </c>
      <c r="E129" s="83" t="s">
        <v>280</v>
      </c>
      <c r="F129" s="70" t="s">
        <v>846</v>
      </c>
      <c r="G129" s="83" t="s">
        <v>139</v>
      </c>
      <c r="H129" s="83" t="s">
        <v>157</v>
      </c>
      <c r="I129" s="77">
        <v>170.67518499999997</v>
      </c>
      <c r="J129" s="79">
        <v>190</v>
      </c>
      <c r="K129" s="70"/>
      <c r="L129" s="77">
        <v>0.32428285099999998</v>
      </c>
      <c r="M129" s="78">
        <v>1.9286295735280595E-6</v>
      </c>
      <c r="N129" s="78">
        <f t="shared" si="2"/>
        <v>4.1887667015566961E-4</v>
      </c>
      <c r="O129" s="78">
        <f>L129/'סכום נכסי הקרן'!$C$42</f>
        <v>4.0108470162915598E-6</v>
      </c>
    </row>
    <row r="130" spans="2:15">
      <c r="B130" s="73"/>
      <c r="C130" s="70"/>
      <c r="D130" s="70"/>
      <c r="E130" s="70"/>
      <c r="F130" s="70"/>
      <c r="G130" s="70"/>
      <c r="H130" s="70"/>
      <c r="I130" s="77"/>
      <c r="J130" s="79"/>
      <c r="K130" s="70"/>
      <c r="L130" s="70"/>
      <c r="M130" s="70"/>
      <c r="N130" s="78"/>
      <c r="O130" s="70"/>
    </row>
    <row r="131" spans="2:15">
      <c r="B131" s="71" t="s">
        <v>222</v>
      </c>
      <c r="C131" s="72"/>
      <c r="D131" s="72"/>
      <c r="E131" s="72"/>
      <c r="F131" s="72"/>
      <c r="G131" s="72"/>
      <c r="H131" s="72"/>
      <c r="I131" s="80"/>
      <c r="J131" s="82"/>
      <c r="K131" s="80">
        <v>9.1748573999999999E-2</v>
      </c>
      <c r="L131" s="80">
        <f>L132+L158</f>
        <v>303.85440298299994</v>
      </c>
      <c r="M131" s="72"/>
      <c r="N131" s="81">
        <f t="shared" ref="N131:N156" si="3">L131/$L$11</f>
        <v>0.39248921162857908</v>
      </c>
      <c r="O131" s="81">
        <f>L131/'סכום נכסי הקרן'!$C$42</f>
        <v>3.7581806186581805E-3</v>
      </c>
    </row>
    <row r="132" spans="2:15">
      <c r="B132" s="89" t="s">
        <v>60</v>
      </c>
      <c r="C132" s="72"/>
      <c r="D132" s="72"/>
      <c r="E132" s="72"/>
      <c r="F132" s="72"/>
      <c r="G132" s="72"/>
      <c r="H132" s="72"/>
      <c r="I132" s="80"/>
      <c r="J132" s="82"/>
      <c r="K132" s="80">
        <v>2.2248512000000002E-2</v>
      </c>
      <c r="L132" s="80">
        <f>SUM(L133:L156)</f>
        <v>103.85102246099999</v>
      </c>
      <c r="M132" s="72"/>
      <c r="N132" s="81">
        <f t="shared" si="3"/>
        <v>0.13414452952593947</v>
      </c>
      <c r="O132" s="81">
        <f>L132/'סכום נכסי הקרן'!$C$42</f>
        <v>1.2844668236142083E-3</v>
      </c>
    </row>
    <row r="133" spans="2:15">
      <c r="B133" s="76" t="s">
        <v>1173</v>
      </c>
      <c r="C133" s="70" t="s">
        <v>1174</v>
      </c>
      <c r="D133" s="83" t="s">
        <v>1175</v>
      </c>
      <c r="E133" s="83" t="s">
        <v>1176</v>
      </c>
      <c r="F133" s="70" t="s">
        <v>942</v>
      </c>
      <c r="G133" s="83" t="s">
        <v>185</v>
      </c>
      <c r="H133" s="83" t="s">
        <v>156</v>
      </c>
      <c r="I133" s="77">
        <v>51.800401999999991</v>
      </c>
      <c r="J133" s="79">
        <v>1047</v>
      </c>
      <c r="K133" s="70"/>
      <c r="L133" s="77">
        <v>1.8797858220000001</v>
      </c>
      <c r="M133" s="78">
        <v>1.5005593740665026E-6</v>
      </c>
      <c r="N133" s="78">
        <f t="shared" si="3"/>
        <v>2.428122311423734E-3</v>
      </c>
      <c r="O133" s="78">
        <f>L133/'סכום נכסי הקרן'!$C$42</f>
        <v>2.3249867614602531E-5</v>
      </c>
    </row>
    <row r="134" spans="2:15">
      <c r="B134" s="76" t="s">
        <v>1177</v>
      </c>
      <c r="C134" s="70" t="s">
        <v>1178</v>
      </c>
      <c r="D134" s="83" t="s">
        <v>1179</v>
      </c>
      <c r="E134" s="83" t="s">
        <v>1176</v>
      </c>
      <c r="F134" s="70" t="s">
        <v>1180</v>
      </c>
      <c r="G134" s="83" t="s">
        <v>1181</v>
      </c>
      <c r="H134" s="83" t="s">
        <v>156</v>
      </c>
      <c r="I134" s="77">
        <v>3.9658190000000002</v>
      </c>
      <c r="J134" s="79">
        <v>3179</v>
      </c>
      <c r="K134" s="70"/>
      <c r="L134" s="77">
        <v>0.43697031199999997</v>
      </c>
      <c r="M134" s="78">
        <v>1.2253390043020447E-7</v>
      </c>
      <c r="N134" s="78">
        <f t="shared" si="3"/>
        <v>5.6443524128090277E-4</v>
      </c>
      <c r="O134" s="78">
        <f>L134/'סכום נכסי הקרן'!$C$42</f>
        <v>5.4046060921463651E-6</v>
      </c>
    </row>
    <row r="135" spans="2:15">
      <c r="B135" s="76" t="s">
        <v>1182</v>
      </c>
      <c r="C135" s="70" t="s">
        <v>1183</v>
      </c>
      <c r="D135" s="83" t="s">
        <v>1175</v>
      </c>
      <c r="E135" s="83" t="s">
        <v>1176</v>
      </c>
      <c r="F135" s="70" t="s">
        <v>1184</v>
      </c>
      <c r="G135" s="83" t="s">
        <v>1185</v>
      </c>
      <c r="H135" s="83" t="s">
        <v>156</v>
      </c>
      <c r="I135" s="77">
        <v>25.587395000000001</v>
      </c>
      <c r="J135" s="79">
        <v>1185</v>
      </c>
      <c r="K135" s="70"/>
      <c r="L135" s="77">
        <v>1.0509280369999998</v>
      </c>
      <c r="M135" s="78">
        <v>7.4379553522598138E-7</v>
      </c>
      <c r="N135" s="78">
        <f t="shared" si="3"/>
        <v>1.3574854031112311E-3</v>
      </c>
      <c r="O135" s="78">
        <f>L135/'סכום נכסי הקרן'!$C$42</f>
        <v>1.2998256209171527E-5</v>
      </c>
    </row>
    <row r="136" spans="2:15">
      <c r="B136" s="76" t="s">
        <v>1186</v>
      </c>
      <c r="C136" s="70" t="s">
        <v>1187</v>
      </c>
      <c r="D136" s="83" t="s">
        <v>1175</v>
      </c>
      <c r="E136" s="83" t="s">
        <v>1176</v>
      </c>
      <c r="F136" s="70" t="s">
        <v>1029</v>
      </c>
      <c r="G136" s="83" t="s">
        <v>896</v>
      </c>
      <c r="H136" s="83" t="s">
        <v>156</v>
      </c>
      <c r="I136" s="77">
        <v>26.114003000000004</v>
      </c>
      <c r="J136" s="79">
        <v>1258</v>
      </c>
      <c r="K136" s="70"/>
      <c r="L136" s="77">
        <v>1.1386300730000001</v>
      </c>
      <c r="M136" s="78">
        <v>6.743945705690928E-7</v>
      </c>
      <c r="N136" s="78">
        <f t="shared" si="3"/>
        <v>1.4707702613523249E-3</v>
      </c>
      <c r="O136" s="78">
        <f>L136/'סכום נכסי הקרן'!$C$42</f>
        <v>1.4082986555930741E-5</v>
      </c>
    </row>
    <row r="137" spans="2:15">
      <c r="B137" s="76" t="s">
        <v>1188</v>
      </c>
      <c r="C137" s="70" t="s">
        <v>1189</v>
      </c>
      <c r="D137" s="83" t="s">
        <v>1175</v>
      </c>
      <c r="E137" s="83" t="s">
        <v>1176</v>
      </c>
      <c r="F137" s="70" t="s">
        <v>1190</v>
      </c>
      <c r="G137" s="83" t="s">
        <v>1191</v>
      </c>
      <c r="H137" s="83" t="s">
        <v>156</v>
      </c>
      <c r="I137" s="77">
        <v>7.907452000000001</v>
      </c>
      <c r="J137" s="79">
        <v>10743</v>
      </c>
      <c r="K137" s="70"/>
      <c r="L137" s="77">
        <v>2.9443584299999999</v>
      </c>
      <c r="M137" s="78">
        <v>5.5302325820482219E-8</v>
      </c>
      <c r="N137" s="78">
        <f t="shared" si="3"/>
        <v>3.8032324284184094E-3</v>
      </c>
      <c r="O137" s="78">
        <f>L137/'סכום נכסי הקרן'!$C$42</f>
        <v>3.6416884788824067E-5</v>
      </c>
    </row>
    <row r="138" spans="2:15">
      <c r="B138" s="76" t="s">
        <v>1192</v>
      </c>
      <c r="C138" s="70" t="s">
        <v>1193</v>
      </c>
      <c r="D138" s="83" t="s">
        <v>1175</v>
      </c>
      <c r="E138" s="83" t="s">
        <v>1176</v>
      </c>
      <c r="F138" s="70" t="s">
        <v>1194</v>
      </c>
      <c r="G138" s="83" t="s">
        <v>1191</v>
      </c>
      <c r="H138" s="83" t="s">
        <v>156</v>
      </c>
      <c r="I138" s="77">
        <v>8.1989380000000001</v>
      </c>
      <c r="J138" s="79">
        <v>9927</v>
      </c>
      <c r="K138" s="70"/>
      <c r="L138" s="77">
        <v>2.8210071220000001</v>
      </c>
      <c r="M138" s="78">
        <v>2.1168729787860562E-7</v>
      </c>
      <c r="N138" s="78">
        <f t="shared" si="3"/>
        <v>3.6438993493022819E-3</v>
      </c>
      <c r="O138" s="78">
        <f>L138/'סכום נכסי הקרן'!$C$42</f>
        <v>3.489123141516645E-5</v>
      </c>
    </row>
    <row r="139" spans="2:15">
      <c r="B139" s="76" t="s">
        <v>1195</v>
      </c>
      <c r="C139" s="70" t="s">
        <v>1196</v>
      </c>
      <c r="D139" s="83" t="s">
        <v>1175</v>
      </c>
      <c r="E139" s="83" t="s">
        <v>1176</v>
      </c>
      <c r="F139" s="70" t="s">
        <v>868</v>
      </c>
      <c r="G139" s="83" t="s">
        <v>701</v>
      </c>
      <c r="H139" s="83" t="s">
        <v>156</v>
      </c>
      <c r="I139" s="77">
        <v>0.17991399999999999</v>
      </c>
      <c r="J139" s="79">
        <v>13705</v>
      </c>
      <c r="K139" s="70"/>
      <c r="L139" s="77">
        <v>8.5461903000000006E-2</v>
      </c>
      <c r="M139" s="78">
        <v>4.0706062876131291E-9</v>
      </c>
      <c r="N139" s="78">
        <f t="shared" si="3"/>
        <v>1.1039127491144092E-4</v>
      </c>
      <c r="O139" s="78">
        <f>L139/'סכום נכסי הקרן'!$C$42</f>
        <v>1.0570235755517912E-6</v>
      </c>
    </row>
    <row r="140" spans="2:15">
      <c r="B140" s="76" t="s">
        <v>1199</v>
      </c>
      <c r="C140" s="70" t="s">
        <v>1200</v>
      </c>
      <c r="D140" s="83" t="s">
        <v>1179</v>
      </c>
      <c r="E140" s="83" t="s">
        <v>1176</v>
      </c>
      <c r="F140" s="70" t="s">
        <v>1201</v>
      </c>
      <c r="G140" s="83" t="s">
        <v>1202</v>
      </c>
      <c r="H140" s="83" t="s">
        <v>156</v>
      </c>
      <c r="I140" s="77">
        <v>12.064082000000001</v>
      </c>
      <c r="J140" s="79">
        <v>7382</v>
      </c>
      <c r="K140" s="70"/>
      <c r="L140" s="77">
        <v>3.0867174340000001</v>
      </c>
      <c r="M140" s="78">
        <v>3.4950182567399672E-7</v>
      </c>
      <c r="N140" s="78">
        <f t="shared" si="3"/>
        <v>3.9871177784401952E-3</v>
      </c>
      <c r="O140" s="78">
        <f>L140/'סכום נכסי הקרן'!$C$42</f>
        <v>3.8177632187815075E-5</v>
      </c>
    </row>
    <row r="141" spans="2:15">
      <c r="B141" s="76" t="s">
        <v>1205</v>
      </c>
      <c r="C141" s="70" t="s">
        <v>1206</v>
      </c>
      <c r="D141" s="83" t="s">
        <v>1175</v>
      </c>
      <c r="E141" s="83" t="s">
        <v>1176</v>
      </c>
      <c r="F141" s="70" t="s">
        <v>1207</v>
      </c>
      <c r="G141" s="83" t="s">
        <v>1208</v>
      </c>
      <c r="H141" s="83" t="s">
        <v>156</v>
      </c>
      <c r="I141" s="77">
        <v>9.4607259999999993</v>
      </c>
      <c r="J141" s="79">
        <v>1602</v>
      </c>
      <c r="K141" s="70"/>
      <c r="L141" s="77">
        <v>0.52530985499999994</v>
      </c>
      <c r="M141" s="78">
        <v>4.5455181411352906E-7</v>
      </c>
      <c r="N141" s="78">
        <f t="shared" si="3"/>
        <v>6.785435683194903E-4</v>
      </c>
      <c r="O141" s="78">
        <f>L141/'סכום נכסי הקרן'!$C$42</f>
        <v>6.4972213549315986E-6</v>
      </c>
    </row>
    <row r="142" spans="2:15">
      <c r="B142" s="76" t="s">
        <v>1209</v>
      </c>
      <c r="C142" s="70" t="s">
        <v>1210</v>
      </c>
      <c r="D142" s="83" t="s">
        <v>1175</v>
      </c>
      <c r="E142" s="83" t="s">
        <v>1176</v>
      </c>
      <c r="F142" s="70" t="s">
        <v>1025</v>
      </c>
      <c r="G142" s="83" t="s">
        <v>1026</v>
      </c>
      <c r="H142" s="83" t="s">
        <v>156</v>
      </c>
      <c r="I142" s="77">
        <v>11.865945</v>
      </c>
      <c r="J142" s="79">
        <v>776</v>
      </c>
      <c r="K142" s="70"/>
      <c r="L142" s="77">
        <v>0.31914835900000005</v>
      </c>
      <c r="M142" s="78">
        <v>2.6653204931346451E-7</v>
      </c>
      <c r="N142" s="78">
        <f t="shared" si="3"/>
        <v>4.1224443874019796E-4</v>
      </c>
      <c r="O142" s="78">
        <f>L142/'סכום נכסי הקרן'!$C$42</f>
        <v>3.9473417712412361E-6</v>
      </c>
    </row>
    <row r="143" spans="2:15">
      <c r="B143" s="76" t="s">
        <v>1211</v>
      </c>
      <c r="C143" s="70" t="s">
        <v>1212</v>
      </c>
      <c r="D143" s="83" t="s">
        <v>1175</v>
      </c>
      <c r="E143" s="83" t="s">
        <v>1176</v>
      </c>
      <c r="F143" s="70" t="s">
        <v>1213</v>
      </c>
      <c r="G143" s="83" t="s">
        <v>1185</v>
      </c>
      <c r="H143" s="83" t="s">
        <v>156</v>
      </c>
      <c r="I143" s="77">
        <v>37.595652000000001</v>
      </c>
      <c r="J143" s="79">
        <v>5338</v>
      </c>
      <c r="K143" s="70"/>
      <c r="L143" s="77">
        <v>6.9557625449999998</v>
      </c>
      <c r="M143" s="78">
        <v>9.2142064006240504E-7</v>
      </c>
      <c r="N143" s="78">
        <f t="shared" si="3"/>
        <v>8.9847694512933899E-3</v>
      </c>
      <c r="O143" s="78">
        <f>L143/'סכום נכסי הקרן'!$C$42</f>
        <v>8.6031374658309751E-5</v>
      </c>
    </row>
    <row r="144" spans="2:15">
      <c r="B144" s="76" t="s">
        <v>1216</v>
      </c>
      <c r="C144" s="70" t="s">
        <v>1217</v>
      </c>
      <c r="D144" s="83" t="s">
        <v>1175</v>
      </c>
      <c r="E144" s="83" t="s">
        <v>1176</v>
      </c>
      <c r="F144" s="70" t="s">
        <v>1218</v>
      </c>
      <c r="G144" s="83" t="s">
        <v>1219</v>
      </c>
      <c r="H144" s="83" t="s">
        <v>156</v>
      </c>
      <c r="I144" s="77">
        <v>49.067996999999998</v>
      </c>
      <c r="J144" s="79">
        <v>297</v>
      </c>
      <c r="K144" s="70"/>
      <c r="L144" s="77">
        <v>0.50510693900000003</v>
      </c>
      <c r="M144" s="78">
        <v>1.8032327436040137E-6</v>
      </c>
      <c r="N144" s="78">
        <f t="shared" si="3"/>
        <v>6.5244742985450974E-4</v>
      </c>
      <c r="O144" s="78">
        <f>L144/'סכום נכסי הקרן'!$C$42</f>
        <v>6.247344418457432E-6</v>
      </c>
    </row>
    <row r="145" spans="2:15">
      <c r="B145" s="76" t="s">
        <v>1220</v>
      </c>
      <c r="C145" s="70" t="s">
        <v>1221</v>
      </c>
      <c r="D145" s="83" t="s">
        <v>1175</v>
      </c>
      <c r="E145" s="83" t="s">
        <v>1176</v>
      </c>
      <c r="F145" s="70" t="s">
        <v>911</v>
      </c>
      <c r="G145" s="83" t="s">
        <v>185</v>
      </c>
      <c r="H145" s="83" t="s">
        <v>156</v>
      </c>
      <c r="I145" s="77">
        <v>36.701684999999998</v>
      </c>
      <c r="J145" s="79">
        <v>18924</v>
      </c>
      <c r="K145" s="70"/>
      <c r="L145" s="77">
        <v>24.072849489999999</v>
      </c>
      <c r="M145" s="78">
        <v>5.8818479776851326E-7</v>
      </c>
      <c r="N145" s="78">
        <f t="shared" si="3"/>
        <v>3.1094937658389495E-2</v>
      </c>
      <c r="O145" s="78">
        <f>L145/'סכום נכסי הקרן'!$C$42</f>
        <v>2.9774166673587774E-4</v>
      </c>
    </row>
    <row r="146" spans="2:15">
      <c r="B146" s="76" t="s">
        <v>1222</v>
      </c>
      <c r="C146" s="70" t="s">
        <v>1223</v>
      </c>
      <c r="D146" s="83" t="s">
        <v>1175</v>
      </c>
      <c r="E146" s="83" t="s">
        <v>1176</v>
      </c>
      <c r="F146" s="70" t="s">
        <v>1001</v>
      </c>
      <c r="G146" s="83" t="s">
        <v>896</v>
      </c>
      <c r="H146" s="83" t="s">
        <v>156</v>
      </c>
      <c r="I146" s="77">
        <v>25.676631999999998</v>
      </c>
      <c r="J146" s="79">
        <v>4819</v>
      </c>
      <c r="K146" s="70"/>
      <c r="L146" s="77">
        <v>4.2886790229999994</v>
      </c>
      <c r="M146" s="78">
        <v>9.1683864704712622E-7</v>
      </c>
      <c r="N146" s="78">
        <f t="shared" si="3"/>
        <v>5.5396934589079152E-3</v>
      </c>
      <c r="O146" s="78">
        <f>L146/'סכום נכסי הקרן'!$C$42</f>
        <v>5.3043925727764586E-5</v>
      </c>
    </row>
    <row r="147" spans="2:15">
      <c r="B147" s="76" t="s">
        <v>1226</v>
      </c>
      <c r="C147" s="70" t="s">
        <v>1227</v>
      </c>
      <c r="D147" s="83" t="s">
        <v>1175</v>
      </c>
      <c r="E147" s="83" t="s">
        <v>1176</v>
      </c>
      <c r="F147" s="70" t="s">
        <v>782</v>
      </c>
      <c r="G147" s="83" t="s">
        <v>184</v>
      </c>
      <c r="H147" s="83" t="s">
        <v>156</v>
      </c>
      <c r="I147" s="77">
        <v>1.9008430000000001</v>
      </c>
      <c r="J147" s="79">
        <v>431.38</v>
      </c>
      <c r="K147" s="70"/>
      <c r="L147" s="77">
        <v>2.84207E-2</v>
      </c>
      <c r="M147" s="78">
        <v>1.0351921028392601E-8</v>
      </c>
      <c r="N147" s="78">
        <f t="shared" si="3"/>
        <v>3.6711063020391539E-5</v>
      </c>
      <c r="O147" s="78">
        <f>L147/'סכום נכסי הקרן'!$C$42</f>
        <v>3.5151744671172125E-7</v>
      </c>
    </row>
    <row r="148" spans="2:15">
      <c r="B148" s="76" t="s">
        <v>1230</v>
      </c>
      <c r="C148" s="70" t="s">
        <v>1231</v>
      </c>
      <c r="D148" s="83" t="s">
        <v>1175</v>
      </c>
      <c r="E148" s="83" t="s">
        <v>1176</v>
      </c>
      <c r="F148" s="70" t="s">
        <v>1232</v>
      </c>
      <c r="G148" s="83" t="s">
        <v>1219</v>
      </c>
      <c r="H148" s="83" t="s">
        <v>156</v>
      </c>
      <c r="I148" s="77">
        <v>22.883479999999999</v>
      </c>
      <c r="J148" s="79">
        <v>670</v>
      </c>
      <c r="K148" s="70"/>
      <c r="L148" s="77">
        <v>0.53140475200000004</v>
      </c>
      <c r="M148" s="78">
        <v>6.4881658456425053E-7</v>
      </c>
      <c r="N148" s="78">
        <f t="shared" si="3"/>
        <v>6.8641635638839083E-4</v>
      </c>
      <c r="O148" s="78">
        <f>L148/'סכום נכסי הקרן'!$C$42</f>
        <v>6.5726052346886409E-6</v>
      </c>
    </row>
    <row r="149" spans="2:15">
      <c r="B149" s="76" t="s">
        <v>1233</v>
      </c>
      <c r="C149" s="70" t="s">
        <v>1234</v>
      </c>
      <c r="D149" s="83" t="s">
        <v>1175</v>
      </c>
      <c r="E149" s="83" t="s">
        <v>1176</v>
      </c>
      <c r="F149" s="70" t="s">
        <v>1235</v>
      </c>
      <c r="G149" s="83" t="s">
        <v>1219</v>
      </c>
      <c r="H149" s="83" t="s">
        <v>156</v>
      </c>
      <c r="I149" s="77">
        <v>31.835422000000005</v>
      </c>
      <c r="J149" s="79">
        <v>895.31</v>
      </c>
      <c r="K149" s="70"/>
      <c r="L149" s="77">
        <v>0.98789914900000009</v>
      </c>
      <c r="M149" s="78">
        <v>1.3856279102805745E-6</v>
      </c>
      <c r="N149" s="78">
        <f t="shared" si="3"/>
        <v>1.2760708890607964E-3</v>
      </c>
      <c r="O149" s="78">
        <f>L149/'סכום נכסי הקרן'!$C$42</f>
        <v>1.2218692237177913E-5</v>
      </c>
    </row>
    <row r="150" spans="2:15">
      <c r="B150" s="76" t="s">
        <v>1236</v>
      </c>
      <c r="C150" s="70" t="s">
        <v>1237</v>
      </c>
      <c r="D150" s="83" t="s">
        <v>1175</v>
      </c>
      <c r="E150" s="83" t="s">
        <v>1176</v>
      </c>
      <c r="F150" s="70" t="s">
        <v>1238</v>
      </c>
      <c r="G150" s="83" t="s">
        <v>1239</v>
      </c>
      <c r="H150" s="83" t="s">
        <v>156</v>
      </c>
      <c r="I150" s="77">
        <v>27.130542999999999</v>
      </c>
      <c r="J150" s="79">
        <v>13878</v>
      </c>
      <c r="K150" s="70"/>
      <c r="L150" s="77">
        <v>13.050102575</v>
      </c>
      <c r="M150" s="78">
        <v>5.4664995814373159E-7</v>
      </c>
      <c r="N150" s="78">
        <f t="shared" si="3"/>
        <v>1.6856838081166153E-2</v>
      </c>
      <c r="O150" s="78">
        <f>L150/'סכום נכסי הקרן'!$C$42</f>
        <v>1.6140836560992722E-4</v>
      </c>
    </row>
    <row r="151" spans="2:15">
      <c r="B151" s="76" t="s">
        <v>1240</v>
      </c>
      <c r="C151" s="70" t="s">
        <v>1241</v>
      </c>
      <c r="D151" s="83" t="s">
        <v>1175</v>
      </c>
      <c r="E151" s="83" t="s">
        <v>1176</v>
      </c>
      <c r="F151" s="70" t="s">
        <v>899</v>
      </c>
      <c r="G151" s="83" t="s">
        <v>900</v>
      </c>
      <c r="H151" s="83" t="s">
        <v>156</v>
      </c>
      <c r="I151" s="77">
        <v>561.917686</v>
      </c>
      <c r="J151" s="79">
        <v>1233</v>
      </c>
      <c r="K151" s="70"/>
      <c r="L151" s="77">
        <v>24.013990590000006</v>
      </c>
      <c r="M151" s="78">
        <v>5.1301868376146325E-7</v>
      </c>
      <c r="N151" s="78">
        <f t="shared" si="3"/>
        <v>3.1018909524416344E-2</v>
      </c>
      <c r="O151" s="78">
        <f>L151/'סכום נכסי הקרן'!$C$42</f>
        <v>2.9701367867632049E-4</v>
      </c>
    </row>
    <row r="152" spans="2:15">
      <c r="B152" s="76" t="s">
        <v>1242</v>
      </c>
      <c r="C152" s="70" t="s">
        <v>1243</v>
      </c>
      <c r="D152" s="83" t="s">
        <v>1175</v>
      </c>
      <c r="E152" s="83" t="s">
        <v>1176</v>
      </c>
      <c r="F152" s="70" t="s">
        <v>895</v>
      </c>
      <c r="G152" s="83" t="s">
        <v>896</v>
      </c>
      <c r="H152" s="83" t="s">
        <v>156</v>
      </c>
      <c r="I152" s="77">
        <v>37.989612000000001</v>
      </c>
      <c r="J152" s="79">
        <v>1909</v>
      </c>
      <c r="K152" s="70"/>
      <c r="L152" s="77">
        <v>2.5136183989999998</v>
      </c>
      <c r="M152" s="78">
        <v>3.5555840995200838E-7</v>
      </c>
      <c r="N152" s="78">
        <f t="shared" si="3"/>
        <v>3.2468448509327596E-3</v>
      </c>
      <c r="O152" s="78">
        <f>L152/'סכום נכסי הקרן'!$C$42</f>
        <v>3.1089337054473836E-5</v>
      </c>
    </row>
    <row r="153" spans="2:15">
      <c r="B153" s="76" t="s">
        <v>1244</v>
      </c>
      <c r="C153" s="70" t="s">
        <v>1245</v>
      </c>
      <c r="D153" s="83" t="s">
        <v>1179</v>
      </c>
      <c r="E153" s="83" t="s">
        <v>1176</v>
      </c>
      <c r="F153" s="70" t="s">
        <v>1246</v>
      </c>
      <c r="G153" s="83" t="s">
        <v>1191</v>
      </c>
      <c r="H153" s="83" t="s">
        <v>156</v>
      </c>
      <c r="I153" s="77">
        <v>26.691424000000001</v>
      </c>
      <c r="J153" s="79">
        <v>955</v>
      </c>
      <c r="K153" s="70"/>
      <c r="L153" s="77">
        <v>0.88349414800000003</v>
      </c>
      <c r="M153" s="78">
        <v>7.4961124241167941E-7</v>
      </c>
      <c r="N153" s="78">
        <f t="shared" si="3"/>
        <v>1.141210784582193E-3</v>
      </c>
      <c r="O153" s="78">
        <f>L153/'סכום נכסי הקרן'!$C$42</f>
        <v>1.0927373607606694E-5</v>
      </c>
    </row>
    <row r="154" spans="2:15">
      <c r="B154" s="76" t="s">
        <v>1247</v>
      </c>
      <c r="C154" s="70" t="s">
        <v>1248</v>
      </c>
      <c r="D154" s="83" t="s">
        <v>1175</v>
      </c>
      <c r="E154" s="83" t="s">
        <v>1176</v>
      </c>
      <c r="F154" s="70" t="s">
        <v>1249</v>
      </c>
      <c r="G154" s="83" t="s">
        <v>1219</v>
      </c>
      <c r="H154" s="83" t="s">
        <v>156</v>
      </c>
      <c r="I154" s="77">
        <v>18.975838</v>
      </c>
      <c r="J154" s="79">
        <v>2612</v>
      </c>
      <c r="K154" s="70"/>
      <c r="L154" s="77">
        <v>1.7179190479999999</v>
      </c>
      <c r="M154" s="78">
        <v>8.6508888412838743E-7</v>
      </c>
      <c r="N154" s="78">
        <f t="shared" si="3"/>
        <v>2.2190387441216801E-3</v>
      </c>
      <c r="O154" s="78">
        <f>L154/'סכום נכסי הקרן'!$C$42</f>
        <v>2.1247841095060674E-5</v>
      </c>
    </row>
    <row r="155" spans="2:15">
      <c r="B155" s="76" t="s">
        <v>1250</v>
      </c>
      <c r="C155" s="70" t="s">
        <v>1251</v>
      </c>
      <c r="D155" s="83" t="s">
        <v>1175</v>
      </c>
      <c r="E155" s="83" t="s">
        <v>1176</v>
      </c>
      <c r="F155" s="70" t="s">
        <v>1252</v>
      </c>
      <c r="G155" s="83" t="s">
        <v>1191</v>
      </c>
      <c r="H155" s="83" t="s">
        <v>156</v>
      </c>
      <c r="I155" s="77">
        <v>34.055149999999998</v>
      </c>
      <c r="J155" s="79">
        <v>4518</v>
      </c>
      <c r="K155" s="70"/>
      <c r="L155" s="77">
        <v>5.3328280719999999</v>
      </c>
      <c r="M155" s="78">
        <v>5.2777685652498558E-7</v>
      </c>
      <c r="N155" s="78">
        <f t="shared" si="3"/>
        <v>6.8884224325264721E-3</v>
      </c>
      <c r="O155" s="78">
        <f>L155/'סכום נכסי הקרן'!$C$42</f>
        <v>6.5958336973474658E-5</v>
      </c>
    </row>
    <row r="156" spans="2:15">
      <c r="B156" s="76" t="s">
        <v>1253</v>
      </c>
      <c r="C156" s="70" t="s">
        <v>1254</v>
      </c>
      <c r="D156" s="83" t="s">
        <v>1175</v>
      </c>
      <c r="E156" s="83" t="s">
        <v>1176</v>
      </c>
      <c r="F156" s="70" t="s">
        <v>1255</v>
      </c>
      <c r="G156" s="83" t="s">
        <v>1191</v>
      </c>
      <c r="H156" s="83" t="s">
        <v>156</v>
      </c>
      <c r="I156" s="77">
        <v>5.2706320000000009</v>
      </c>
      <c r="J156" s="79">
        <v>25622</v>
      </c>
      <c r="K156" s="70"/>
      <c r="L156" s="77">
        <v>4.6806296840000003</v>
      </c>
      <c r="M156" s="78">
        <v>1.0119186070343182E-7</v>
      </c>
      <c r="N156" s="78">
        <f t="shared" si="3"/>
        <v>6.0459767459787881E-3</v>
      </c>
      <c r="O156" s="78">
        <f>L156/'סכום נכסי הקרן'!$C$42</f>
        <v>5.7891712572975708E-5</v>
      </c>
    </row>
    <row r="157" spans="2:15">
      <c r="B157" s="73"/>
      <c r="C157" s="70"/>
      <c r="D157" s="70"/>
      <c r="E157" s="70"/>
      <c r="F157" s="70"/>
      <c r="G157" s="70"/>
      <c r="H157" s="70"/>
      <c r="I157" s="77"/>
      <c r="J157" s="79"/>
      <c r="K157" s="70"/>
      <c r="L157" s="70"/>
      <c r="M157" s="70"/>
      <c r="N157" s="78"/>
      <c r="O157" s="70"/>
    </row>
    <row r="158" spans="2:15">
      <c r="B158" s="89" t="s">
        <v>59</v>
      </c>
      <c r="C158" s="72"/>
      <c r="D158" s="72"/>
      <c r="E158" s="72"/>
      <c r="F158" s="72"/>
      <c r="G158" s="72"/>
      <c r="H158" s="72"/>
      <c r="I158" s="80"/>
      <c r="J158" s="82"/>
      <c r="K158" s="80">
        <v>6.9500062000000001E-2</v>
      </c>
      <c r="L158" s="80">
        <f>SUM(L159:L247)</f>
        <v>200.00338052199996</v>
      </c>
      <c r="M158" s="72"/>
      <c r="N158" s="81">
        <f t="shared" ref="N158:N226" si="4">L158/$L$11</f>
        <v>0.25834468210263961</v>
      </c>
      <c r="O158" s="81">
        <f>L158/'סכום נכסי הקרן'!$C$42</f>
        <v>2.4737137950439723E-3</v>
      </c>
    </row>
    <row r="159" spans="2:15">
      <c r="B159" s="76" t="s">
        <v>1256</v>
      </c>
      <c r="C159" s="70" t="s">
        <v>1257</v>
      </c>
      <c r="D159" s="83" t="s">
        <v>132</v>
      </c>
      <c r="E159" s="83" t="s">
        <v>1176</v>
      </c>
      <c r="F159" s="70"/>
      <c r="G159" s="83" t="s">
        <v>1185</v>
      </c>
      <c r="H159" s="83" t="s">
        <v>1258</v>
      </c>
      <c r="I159" s="77">
        <v>24.554568</v>
      </c>
      <c r="J159" s="79">
        <v>2133</v>
      </c>
      <c r="K159" s="70"/>
      <c r="L159" s="77">
        <v>1.907965025</v>
      </c>
      <c r="M159" s="78">
        <v>1.1325133252049594E-8</v>
      </c>
      <c r="N159" s="78">
        <f t="shared" si="4"/>
        <v>2.4645214323882913E-3</v>
      </c>
      <c r="O159" s="78">
        <f>L159/'סכום נכסי הקרן'!$C$42</f>
        <v>2.3598398139499217E-5</v>
      </c>
    </row>
    <row r="160" spans="2:15">
      <c r="B160" s="76" t="s">
        <v>1259</v>
      </c>
      <c r="C160" s="70" t="s">
        <v>1260</v>
      </c>
      <c r="D160" s="83" t="s">
        <v>26</v>
      </c>
      <c r="E160" s="83" t="s">
        <v>1176</v>
      </c>
      <c r="F160" s="70"/>
      <c r="G160" s="83" t="s">
        <v>1261</v>
      </c>
      <c r="H160" s="83" t="s">
        <v>158</v>
      </c>
      <c r="I160" s="77">
        <v>1.6730559999999999</v>
      </c>
      <c r="J160" s="79">
        <v>23350</v>
      </c>
      <c r="K160" s="70"/>
      <c r="L160" s="77">
        <v>1.516849119</v>
      </c>
      <c r="M160" s="78">
        <v>8.3479085865849175E-9</v>
      </c>
      <c r="N160" s="78">
        <f t="shared" si="4"/>
        <v>1.9593163996676501E-3</v>
      </c>
      <c r="O160" s="78">
        <f>L160/'סכום נכסי הקרן'!$C$42</f>
        <v>1.8760935844571169E-5</v>
      </c>
    </row>
    <row r="161" spans="2:15">
      <c r="B161" s="76" t="s">
        <v>1262</v>
      </c>
      <c r="C161" s="70" t="s">
        <v>1263</v>
      </c>
      <c r="D161" s="83" t="s">
        <v>26</v>
      </c>
      <c r="E161" s="83" t="s">
        <v>1176</v>
      </c>
      <c r="F161" s="70"/>
      <c r="G161" s="83" t="s">
        <v>1185</v>
      </c>
      <c r="H161" s="83" t="s">
        <v>158</v>
      </c>
      <c r="I161" s="77">
        <v>4.4793219999999998</v>
      </c>
      <c r="J161" s="79">
        <v>6352</v>
      </c>
      <c r="K161" s="70"/>
      <c r="L161" s="77">
        <v>1.1047596880000001</v>
      </c>
      <c r="M161" s="78">
        <v>5.7129491045553291E-9</v>
      </c>
      <c r="N161" s="78">
        <f t="shared" si="4"/>
        <v>1.4270198316211811E-3</v>
      </c>
      <c r="O161" s="78">
        <f>L161/'סכום נכסי הקרן'!$C$42</f>
        <v>1.366406544370117E-5</v>
      </c>
    </row>
    <row r="162" spans="2:15">
      <c r="B162" s="76" t="s">
        <v>1264</v>
      </c>
      <c r="C162" s="70" t="s">
        <v>1265</v>
      </c>
      <c r="D162" s="83" t="s">
        <v>1179</v>
      </c>
      <c r="E162" s="83" t="s">
        <v>1176</v>
      </c>
      <c r="F162" s="70"/>
      <c r="G162" s="83" t="s">
        <v>1202</v>
      </c>
      <c r="H162" s="83" t="s">
        <v>156</v>
      </c>
      <c r="I162" s="77">
        <v>2.8340620000000003</v>
      </c>
      <c r="J162" s="79">
        <v>21570</v>
      </c>
      <c r="K162" s="70"/>
      <c r="L162" s="77">
        <v>2.1187905160000002</v>
      </c>
      <c r="M162" s="78">
        <v>1.0564124455407397E-9</v>
      </c>
      <c r="N162" s="78">
        <f t="shared" si="4"/>
        <v>2.7368450516660008E-3</v>
      </c>
      <c r="O162" s="78">
        <f>L162/'סכום נכסי הקרן'!$C$42</f>
        <v>2.6205963692003731E-5</v>
      </c>
    </row>
    <row r="163" spans="2:15">
      <c r="B163" s="76" t="s">
        <v>1266</v>
      </c>
      <c r="C163" s="70" t="s">
        <v>1267</v>
      </c>
      <c r="D163" s="83" t="s">
        <v>1175</v>
      </c>
      <c r="E163" s="83" t="s">
        <v>1176</v>
      </c>
      <c r="F163" s="70"/>
      <c r="G163" s="83" t="s">
        <v>1268</v>
      </c>
      <c r="H163" s="83" t="s">
        <v>156</v>
      </c>
      <c r="I163" s="77">
        <v>2.1194890000000002</v>
      </c>
      <c r="J163" s="79">
        <v>141361</v>
      </c>
      <c r="K163" s="70"/>
      <c r="L163" s="77">
        <v>10.384591077</v>
      </c>
      <c r="M163" s="78">
        <v>6.3049578691872152E-9</v>
      </c>
      <c r="N163" s="78">
        <f t="shared" si="4"/>
        <v>1.3413792674661166E-2</v>
      </c>
      <c r="O163" s="78">
        <f>L163/'סכום נכסי הקרן'!$C$42</f>
        <v>1.2844036003801325E-4</v>
      </c>
    </row>
    <row r="164" spans="2:15">
      <c r="B164" s="76" t="s">
        <v>1269</v>
      </c>
      <c r="C164" s="70" t="s">
        <v>1270</v>
      </c>
      <c r="D164" s="83" t="s">
        <v>1175</v>
      </c>
      <c r="E164" s="83" t="s">
        <v>1176</v>
      </c>
      <c r="F164" s="70"/>
      <c r="G164" s="83" t="s">
        <v>1202</v>
      </c>
      <c r="H164" s="83" t="s">
        <v>156</v>
      </c>
      <c r="I164" s="77">
        <v>1.0940270000000001</v>
      </c>
      <c r="J164" s="79">
        <v>275882</v>
      </c>
      <c r="K164" s="70"/>
      <c r="L164" s="77">
        <v>10.461158374</v>
      </c>
      <c r="M164" s="78">
        <v>2.1934233600062003E-9</v>
      </c>
      <c r="N164" s="78">
        <f t="shared" si="4"/>
        <v>1.3512694772972188E-2</v>
      </c>
      <c r="O164" s="78">
        <f>L164/'סכום נכסי הקרן'!$C$42</f>
        <v>1.2938737192523132E-4</v>
      </c>
    </row>
    <row r="165" spans="2:15">
      <c r="B165" s="76" t="s">
        <v>1271</v>
      </c>
      <c r="C165" s="70" t="s">
        <v>1272</v>
      </c>
      <c r="D165" s="83" t="s">
        <v>1179</v>
      </c>
      <c r="E165" s="83" t="s">
        <v>1176</v>
      </c>
      <c r="F165" s="70"/>
      <c r="G165" s="83" t="s">
        <v>1273</v>
      </c>
      <c r="H165" s="83" t="s">
        <v>156</v>
      </c>
      <c r="I165" s="77">
        <v>2.5190899999999998</v>
      </c>
      <c r="J165" s="79">
        <v>9520</v>
      </c>
      <c r="K165" s="70"/>
      <c r="L165" s="77">
        <v>0.831206997</v>
      </c>
      <c r="M165" s="78">
        <v>3.1294151446720972E-9</v>
      </c>
      <c r="N165" s="78">
        <f t="shared" si="4"/>
        <v>1.0736713891585147E-3</v>
      </c>
      <c r="O165" s="78">
        <f>L165/'סכום נכסי הקרן'!$C$42</f>
        <v>1.0280667304969875E-5</v>
      </c>
    </row>
    <row r="166" spans="2:15">
      <c r="B166" s="76" t="s">
        <v>1274</v>
      </c>
      <c r="C166" s="70" t="s">
        <v>1275</v>
      </c>
      <c r="D166" s="83" t="s">
        <v>1179</v>
      </c>
      <c r="E166" s="83" t="s">
        <v>1176</v>
      </c>
      <c r="F166" s="70"/>
      <c r="G166" s="83" t="s">
        <v>1276</v>
      </c>
      <c r="H166" s="83" t="s">
        <v>156</v>
      </c>
      <c r="I166" s="77">
        <v>2.0742090000000002</v>
      </c>
      <c r="J166" s="79">
        <v>25854</v>
      </c>
      <c r="K166" s="77">
        <v>7.9081299999999993E-3</v>
      </c>
      <c r="L166" s="77">
        <v>1.866606247</v>
      </c>
      <c r="M166" s="78">
        <v>4.6789507818493513E-9</v>
      </c>
      <c r="N166" s="78">
        <f t="shared" si="4"/>
        <v>2.4110982336069671E-3</v>
      </c>
      <c r="O166" s="78">
        <f>L166/'סכום נכסי הקרן'!$C$42</f>
        <v>2.3086857887440789E-5</v>
      </c>
    </row>
    <row r="167" spans="2:15">
      <c r="B167" s="76" t="s">
        <v>1277</v>
      </c>
      <c r="C167" s="70" t="s">
        <v>1278</v>
      </c>
      <c r="D167" s="83" t="s">
        <v>1175</v>
      </c>
      <c r="E167" s="83" t="s">
        <v>1176</v>
      </c>
      <c r="F167" s="70"/>
      <c r="G167" s="83" t="s">
        <v>1208</v>
      </c>
      <c r="H167" s="83" t="s">
        <v>156</v>
      </c>
      <c r="I167" s="77">
        <v>6.1370740000000001</v>
      </c>
      <c r="J167" s="79">
        <v>36480</v>
      </c>
      <c r="K167" s="70"/>
      <c r="L167" s="77">
        <v>7.7596962210000004</v>
      </c>
      <c r="M167" s="78">
        <v>1.41592055067271E-9</v>
      </c>
      <c r="N167" s="78">
        <f t="shared" si="4"/>
        <v>1.0023211848695672E-2</v>
      </c>
      <c r="O167" s="78">
        <f>L167/'סכום נכסי הקרן'!$C$42</f>
        <v>9.5974715713001871E-5</v>
      </c>
    </row>
    <row r="168" spans="2:15">
      <c r="B168" s="76" t="s">
        <v>1279</v>
      </c>
      <c r="C168" s="70" t="s">
        <v>1280</v>
      </c>
      <c r="D168" s="83" t="s">
        <v>26</v>
      </c>
      <c r="E168" s="83" t="s">
        <v>1176</v>
      </c>
      <c r="F168" s="70"/>
      <c r="G168" s="83" t="s">
        <v>1276</v>
      </c>
      <c r="H168" s="83" t="s">
        <v>158</v>
      </c>
      <c r="I168" s="77">
        <v>195.84923999999998</v>
      </c>
      <c r="J168" s="79">
        <v>508.4</v>
      </c>
      <c r="K168" s="70"/>
      <c r="L168" s="77">
        <v>3.8660943940000001</v>
      </c>
      <c r="M168" s="78">
        <v>1.2747300235812561E-7</v>
      </c>
      <c r="N168" s="78">
        <f t="shared" si="4"/>
        <v>4.9938402270498766E-3</v>
      </c>
      <c r="O168" s="78">
        <f>L168/'סכום נכסי הקרן'!$C$42</f>
        <v>4.7817246940623535E-5</v>
      </c>
    </row>
    <row r="169" spans="2:15">
      <c r="B169" s="76" t="s">
        <v>1281</v>
      </c>
      <c r="C169" s="70" t="s">
        <v>1282</v>
      </c>
      <c r="D169" s="83" t="s">
        <v>26</v>
      </c>
      <c r="E169" s="83" t="s">
        <v>1176</v>
      </c>
      <c r="F169" s="70"/>
      <c r="G169" s="83" t="s">
        <v>1239</v>
      </c>
      <c r="H169" s="83" t="s">
        <v>158</v>
      </c>
      <c r="I169" s="77">
        <v>3.6393529999999998</v>
      </c>
      <c r="J169" s="79">
        <v>32690</v>
      </c>
      <c r="K169" s="70"/>
      <c r="L169" s="77">
        <v>4.619384728</v>
      </c>
      <c r="M169" s="78">
        <v>8.5499119738146503E-9</v>
      </c>
      <c r="N169" s="78">
        <f t="shared" si="4"/>
        <v>5.9668665397067007E-3</v>
      </c>
      <c r="O169" s="78">
        <f>L169/'סכום נכסי הקרן'!$C$42</f>
        <v>5.7134212914026713E-5</v>
      </c>
    </row>
    <row r="170" spans="2:15">
      <c r="B170" s="76" t="s">
        <v>1283</v>
      </c>
      <c r="C170" s="70" t="s">
        <v>1284</v>
      </c>
      <c r="D170" s="83" t="s">
        <v>1179</v>
      </c>
      <c r="E170" s="83" t="s">
        <v>1176</v>
      </c>
      <c r="F170" s="70"/>
      <c r="G170" s="83" t="s">
        <v>1285</v>
      </c>
      <c r="H170" s="83" t="s">
        <v>156</v>
      </c>
      <c r="I170" s="77">
        <v>3.8024</v>
      </c>
      <c r="J170" s="79">
        <v>6451</v>
      </c>
      <c r="K170" s="70"/>
      <c r="L170" s="77">
        <v>0.85018492800000012</v>
      </c>
      <c r="M170" s="78">
        <v>4.3547743898402645E-8</v>
      </c>
      <c r="N170" s="78">
        <f t="shared" si="4"/>
        <v>1.0981852125667225E-3</v>
      </c>
      <c r="O170" s="78">
        <f>L170/'סכום נכסי הקרן'!$C$42</f>
        <v>1.0515393186070315E-5</v>
      </c>
    </row>
    <row r="171" spans="2:15">
      <c r="B171" s="76" t="s">
        <v>1286</v>
      </c>
      <c r="C171" s="70" t="s">
        <v>1287</v>
      </c>
      <c r="D171" s="83" t="s">
        <v>1179</v>
      </c>
      <c r="E171" s="83" t="s">
        <v>1176</v>
      </c>
      <c r="F171" s="70"/>
      <c r="G171" s="83" t="s">
        <v>1288</v>
      </c>
      <c r="H171" s="83" t="s">
        <v>156</v>
      </c>
      <c r="I171" s="77">
        <v>38.233131999999998</v>
      </c>
      <c r="J171" s="79">
        <v>2375</v>
      </c>
      <c r="K171" s="70"/>
      <c r="L171" s="77">
        <v>3.1472558429999999</v>
      </c>
      <c r="M171" s="78">
        <v>4.4069670976675058E-9</v>
      </c>
      <c r="N171" s="78">
        <f t="shared" si="4"/>
        <v>4.0653153368378856E-3</v>
      </c>
      <c r="O171" s="78">
        <f>L171/'סכום נכסי הקרן'!$C$42</f>
        <v>3.8926393019169333E-5</v>
      </c>
    </row>
    <row r="172" spans="2:15">
      <c r="B172" s="76" t="s">
        <v>1289</v>
      </c>
      <c r="C172" s="70" t="s">
        <v>1290</v>
      </c>
      <c r="D172" s="83" t="s">
        <v>26</v>
      </c>
      <c r="E172" s="83" t="s">
        <v>1176</v>
      </c>
      <c r="F172" s="70"/>
      <c r="G172" s="83" t="s">
        <v>1285</v>
      </c>
      <c r="H172" s="83" t="s">
        <v>158</v>
      </c>
      <c r="I172" s="77">
        <v>4.08758</v>
      </c>
      <c r="J172" s="79">
        <v>5698</v>
      </c>
      <c r="K172" s="70"/>
      <c r="L172" s="77">
        <v>0.90434414500000004</v>
      </c>
      <c r="M172" s="78">
        <v>6.7900541850835635E-9</v>
      </c>
      <c r="N172" s="78">
        <f t="shared" si="4"/>
        <v>1.1681427585955697E-3</v>
      </c>
      <c r="O172" s="78">
        <f>L172/'סכום נכסי הקרן'!$C$42</f>
        <v>1.1185253874784739E-5</v>
      </c>
    </row>
    <row r="173" spans="2:15">
      <c r="B173" s="76" t="s">
        <v>1291</v>
      </c>
      <c r="C173" s="70" t="s">
        <v>1292</v>
      </c>
      <c r="D173" s="83" t="s">
        <v>1179</v>
      </c>
      <c r="E173" s="83" t="s">
        <v>1176</v>
      </c>
      <c r="F173" s="70"/>
      <c r="G173" s="83" t="s">
        <v>1273</v>
      </c>
      <c r="H173" s="83" t="s">
        <v>156</v>
      </c>
      <c r="I173" s="77">
        <v>1.5573109999999999</v>
      </c>
      <c r="J173" s="79">
        <v>54409</v>
      </c>
      <c r="K173" s="70"/>
      <c r="L173" s="77">
        <v>2.9368018019999997</v>
      </c>
      <c r="M173" s="78">
        <v>1.0216233286501771E-8</v>
      </c>
      <c r="N173" s="78">
        <f t="shared" si="4"/>
        <v>3.7934715201110958E-3</v>
      </c>
      <c r="O173" s="78">
        <f>L173/'סכום נכסי הקרן'!$C$42</f>
        <v>3.6323421693956227E-5</v>
      </c>
    </row>
    <row r="174" spans="2:15">
      <c r="B174" s="76" t="s">
        <v>1293</v>
      </c>
      <c r="C174" s="70" t="s">
        <v>1294</v>
      </c>
      <c r="D174" s="83" t="s">
        <v>1175</v>
      </c>
      <c r="E174" s="83" t="s">
        <v>1176</v>
      </c>
      <c r="F174" s="70"/>
      <c r="G174" s="83" t="s">
        <v>1202</v>
      </c>
      <c r="H174" s="83" t="s">
        <v>156</v>
      </c>
      <c r="I174" s="77">
        <v>0.161602</v>
      </c>
      <c r="J174" s="79">
        <v>159234</v>
      </c>
      <c r="K174" s="70"/>
      <c r="L174" s="77">
        <v>0.89188958900000004</v>
      </c>
      <c r="M174" s="78">
        <v>3.9481652387360737E-9</v>
      </c>
      <c r="N174" s="78">
        <f t="shared" si="4"/>
        <v>1.1520551889647372E-3</v>
      </c>
      <c r="O174" s="78">
        <f>L174/'סכום נכסי הקרן'!$C$42</f>
        <v>1.1031211443562139E-5</v>
      </c>
    </row>
    <row r="175" spans="2:15">
      <c r="B175" s="76" t="s">
        <v>1295</v>
      </c>
      <c r="C175" s="70" t="s">
        <v>1296</v>
      </c>
      <c r="D175" s="83" t="s">
        <v>1179</v>
      </c>
      <c r="E175" s="83" t="s">
        <v>1176</v>
      </c>
      <c r="F175" s="70"/>
      <c r="G175" s="83" t="s">
        <v>1185</v>
      </c>
      <c r="H175" s="83" t="s">
        <v>156</v>
      </c>
      <c r="I175" s="77">
        <v>3.5175999999999998</v>
      </c>
      <c r="J175" s="79">
        <v>12650</v>
      </c>
      <c r="K175" s="70"/>
      <c r="L175" s="77">
        <v>1.5422883079999998</v>
      </c>
      <c r="M175" s="78">
        <v>6.499158337193517E-9</v>
      </c>
      <c r="N175" s="78">
        <f t="shared" si="4"/>
        <v>1.9921762402263501E-3</v>
      </c>
      <c r="O175" s="78">
        <f>L175/'סכום נכסי הקרן'!$C$42</f>
        <v>1.9075576890136436E-5</v>
      </c>
    </row>
    <row r="176" spans="2:15">
      <c r="B176" s="76" t="s">
        <v>1297</v>
      </c>
      <c r="C176" s="70" t="s">
        <v>1298</v>
      </c>
      <c r="D176" s="83" t="s">
        <v>1299</v>
      </c>
      <c r="E176" s="83" t="s">
        <v>1176</v>
      </c>
      <c r="F176" s="70"/>
      <c r="G176" s="83" t="s">
        <v>1300</v>
      </c>
      <c r="H176" s="83" t="s">
        <v>158</v>
      </c>
      <c r="I176" s="77">
        <v>8.8025559999999992</v>
      </c>
      <c r="J176" s="79">
        <v>5424</v>
      </c>
      <c r="K176" s="70"/>
      <c r="L176" s="77">
        <v>1.8538453349999999</v>
      </c>
      <c r="M176" s="78">
        <v>2.2844406853699917E-8</v>
      </c>
      <c r="N176" s="78">
        <f t="shared" si="4"/>
        <v>2.3946149434476934E-3</v>
      </c>
      <c r="O176" s="78">
        <f>L176/'סכום נכסי הקרן'!$C$42</f>
        <v>2.2929026334947257E-5</v>
      </c>
    </row>
    <row r="177" spans="2:15">
      <c r="B177" s="76" t="s">
        <v>1301</v>
      </c>
      <c r="C177" s="70" t="s">
        <v>1302</v>
      </c>
      <c r="D177" s="83" t="s">
        <v>1179</v>
      </c>
      <c r="E177" s="83" t="s">
        <v>1176</v>
      </c>
      <c r="F177" s="70"/>
      <c r="G177" s="83" t="s">
        <v>1303</v>
      </c>
      <c r="H177" s="83" t="s">
        <v>156</v>
      </c>
      <c r="I177" s="77">
        <v>4.3727600000000004</v>
      </c>
      <c r="J177" s="79">
        <v>6355</v>
      </c>
      <c r="K177" s="70"/>
      <c r="L177" s="77">
        <v>0.96316292000000003</v>
      </c>
      <c r="M177" s="78">
        <v>7.5505748181488516E-9</v>
      </c>
      <c r="N177" s="78">
        <f t="shared" si="4"/>
        <v>1.2441190630429347E-3</v>
      </c>
      <c r="O177" s="78">
        <f>L177/'סכום נכסי הקרן'!$C$42</f>
        <v>1.1912745653900355E-5</v>
      </c>
    </row>
    <row r="178" spans="2:15">
      <c r="B178" s="76" t="s">
        <v>1304</v>
      </c>
      <c r="C178" s="70" t="s">
        <v>1305</v>
      </c>
      <c r="D178" s="83" t="s">
        <v>1175</v>
      </c>
      <c r="E178" s="83" t="s">
        <v>1176</v>
      </c>
      <c r="F178" s="70"/>
      <c r="G178" s="83" t="s">
        <v>1208</v>
      </c>
      <c r="H178" s="83" t="s">
        <v>156</v>
      </c>
      <c r="I178" s="77">
        <v>10.684744</v>
      </c>
      <c r="J178" s="79">
        <v>4664</v>
      </c>
      <c r="K178" s="70"/>
      <c r="L178" s="77">
        <v>1.7272341710000003</v>
      </c>
      <c r="M178" s="78">
        <v>2.5305529240082433E-9</v>
      </c>
      <c r="N178" s="78">
        <f t="shared" si="4"/>
        <v>2.2310711031943179E-3</v>
      </c>
      <c r="O178" s="78">
        <f>L178/'סכום נכסי הקרן'!$C$42</f>
        <v>2.1363053889001912E-5</v>
      </c>
    </row>
    <row r="179" spans="2:15">
      <c r="B179" s="76" t="s">
        <v>1306</v>
      </c>
      <c r="C179" s="70" t="s">
        <v>1307</v>
      </c>
      <c r="D179" s="83" t="s">
        <v>1179</v>
      </c>
      <c r="E179" s="83" t="s">
        <v>1176</v>
      </c>
      <c r="F179" s="70"/>
      <c r="G179" s="83" t="s">
        <v>1288</v>
      </c>
      <c r="H179" s="83" t="s">
        <v>156</v>
      </c>
      <c r="I179" s="77">
        <v>16.44538</v>
      </c>
      <c r="J179" s="79">
        <v>5110</v>
      </c>
      <c r="K179" s="70"/>
      <c r="L179" s="77">
        <v>2.91268401</v>
      </c>
      <c r="M179" s="78">
        <v>7.8995965030262271E-9</v>
      </c>
      <c r="N179" s="78">
        <f t="shared" si="4"/>
        <v>3.7623185301416482E-3</v>
      </c>
      <c r="O179" s="78">
        <f>L179/'סכום נכסי הקרן'!$C$42</f>
        <v>3.602512416208107E-5</v>
      </c>
    </row>
    <row r="180" spans="2:15">
      <c r="B180" s="76" t="s">
        <v>1308</v>
      </c>
      <c r="C180" s="70" t="s">
        <v>1309</v>
      </c>
      <c r="D180" s="83" t="s">
        <v>26</v>
      </c>
      <c r="E180" s="83" t="s">
        <v>1176</v>
      </c>
      <c r="F180" s="70"/>
      <c r="G180" s="83" t="s">
        <v>1185</v>
      </c>
      <c r="H180" s="83" t="s">
        <v>158</v>
      </c>
      <c r="I180" s="77">
        <v>11.4072</v>
      </c>
      <c r="J180" s="79">
        <v>3205</v>
      </c>
      <c r="K180" s="70"/>
      <c r="L180" s="77">
        <v>1.419554631</v>
      </c>
      <c r="M180" s="78">
        <v>2.0942796055715394E-8</v>
      </c>
      <c r="N180" s="78">
        <f t="shared" si="4"/>
        <v>1.8336409560471647E-3</v>
      </c>
      <c r="O180" s="78">
        <f>L180/'סכום נכסי הקרן'!$C$42</f>
        <v>1.7557562598983122E-5</v>
      </c>
    </row>
    <row r="181" spans="2:15">
      <c r="B181" s="76" t="s">
        <v>1310</v>
      </c>
      <c r="C181" s="70" t="s">
        <v>1311</v>
      </c>
      <c r="D181" s="83" t="s">
        <v>1179</v>
      </c>
      <c r="E181" s="83" t="s">
        <v>1176</v>
      </c>
      <c r="F181" s="70"/>
      <c r="G181" s="83" t="s">
        <v>1276</v>
      </c>
      <c r="H181" s="83" t="s">
        <v>156</v>
      </c>
      <c r="I181" s="77">
        <v>2.2814399999999999</v>
      </c>
      <c r="J181" s="79">
        <v>16735</v>
      </c>
      <c r="K181" s="70"/>
      <c r="L181" s="77">
        <v>1.323315279</v>
      </c>
      <c r="M181" s="78">
        <v>5.4743449707394982E-9</v>
      </c>
      <c r="N181" s="78">
        <f t="shared" si="4"/>
        <v>1.7093284332622353E-3</v>
      </c>
      <c r="O181" s="78">
        <f>L181/'סכום נכסי הקרן'!$C$42</f>
        <v>1.636723965520515E-5</v>
      </c>
    </row>
    <row r="182" spans="2:15">
      <c r="B182" s="76" t="s">
        <v>1312</v>
      </c>
      <c r="C182" s="70" t="s">
        <v>1313</v>
      </c>
      <c r="D182" s="83" t="s">
        <v>26</v>
      </c>
      <c r="E182" s="83" t="s">
        <v>1176</v>
      </c>
      <c r="F182" s="70"/>
      <c r="G182" s="83" t="s">
        <v>1314</v>
      </c>
      <c r="H182" s="83" t="s">
        <v>158</v>
      </c>
      <c r="I182" s="77">
        <v>12.210305</v>
      </c>
      <c r="J182" s="79">
        <v>3270</v>
      </c>
      <c r="K182" s="70"/>
      <c r="L182" s="77">
        <v>1.550312621</v>
      </c>
      <c r="M182" s="78">
        <v>9.8748388645079785E-9</v>
      </c>
      <c r="N182" s="78">
        <f t="shared" si="4"/>
        <v>2.0025412579858827E-3</v>
      </c>
      <c r="O182" s="78">
        <f>L182/'סכום נכסי הקרן'!$C$42</f>
        <v>1.9174824481412365E-5</v>
      </c>
    </row>
    <row r="183" spans="2:15">
      <c r="B183" s="76" t="s">
        <v>1315</v>
      </c>
      <c r="C183" s="70" t="s">
        <v>1316</v>
      </c>
      <c r="D183" s="83" t="s">
        <v>1179</v>
      </c>
      <c r="E183" s="83" t="s">
        <v>1176</v>
      </c>
      <c r="F183" s="70"/>
      <c r="G183" s="83" t="s">
        <v>1202</v>
      </c>
      <c r="H183" s="83" t="s">
        <v>156</v>
      </c>
      <c r="I183" s="77">
        <v>0.85553999999999997</v>
      </c>
      <c r="J183" s="79">
        <v>19051</v>
      </c>
      <c r="K183" s="70"/>
      <c r="L183" s="77">
        <v>0.56491961499999999</v>
      </c>
      <c r="M183" s="78">
        <v>3.3987517363810021E-9</v>
      </c>
      <c r="N183" s="78">
        <f t="shared" si="4"/>
        <v>7.297075577913396E-4</v>
      </c>
      <c r="O183" s="78">
        <f>L183/'סכום נכסי הקרן'!$C$42</f>
        <v>6.987129122863567E-6</v>
      </c>
    </row>
    <row r="184" spans="2:15">
      <c r="B184" s="76" t="s">
        <v>1317</v>
      </c>
      <c r="C184" s="70" t="s">
        <v>1318</v>
      </c>
      <c r="D184" s="83" t="s">
        <v>26</v>
      </c>
      <c r="E184" s="83" t="s">
        <v>1176</v>
      </c>
      <c r="F184" s="70"/>
      <c r="G184" s="83" t="s">
        <v>1185</v>
      </c>
      <c r="H184" s="83" t="s">
        <v>158</v>
      </c>
      <c r="I184" s="77">
        <v>5.7982800000000001</v>
      </c>
      <c r="J184" s="79">
        <v>8140</v>
      </c>
      <c r="K184" s="70"/>
      <c r="L184" s="77">
        <v>1.8326038370000002</v>
      </c>
      <c r="M184" s="78">
        <v>5.8214561483596035E-8</v>
      </c>
      <c r="N184" s="78">
        <f t="shared" si="4"/>
        <v>2.367177266975069E-3</v>
      </c>
      <c r="O184" s="78">
        <f>L184/'סכום נכסי הקרן'!$C$42</f>
        <v>2.2666303842493093E-5</v>
      </c>
    </row>
    <row r="185" spans="2:15">
      <c r="B185" s="76" t="s">
        <v>1197</v>
      </c>
      <c r="C185" s="70" t="s">
        <v>1198</v>
      </c>
      <c r="D185" s="83" t="s">
        <v>116</v>
      </c>
      <c r="E185" s="83" t="s">
        <v>1176</v>
      </c>
      <c r="F185" s="70"/>
      <c r="G185" s="83" t="s">
        <v>139</v>
      </c>
      <c r="H185" s="83" t="s">
        <v>159</v>
      </c>
      <c r="I185" s="77">
        <v>98.137766999999997</v>
      </c>
      <c r="J185" s="79">
        <v>615</v>
      </c>
      <c r="K185" s="70"/>
      <c r="L185" s="77">
        <v>2.5675504199999999</v>
      </c>
      <c r="M185" s="78">
        <v>5.5417073904466084E-7</v>
      </c>
      <c r="N185" s="78">
        <f>L185/$L$11</f>
        <v>3.3165089275300312E-3</v>
      </c>
      <c r="O185" s="78">
        <f>L185/'סכום נכסי הקרן'!$C$42</f>
        <v>3.175638770128841E-5</v>
      </c>
    </row>
    <row r="186" spans="2:15">
      <c r="B186" s="76" t="s">
        <v>1319</v>
      </c>
      <c r="C186" s="70" t="s">
        <v>1320</v>
      </c>
      <c r="D186" s="83" t="s">
        <v>1175</v>
      </c>
      <c r="E186" s="83" t="s">
        <v>1176</v>
      </c>
      <c r="F186" s="70"/>
      <c r="G186" s="83" t="s">
        <v>1276</v>
      </c>
      <c r="H186" s="83" t="s">
        <v>156</v>
      </c>
      <c r="I186" s="77">
        <v>1.087486</v>
      </c>
      <c r="J186" s="79">
        <v>70230</v>
      </c>
      <c r="K186" s="70"/>
      <c r="L186" s="77">
        <v>2.6471287280000002</v>
      </c>
      <c r="M186" s="78">
        <v>1.228595611840583E-8</v>
      </c>
      <c r="N186" s="78">
        <f t="shared" si="4"/>
        <v>3.4193003534992768E-3</v>
      </c>
      <c r="O186" s="78">
        <f>L186/'סכום נכסי הקרן'!$C$42</f>
        <v>3.2740640856270484E-5</v>
      </c>
    </row>
    <row r="187" spans="2:15">
      <c r="B187" s="76" t="s">
        <v>1321</v>
      </c>
      <c r="C187" s="70" t="s">
        <v>1322</v>
      </c>
      <c r="D187" s="83" t="s">
        <v>26</v>
      </c>
      <c r="E187" s="83" t="s">
        <v>1176</v>
      </c>
      <c r="F187" s="70"/>
      <c r="G187" s="83" t="s">
        <v>1208</v>
      </c>
      <c r="H187" s="83" t="s">
        <v>163</v>
      </c>
      <c r="I187" s="77">
        <v>62.133136000000007</v>
      </c>
      <c r="J187" s="79">
        <v>8616</v>
      </c>
      <c r="K187" s="70"/>
      <c r="L187" s="77">
        <v>1.97861332</v>
      </c>
      <c r="M187" s="78">
        <v>2.0223024966609187E-8</v>
      </c>
      <c r="N187" s="78">
        <f t="shared" si="4"/>
        <v>2.5557779464793666E-3</v>
      </c>
      <c r="O187" s="78">
        <f>L187/'סכום נכסי הקרן'!$C$42</f>
        <v>2.4472201679627943E-5</v>
      </c>
    </row>
    <row r="188" spans="2:15">
      <c r="B188" s="76" t="s">
        <v>1323</v>
      </c>
      <c r="C188" s="70" t="s">
        <v>1324</v>
      </c>
      <c r="D188" s="83" t="s">
        <v>1179</v>
      </c>
      <c r="E188" s="83" t="s">
        <v>1176</v>
      </c>
      <c r="F188" s="70"/>
      <c r="G188" s="83" t="s">
        <v>1325</v>
      </c>
      <c r="H188" s="83" t="s">
        <v>156</v>
      </c>
      <c r="I188" s="77">
        <v>2.1863800000000002</v>
      </c>
      <c r="J188" s="79">
        <v>18868</v>
      </c>
      <c r="K188" s="70"/>
      <c r="L188" s="77">
        <v>1.4298157339999999</v>
      </c>
      <c r="M188" s="78">
        <v>9.7274822087532433E-9</v>
      </c>
      <c r="N188" s="78">
        <f t="shared" si="4"/>
        <v>1.8468952389779766E-3</v>
      </c>
      <c r="O188" s="78">
        <f>L188/'סכום נכסי הקרן'!$C$42</f>
        <v>1.7684475614039261E-5</v>
      </c>
    </row>
    <row r="189" spans="2:15">
      <c r="B189" s="76" t="s">
        <v>1326</v>
      </c>
      <c r="C189" s="70" t="s">
        <v>1327</v>
      </c>
      <c r="D189" s="83" t="s">
        <v>1175</v>
      </c>
      <c r="E189" s="83" t="s">
        <v>1176</v>
      </c>
      <c r="F189" s="70"/>
      <c r="G189" s="83" t="s">
        <v>1268</v>
      </c>
      <c r="H189" s="83" t="s">
        <v>156</v>
      </c>
      <c r="I189" s="77">
        <v>10.705657</v>
      </c>
      <c r="J189" s="79">
        <v>22707</v>
      </c>
      <c r="K189" s="70"/>
      <c r="L189" s="77">
        <v>8.4256157900000002</v>
      </c>
      <c r="M189" s="78">
        <v>4.4480836025193611E-9</v>
      </c>
      <c r="N189" s="78">
        <f t="shared" si="4"/>
        <v>1.0883381206384643E-2</v>
      </c>
      <c r="O189" s="78">
        <f>L189/'סכום נכסי הקרן'!$C$42</f>
        <v>1.0421104861860412E-4</v>
      </c>
    </row>
    <row r="190" spans="2:15">
      <c r="B190" s="76" t="s">
        <v>1328</v>
      </c>
      <c r="C190" s="70" t="s">
        <v>1329</v>
      </c>
      <c r="D190" s="83" t="s">
        <v>1179</v>
      </c>
      <c r="E190" s="83" t="s">
        <v>1176</v>
      </c>
      <c r="F190" s="70"/>
      <c r="G190" s="83" t="s">
        <v>1314</v>
      </c>
      <c r="H190" s="83" t="s">
        <v>156</v>
      </c>
      <c r="I190" s="77">
        <v>1.9012</v>
      </c>
      <c r="J190" s="79">
        <v>14022</v>
      </c>
      <c r="K190" s="77">
        <v>4.2832130000000001E-3</v>
      </c>
      <c r="L190" s="77">
        <v>0.92827120500000004</v>
      </c>
      <c r="M190" s="78">
        <v>7.2773267302936167E-9</v>
      </c>
      <c r="N190" s="78">
        <f t="shared" si="4"/>
        <v>1.1990493797397598E-3</v>
      </c>
      <c r="O190" s="78">
        <f>L190/'סכום נכסי הקרן'!$C$42</f>
        <v>1.1481192364636085E-5</v>
      </c>
    </row>
    <row r="191" spans="2:15">
      <c r="B191" s="76" t="s">
        <v>1330</v>
      </c>
      <c r="C191" s="70" t="s">
        <v>1331</v>
      </c>
      <c r="D191" s="83" t="s">
        <v>26</v>
      </c>
      <c r="E191" s="83" t="s">
        <v>1176</v>
      </c>
      <c r="F191" s="70"/>
      <c r="G191" s="83" t="s">
        <v>1285</v>
      </c>
      <c r="H191" s="83" t="s">
        <v>158</v>
      </c>
      <c r="I191" s="77">
        <v>1.4258999999999999</v>
      </c>
      <c r="J191" s="79">
        <v>15185</v>
      </c>
      <c r="K191" s="70"/>
      <c r="L191" s="77">
        <v>0.84071517400000018</v>
      </c>
      <c r="M191" s="78">
        <v>7.7180854406510409E-9</v>
      </c>
      <c r="N191" s="78">
        <f t="shared" si="4"/>
        <v>1.0859531163874728E-3</v>
      </c>
      <c r="O191" s="78">
        <f>L191/'סכום נכסי הקרן'!$C$42</f>
        <v>1.0398267860266654E-5</v>
      </c>
    </row>
    <row r="192" spans="2:15">
      <c r="B192" s="76" t="s">
        <v>1332</v>
      </c>
      <c r="C192" s="70" t="s">
        <v>1333</v>
      </c>
      <c r="D192" s="83" t="s">
        <v>1299</v>
      </c>
      <c r="E192" s="83" t="s">
        <v>1176</v>
      </c>
      <c r="F192" s="70"/>
      <c r="G192" s="83" t="s">
        <v>1185</v>
      </c>
      <c r="H192" s="83" t="s">
        <v>158</v>
      </c>
      <c r="I192" s="77">
        <v>20.532959999999999</v>
      </c>
      <c r="J192" s="79">
        <v>2370</v>
      </c>
      <c r="K192" s="70"/>
      <c r="L192" s="77">
        <v>1.889491437</v>
      </c>
      <c r="M192" s="78">
        <v>2.7696699312100757E-8</v>
      </c>
      <c r="N192" s="78">
        <f t="shared" si="4"/>
        <v>2.4406590696287272E-3</v>
      </c>
      <c r="O192" s="78">
        <f>L192/'סכום נכסי הקרן'!$C$42</f>
        <v>2.3369910154144728E-5</v>
      </c>
    </row>
    <row r="193" spans="2:15">
      <c r="B193" s="76" t="s">
        <v>1334</v>
      </c>
      <c r="C193" s="70" t="s">
        <v>1335</v>
      </c>
      <c r="D193" s="83" t="s">
        <v>1179</v>
      </c>
      <c r="E193" s="83" t="s">
        <v>1176</v>
      </c>
      <c r="F193" s="70"/>
      <c r="G193" s="83" t="s">
        <v>1285</v>
      </c>
      <c r="H193" s="83" t="s">
        <v>156</v>
      </c>
      <c r="I193" s="77">
        <v>9.5060000000000002</v>
      </c>
      <c r="J193" s="79">
        <v>2530</v>
      </c>
      <c r="K193" s="70"/>
      <c r="L193" s="77">
        <v>0.83357923900000019</v>
      </c>
      <c r="M193" s="78">
        <v>6.6425520644223074E-9</v>
      </c>
      <c r="N193" s="78">
        <f t="shared" si="4"/>
        <v>1.0767356178918543E-3</v>
      </c>
      <c r="O193" s="78">
        <f>L193/'סכום נכסי הקרן'!$C$42</f>
        <v>1.0310008047837658E-5</v>
      </c>
    </row>
    <row r="194" spans="2:15">
      <c r="B194" s="76" t="s">
        <v>1336</v>
      </c>
      <c r="C194" s="70" t="s">
        <v>1337</v>
      </c>
      <c r="D194" s="83" t="s">
        <v>1179</v>
      </c>
      <c r="E194" s="83" t="s">
        <v>1176</v>
      </c>
      <c r="F194" s="70"/>
      <c r="G194" s="83" t="s">
        <v>1273</v>
      </c>
      <c r="H194" s="83" t="s">
        <v>156</v>
      </c>
      <c r="I194" s="77">
        <v>1.718685</v>
      </c>
      <c r="J194" s="79">
        <v>19762</v>
      </c>
      <c r="K194" s="70"/>
      <c r="L194" s="77">
        <v>1.177214735</v>
      </c>
      <c r="M194" s="78">
        <v>4.9978250242262283E-9</v>
      </c>
      <c r="N194" s="78">
        <f t="shared" si="4"/>
        <v>1.5206101301205996E-3</v>
      </c>
      <c r="O194" s="78">
        <f>L194/'סכום נכסי הקרן'!$C$42</f>
        <v>1.4560215542847837E-5</v>
      </c>
    </row>
    <row r="195" spans="2:15">
      <c r="B195" s="76" t="s">
        <v>1338</v>
      </c>
      <c r="C195" s="70" t="s">
        <v>1339</v>
      </c>
      <c r="D195" s="83" t="s">
        <v>1179</v>
      </c>
      <c r="E195" s="83" t="s">
        <v>1176</v>
      </c>
      <c r="F195" s="70"/>
      <c r="G195" s="83" t="s">
        <v>1202</v>
      </c>
      <c r="H195" s="83" t="s">
        <v>156</v>
      </c>
      <c r="I195" s="77">
        <v>2.1863800000000002</v>
      </c>
      <c r="J195" s="79">
        <v>25051</v>
      </c>
      <c r="K195" s="70"/>
      <c r="L195" s="77">
        <v>1.8983630459999998</v>
      </c>
      <c r="M195" s="78">
        <v>2.0328531090782529E-9</v>
      </c>
      <c r="N195" s="78">
        <f t="shared" si="4"/>
        <v>2.4521185409679719E-3</v>
      </c>
      <c r="O195" s="78">
        <f>L195/'סכום נכסי הקרן'!$C$42</f>
        <v>2.3479637407305441E-5</v>
      </c>
    </row>
    <row r="196" spans="2:15">
      <c r="B196" s="76" t="s">
        <v>1340</v>
      </c>
      <c r="C196" s="70" t="s">
        <v>1341</v>
      </c>
      <c r="D196" s="83" t="s">
        <v>1299</v>
      </c>
      <c r="E196" s="83" t="s">
        <v>1176</v>
      </c>
      <c r="F196" s="70"/>
      <c r="G196" s="83" t="s">
        <v>1202</v>
      </c>
      <c r="H196" s="83" t="s">
        <v>158</v>
      </c>
      <c r="I196" s="77">
        <v>13.308400000000001</v>
      </c>
      <c r="J196" s="79">
        <v>2357</v>
      </c>
      <c r="K196" s="70"/>
      <c r="L196" s="77">
        <v>1.2179527749999999</v>
      </c>
      <c r="M196" s="78">
        <v>4.2700949608746821E-9</v>
      </c>
      <c r="N196" s="78">
        <f t="shared" si="4"/>
        <v>1.5732315206481808E-3</v>
      </c>
      <c r="O196" s="78">
        <f>L196/'סכום נכסי הקרן'!$C$42</f>
        <v>1.5064078283907697E-5</v>
      </c>
    </row>
    <row r="197" spans="2:15">
      <c r="B197" s="76" t="s">
        <v>1342</v>
      </c>
      <c r="C197" s="70" t="s">
        <v>1343</v>
      </c>
      <c r="D197" s="83" t="s">
        <v>26</v>
      </c>
      <c r="E197" s="83" t="s">
        <v>1176</v>
      </c>
      <c r="F197" s="70"/>
      <c r="G197" s="83" t="s">
        <v>1239</v>
      </c>
      <c r="H197" s="83" t="s">
        <v>158</v>
      </c>
      <c r="I197" s="77">
        <v>11.4072</v>
      </c>
      <c r="J197" s="79">
        <v>2097</v>
      </c>
      <c r="K197" s="70"/>
      <c r="L197" s="77">
        <v>0.92880064299999998</v>
      </c>
      <c r="M197" s="78">
        <v>8.7349838185519769E-9</v>
      </c>
      <c r="N197" s="78">
        <f t="shared" si="4"/>
        <v>1.1997332556394876E-3</v>
      </c>
      <c r="O197" s="78">
        <f>L197/'סכום נכסי הקרן'!$C$42</f>
        <v>1.1487740644374168E-5</v>
      </c>
    </row>
    <row r="198" spans="2:15">
      <c r="B198" s="76" t="s">
        <v>1344</v>
      </c>
      <c r="C198" s="70" t="s">
        <v>1345</v>
      </c>
      <c r="D198" s="83" t="s">
        <v>1175</v>
      </c>
      <c r="E198" s="83" t="s">
        <v>1176</v>
      </c>
      <c r="F198" s="70"/>
      <c r="G198" s="83" t="s">
        <v>1239</v>
      </c>
      <c r="H198" s="83" t="s">
        <v>156</v>
      </c>
      <c r="I198" s="77">
        <v>4.1826400000000001</v>
      </c>
      <c r="J198" s="79">
        <v>5983</v>
      </c>
      <c r="K198" s="70"/>
      <c r="L198" s="77">
        <v>0.86735731900000002</v>
      </c>
      <c r="M198" s="78">
        <v>9.8786962683042052E-10</v>
      </c>
      <c r="N198" s="78">
        <f t="shared" si="4"/>
        <v>1.1203668171088977E-3</v>
      </c>
      <c r="O198" s="78">
        <f>L198/'סכום נכסי הקרן'!$C$42</f>
        <v>1.0727787498605028E-5</v>
      </c>
    </row>
    <row r="199" spans="2:15">
      <c r="B199" s="76" t="s">
        <v>1203</v>
      </c>
      <c r="C199" s="70" t="s">
        <v>1204</v>
      </c>
      <c r="D199" s="83" t="s">
        <v>1179</v>
      </c>
      <c r="E199" s="83" t="s">
        <v>1176</v>
      </c>
      <c r="F199" s="70"/>
      <c r="G199" s="83" t="s">
        <v>665</v>
      </c>
      <c r="H199" s="83" t="s">
        <v>156</v>
      </c>
      <c r="I199" s="77">
        <v>8.5587660000000003</v>
      </c>
      <c r="J199" s="79">
        <v>12246</v>
      </c>
      <c r="K199" s="77">
        <v>2.2248512000000002E-2</v>
      </c>
      <c r="L199" s="77">
        <v>3.6549855870000001</v>
      </c>
      <c r="M199" s="78">
        <v>8.0099900474626644E-8</v>
      </c>
      <c r="N199" s="78">
        <f>L199/$L$11</f>
        <v>4.7211506480480695E-3</v>
      </c>
      <c r="O199" s="78">
        <f>L199/'סכום נכסי הקרן'!$C$42</f>
        <v>4.5206177233860591E-5</v>
      </c>
    </row>
    <row r="200" spans="2:15">
      <c r="B200" s="76" t="s">
        <v>1346</v>
      </c>
      <c r="C200" s="70" t="s">
        <v>1347</v>
      </c>
      <c r="D200" s="83" t="s">
        <v>1179</v>
      </c>
      <c r="E200" s="83" t="s">
        <v>1176</v>
      </c>
      <c r="F200" s="70"/>
      <c r="G200" s="83" t="s">
        <v>150</v>
      </c>
      <c r="H200" s="83" t="s">
        <v>156</v>
      </c>
      <c r="I200" s="77">
        <v>2.8603550000000002</v>
      </c>
      <c r="J200" s="79">
        <v>9160</v>
      </c>
      <c r="K200" s="70"/>
      <c r="L200" s="77">
        <v>0.90812165</v>
      </c>
      <c r="M200" s="78">
        <v>5.2270485789279023E-9</v>
      </c>
      <c r="N200" s="78">
        <f t="shared" si="4"/>
        <v>1.17302216776265E-3</v>
      </c>
      <c r="O200" s="78">
        <f>L200/'סכום נכסי הקרן'!$C$42</f>
        <v>1.1231975416215483E-5</v>
      </c>
    </row>
    <row r="201" spans="2:15">
      <c r="B201" s="76" t="s">
        <v>1348</v>
      </c>
      <c r="C201" s="70" t="s">
        <v>1349</v>
      </c>
      <c r="D201" s="83" t="s">
        <v>1179</v>
      </c>
      <c r="E201" s="83" t="s">
        <v>1176</v>
      </c>
      <c r="F201" s="70"/>
      <c r="G201" s="83" t="s">
        <v>1288</v>
      </c>
      <c r="H201" s="83" t="s">
        <v>156</v>
      </c>
      <c r="I201" s="77">
        <v>10.675238</v>
      </c>
      <c r="J201" s="79">
        <v>9406</v>
      </c>
      <c r="K201" s="70"/>
      <c r="L201" s="77">
        <v>3.4802552639999997</v>
      </c>
      <c r="M201" s="78">
        <v>3.5034978176831064E-9</v>
      </c>
      <c r="N201" s="78">
        <f t="shared" si="4"/>
        <v>4.4954512142119435E-3</v>
      </c>
      <c r="O201" s="78">
        <f>L201/'סכום נכסי הקרן'!$C$42</f>
        <v>4.3045049710468332E-5</v>
      </c>
    </row>
    <row r="202" spans="2:15">
      <c r="B202" s="76" t="s">
        <v>1350</v>
      </c>
      <c r="C202" s="70" t="s">
        <v>1351</v>
      </c>
      <c r="D202" s="83" t="s">
        <v>1179</v>
      </c>
      <c r="E202" s="83" t="s">
        <v>1176</v>
      </c>
      <c r="F202" s="70"/>
      <c r="G202" s="83" t="s">
        <v>1185</v>
      </c>
      <c r="H202" s="83" t="s">
        <v>156</v>
      </c>
      <c r="I202" s="77">
        <v>1.33084</v>
      </c>
      <c r="J202" s="79">
        <v>16967</v>
      </c>
      <c r="K202" s="70"/>
      <c r="L202" s="77">
        <v>0.78263535699999986</v>
      </c>
      <c r="M202" s="78">
        <v>6.1649970069996652E-9</v>
      </c>
      <c r="N202" s="78">
        <f t="shared" si="4"/>
        <v>1.0109313251543284E-3</v>
      </c>
      <c r="O202" s="78">
        <f>L202/'סכום נכסי הקרן'!$C$42</f>
        <v>9.6799157796590653E-6</v>
      </c>
    </row>
    <row r="203" spans="2:15">
      <c r="B203" s="76" t="s">
        <v>1352</v>
      </c>
      <c r="C203" s="70" t="s">
        <v>1353</v>
      </c>
      <c r="D203" s="83" t="s">
        <v>26</v>
      </c>
      <c r="E203" s="83" t="s">
        <v>1176</v>
      </c>
      <c r="F203" s="70"/>
      <c r="G203" s="83" t="s">
        <v>1276</v>
      </c>
      <c r="H203" s="83" t="s">
        <v>158</v>
      </c>
      <c r="I203" s="77">
        <v>2.8517999999999999</v>
      </c>
      <c r="J203" s="79">
        <v>11358</v>
      </c>
      <c r="K203" s="70"/>
      <c r="L203" s="77">
        <v>1.2576678240000001</v>
      </c>
      <c r="M203" s="78">
        <v>3.995245940324099E-8</v>
      </c>
      <c r="N203" s="78">
        <f t="shared" si="4"/>
        <v>1.6245315120874116E-3</v>
      </c>
      <c r="O203" s="78">
        <f>L203/'סכום נכסי הקרן'!$C$42</f>
        <v>1.5555288304087038E-5</v>
      </c>
    </row>
    <row r="204" spans="2:15">
      <c r="B204" s="76" t="s">
        <v>1354</v>
      </c>
      <c r="C204" s="70" t="s">
        <v>1355</v>
      </c>
      <c r="D204" s="83" t="s">
        <v>1179</v>
      </c>
      <c r="E204" s="83" t="s">
        <v>1176</v>
      </c>
      <c r="F204" s="70"/>
      <c r="G204" s="83" t="s">
        <v>1261</v>
      </c>
      <c r="H204" s="83" t="s">
        <v>156</v>
      </c>
      <c r="I204" s="77">
        <v>20.036956</v>
      </c>
      <c r="J204" s="79">
        <v>1340</v>
      </c>
      <c r="K204" s="70"/>
      <c r="L204" s="77">
        <v>0.930604396</v>
      </c>
      <c r="M204" s="78">
        <v>3.2465019743399561E-7</v>
      </c>
      <c r="N204" s="78">
        <f t="shared" si="4"/>
        <v>1.2020631662348008E-3</v>
      </c>
      <c r="O204" s="78">
        <f>L204/'סכום נכסי הקרן'!$C$42</f>
        <v>1.151005011068072E-5</v>
      </c>
    </row>
    <row r="205" spans="2:15">
      <c r="B205" s="76" t="s">
        <v>1214</v>
      </c>
      <c r="C205" s="70" t="s">
        <v>1215</v>
      </c>
      <c r="D205" s="83" t="s">
        <v>1175</v>
      </c>
      <c r="E205" s="83" t="s">
        <v>1176</v>
      </c>
      <c r="F205" s="70"/>
      <c r="G205" s="83" t="s">
        <v>185</v>
      </c>
      <c r="H205" s="83" t="s">
        <v>156</v>
      </c>
      <c r="I205" s="77">
        <v>8.6101700000000001</v>
      </c>
      <c r="J205" s="79">
        <v>4143</v>
      </c>
      <c r="K205" s="70"/>
      <c r="L205" s="77">
        <v>1.2363892430000001</v>
      </c>
      <c r="M205" s="78">
        <v>1.3006630939571858E-7</v>
      </c>
      <c r="N205" s="78">
        <f>L205/$L$11</f>
        <v>1.5970459354451927E-3</v>
      </c>
      <c r="O205" s="78">
        <f>L205/'סכום נכסי הקרן'!$C$42</f>
        <v>1.5292107155742042E-5</v>
      </c>
    </row>
    <row r="206" spans="2:15">
      <c r="B206" s="76" t="s">
        <v>1356</v>
      </c>
      <c r="C206" s="70" t="s">
        <v>1357</v>
      </c>
      <c r="D206" s="83" t="s">
        <v>1179</v>
      </c>
      <c r="E206" s="83" t="s">
        <v>1176</v>
      </c>
      <c r="F206" s="70"/>
      <c r="G206" s="83" t="s">
        <v>1185</v>
      </c>
      <c r="H206" s="83" t="s">
        <v>156</v>
      </c>
      <c r="I206" s="77">
        <v>1.7743899999999999</v>
      </c>
      <c r="J206" s="79">
        <v>36492</v>
      </c>
      <c r="K206" s="70"/>
      <c r="L206" s="77">
        <v>2.2442709920000001</v>
      </c>
      <c r="M206" s="78">
        <v>6.3272701811013709E-9</v>
      </c>
      <c r="N206" s="78">
        <f t="shared" si="4"/>
        <v>2.8989283804462464E-3</v>
      </c>
      <c r="O206" s="78">
        <f>L206/'סכום נכסי הקרן'!$C$42</f>
        <v>2.7757951381810506E-5</v>
      </c>
    </row>
    <row r="207" spans="2:15">
      <c r="B207" s="76" t="s">
        <v>1358</v>
      </c>
      <c r="C207" s="70" t="s">
        <v>1359</v>
      </c>
      <c r="D207" s="83" t="s">
        <v>26</v>
      </c>
      <c r="E207" s="83" t="s">
        <v>1176</v>
      </c>
      <c r="F207" s="70"/>
      <c r="G207" s="83" t="s">
        <v>1325</v>
      </c>
      <c r="H207" s="83" t="s">
        <v>158</v>
      </c>
      <c r="I207" s="77">
        <v>0.96010600000000001</v>
      </c>
      <c r="J207" s="79">
        <v>28570</v>
      </c>
      <c r="K207" s="70"/>
      <c r="L207" s="77">
        <v>1.0650609090000001</v>
      </c>
      <c r="M207" s="78">
        <v>1.7166509163454292E-9</v>
      </c>
      <c r="N207" s="78">
        <f t="shared" si="4"/>
        <v>1.3757408561666145E-3</v>
      </c>
      <c r="O207" s="78">
        <f>L207/'סכום נכסי הקרן'!$C$42</f>
        <v>1.3173056656737691E-5</v>
      </c>
    </row>
    <row r="208" spans="2:15">
      <c r="B208" s="76" t="s">
        <v>1360</v>
      </c>
      <c r="C208" s="70" t="s">
        <v>1361</v>
      </c>
      <c r="D208" s="83" t="s">
        <v>1179</v>
      </c>
      <c r="E208" s="83" t="s">
        <v>1176</v>
      </c>
      <c r="F208" s="70"/>
      <c r="G208" s="83" t="s">
        <v>1362</v>
      </c>
      <c r="H208" s="83" t="s">
        <v>156</v>
      </c>
      <c r="I208" s="77">
        <v>1.8061400000000001</v>
      </c>
      <c r="J208" s="79">
        <v>20657</v>
      </c>
      <c r="K208" s="70"/>
      <c r="L208" s="77">
        <v>1.2931449820000001</v>
      </c>
      <c r="M208" s="78">
        <v>2.9063924832548611E-8</v>
      </c>
      <c r="N208" s="78">
        <f t="shared" si="4"/>
        <v>1.6703574130371554E-3</v>
      </c>
      <c r="O208" s="78">
        <f>L208/'סכום נכסי הקרן'!$C$42</f>
        <v>1.5994082563086579E-5</v>
      </c>
    </row>
    <row r="209" spans="2:15">
      <c r="B209" s="76" t="s">
        <v>1363</v>
      </c>
      <c r="C209" s="70" t="s">
        <v>1364</v>
      </c>
      <c r="D209" s="83" t="s">
        <v>1179</v>
      </c>
      <c r="E209" s="83" t="s">
        <v>1176</v>
      </c>
      <c r="F209" s="70"/>
      <c r="G209" s="83" t="s">
        <v>1191</v>
      </c>
      <c r="H209" s="83" t="s">
        <v>156</v>
      </c>
      <c r="I209" s="77">
        <v>1.9165810000000001</v>
      </c>
      <c r="J209" s="79">
        <v>29570</v>
      </c>
      <c r="K209" s="70"/>
      <c r="L209" s="77">
        <v>1.9642962849999999</v>
      </c>
      <c r="M209" s="78">
        <v>1.9300124604454924E-9</v>
      </c>
      <c r="N209" s="78">
        <f t="shared" si="4"/>
        <v>2.5372846097863871E-3</v>
      </c>
      <c r="O209" s="78">
        <f>L209/'סכום נכסי הקרן'!$C$42</f>
        <v>2.4295123437794264E-5</v>
      </c>
    </row>
    <row r="210" spans="2:15">
      <c r="B210" s="76" t="s">
        <v>1365</v>
      </c>
      <c r="C210" s="70" t="s">
        <v>1366</v>
      </c>
      <c r="D210" s="83" t="s">
        <v>1179</v>
      </c>
      <c r="E210" s="83" t="s">
        <v>1176</v>
      </c>
      <c r="F210" s="70"/>
      <c r="G210" s="83" t="s">
        <v>1367</v>
      </c>
      <c r="H210" s="83" t="s">
        <v>156</v>
      </c>
      <c r="I210" s="77">
        <v>4.5069660000000002</v>
      </c>
      <c r="J210" s="79">
        <v>18447</v>
      </c>
      <c r="K210" s="70"/>
      <c r="L210" s="77">
        <v>2.8816322759999999</v>
      </c>
      <c r="M210" s="78">
        <v>6.0613657839240455E-9</v>
      </c>
      <c r="N210" s="78">
        <f t="shared" si="4"/>
        <v>3.7222089563533024E-3</v>
      </c>
      <c r="O210" s="78">
        <f>L210/'סכום נכסי הקרן'!$C$42</f>
        <v>3.564106513990176E-5</v>
      </c>
    </row>
    <row r="211" spans="2:15">
      <c r="B211" s="76" t="s">
        <v>1368</v>
      </c>
      <c r="C211" s="70" t="s">
        <v>1369</v>
      </c>
      <c r="D211" s="83" t="s">
        <v>1175</v>
      </c>
      <c r="E211" s="83" t="s">
        <v>1176</v>
      </c>
      <c r="F211" s="70"/>
      <c r="G211" s="83" t="s">
        <v>1191</v>
      </c>
      <c r="H211" s="83" t="s">
        <v>156</v>
      </c>
      <c r="I211" s="77">
        <v>8.6971720000000001</v>
      </c>
      <c r="J211" s="79">
        <v>20351</v>
      </c>
      <c r="K211" s="70"/>
      <c r="L211" s="77">
        <v>6.1346868090000006</v>
      </c>
      <c r="M211" s="78">
        <v>1.1468636551122812E-9</v>
      </c>
      <c r="N211" s="78">
        <f t="shared" si="4"/>
        <v>7.9241846279494762E-3</v>
      </c>
      <c r="O211" s="78">
        <f>L211/'סכום נכסי הקרן'!$C$42</f>
        <v>7.5876014435807601E-5</v>
      </c>
    </row>
    <row r="212" spans="2:15">
      <c r="B212" s="76" t="s">
        <v>1370</v>
      </c>
      <c r="C212" s="70" t="s">
        <v>1371</v>
      </c>
      <c r="D212" s="83" t="s">
        <v>1179</v>
      </c>
      <c r="E212" s="83" t="s">
        <v>1176</v>
      </c>
      <c r="F212" s="70"/>
      <c r="G212" s="83" t="s">
        <v>1273</v>
      </c>
      <c r="H212" s="83" t="s">
        <v>156</v>
      </c>
      <c r="I212" s="77">
        <v>0.71601100000000006</v>
      </c>
      <c r="J212" s="79">
        <v>27473</v>
      </c>
      <c r="K212" s="70"/>
      <c r="L212" s="77">
        <v>0.681795763</v>
      </c>
      <c r="M212" s="78">
        <v>3.8187253333333333E-9</v>
      </c>
      <c r="N212" s="78">
        <f t="shared" si="4"/>
        <v>8.8067666252164567E-4</v>
      </c>
      <c r="O212" s="78">
        <f>L212/'סכום נכסי הקרן'!$C$42</f>
        <v>8.4326953871167788E-6</v>
      </c>
    </row>
    <row r="213" spans="2:15">
      <c r="B213" s="76" t="s">
        <v>1372</v>
      </c>
      <c r="C213" s="70" t="s">
        <v>1373</v>
      </c>
      <c r="D213" s="83" t="s">
        <v>1179</v>
      </c>
      <c r="E213" s="83" t="s">
        <v>1176</v>
      </c>
      <c r="F213" s="70"/>
      <c r="G213" s="83" t="s">
        <v>1273</v>
      </c>
      <c r="H213" s="83" t="s">
        <v>156</v>
      </c>
      <c r="I213" s="77">
        <v>5.6655759999999997</v>
      </c>
      <c r="J213" s="79">
        <v>4830</v>
      </c>
      <c r="K213" s="70"/>
      <c r="L213" s="77">
        <v>0.94846161400000017</v>
      </c>
      <c r="M213" s="78">
        <v>3.5956926090700052E-9</v>
      </c>
      <c r="N213" s="78">
        <f t="shared" si="4"/>
        <v>1.2251293628931124E-3</v>
      </c>
      <c r="O213" s="78">
        <f>L213/'סכום נכסי הקרן'!$C$42</f>
        <v>1.1730914610032764E-5</v>
      </c>
    </row>
    <row r="214" spans="2:15">
      <c r="B214" s="76" t="s">
        <v>1374</v>
      </c>
      <c r="C214" s="70" t="s">
        <v>1375</v>
      </c>
      <c r="D214" s="83" t="s">
        <v>1175</v>
      </c>
      <c r="E214" s="83" t="s">
        <v>1176</v>
      </c>
      <c r="F214" s="70"/>
      <c r="G214" s="83" t="s">
        <v>1273</v>
      </c>
      <c r="H214" s="83" t="s">
        <v>156</v>
      </c>
      <c r="I214" s="77">
        <v>2.2320090000000001</v>
      </c>
      <c r="J214" s="79">
        <v>11947</v>
      </c>
      <c r="K214" s="70"/>
      <c r="L214" s="77">
        <v>0.92423694499999998</v>
      </c>
      <c r="M214" s="78">
        <v>1.3603934739408906E-8</v>
      </c>
      <c r="N214" s="78">
        <f t="shared" si="4"/>
        <v>1.1938383197341777E-3</v>
      </c>
      <c r="O214" s="78">
        <f>L214/'סכום נכסי הקרן'!$C$42</f>
        <v>1.1431295184954682E-5</v>
      </c>
    </row>
    <row r="215" spans="2:15">
      <c r="B215" s="76" t="s">
        <v>1376</v>
      </c>
      <c r="C215" s="70" t="s">
        <v>1377</v>
      </c>
      <c r="D215" s="83" t="s">
        <v>132</v>
      </c>
      <c r="E215" s="83" t="s">
        <v>1176</v>
      </c>
      <c r="F215" s="70"/>
      <c r="G215" s="83" t="s">
        <v>1378</v>
      </c>
      <c r="H215" s="83" t="s">
        <v>1258</v>
      </c>
      <c r="I215" s="77">
        <v>7.2245600000000003</v>
      </c>
      <c r="J215" s="79">
        <v>10474</v>
      </c>
      <c r="K215" s="70"/>
      <c r="L215" s="77">
        <v>2.7565839399999996</v>
      </c>
      <c r="M215" s="78">
        <v>2.4276075268817206E-9</v>
      </c>
      <c r="N215" s="78">
        <f t="shared" si="4"/>
        <v>3.5606838234927074E-3</v>
      </c>
      <c r="O215" s="78">
        <f>L215/'סכום נכסי הקרן'!$C$42</f>
        <v>3.4094422313149799E-5</v>
      </c>
    </row>
    <row r="216" spans="2:15">
      <c r="B216" s="76" t="s">
        <v>1379</v>
      </c>
      <c r="C216" s="70" t="s">
        <v>1380</v>
      </c>
      <c r="D216" s="83" t="s">
        <v>1175</v>
      </c>
      <c r="E216" s="83" t="s">
        <v>1176</v>
      </c>
      <c r="F216" s="70"/>
      <c r="G216" s="83" t="s">
        <v>1268</v>
      </c>
      <c r="H216" s="83" t="s">
        <v>156</v>
      </c>
      <c r="I216" s="77">
        <v>2.133318</v>
      </c>
      <c r="J216" s="79">
        <v>45504</v>
      </c>
      <c r="K216" s="70"/>
      <c r="L216" s="77">
        <v>3.364601473</v>
      </c>
      <c r="M216" s="78">
        <v>4.8506103405804359E-9</v>
      </c>
      <c r="N216" s="78">
        <f t="shared" si="4"/>
        <v>4.3460610299466658E-3</v>
      </c>
      <c r="O216" s="78">
        <f>L216/'סכום נכסי הקרן'!$C$42</f>
        <v>4.1614601997538988E-5</v>
      </c>
    </row>
    <row r="217" spans="2:15">
      <c r="B217" s="76" t="s">
        <v>1381</v>
      </c>
      <c r="C217" s="70" t="s">
        <v>1382</v>
      </c>
      <c r="D217" s="83" t="s">
        <v>1179</v>
      </c>
      <c r="E217" s="83" t="s">
        <v>1176</v>
      </c>
      <c r="F217" s="70"/>
      <c r="G217" s="83" t="s">
        <v>1261</v>
      </c>
      <c r="H217" s="83" t="s">
        <v>156</v>
      </c>
      <c r="I217" s="77">
        <v>9.0116879999999995</v>
      </c>
      <c r="J217" s="79">
        <v>9805</v>
      </c>
      <c r="K217" s="77">
        <v>6.1994569999999994E-3</v>
      </c>
      <c r="L217" s="77">
        <v>3.0687432220000002</v>
      </c>
      <c r="M217" s="78">
        <v>7.2673878641333537E-9</v>
      </c>
      <c r="N217" s="78">
        <f t="shared" si="4"/>
        <v>3.9639004604475397E-3</v>
      </c>
      <c r="O217" s="78">
        <f>L217/'סכום נכסי הקרן'!$C$42</f>
        <v>3.7955320664562827E-5</v>
      </c>
    </row>
    <row r="218" spans="2:15">
      <c r="B218" s="76" t="s">
        <v>1383</v>
      </c>
      <c r="C218" s="70" t="s">
        <v>1384</v>
      </c>
      <c r="D218" s="83" t="s">
        <v>26</v>
      </c>
      <c r="E218" s="83" t="s">
        <v>1176</v>
      </c>
      <c r="F218" s="70"/>
      <c r="G218" s="83" t="s">
        <v>1208</v>
      </c>
      <c r="H218" s="83" t="s">
        <v>158</v>
      </c>
      <c r="I218" s="77">
        <v>63.899332000000001</v>
      </c>
      <c r="J218" s="79">
        <v>388.85</v>
      </c>
      <c r="K218" s="70"/>
      <c r="L218" s="77">
        <v>0.96476922700000001</v>
      </c>
      <c r="M218" s="78">
        <v>1.1301842697749303E-8</v>
      </c>
      <c r="N218" s="78">
        <f t="shared" si="4"/>
        <v>1.2461939323285996E-3</v>
      </c>
      <c r="O218" s="78">
        <f>L218/'סכום נכסי הקרן'!$C$42</f>
        <v>1.1932613037014605E-5</v>
      </c>
    </row>
    <row r="219" spans="2:15">
      <c r="B219" s="76" t="s">
        <v>1385</v>
      </c>
      <c r="C219" s="70" t="s">
        <v>1386</v>
      </c>
      <c r="D219" s="83" t="s">
        <v>1179</v>
      </c>
      <c r="E219" s="83" t="s">
        <v>1176</v>
      </c>
      <c r="F219" s="70"/>
      <c r="G219" s="83" t="s">
        <v>1362</v>
      </c>
      <c r="H219" s="83" t="s">
        <v>156</v>
      </c>
      <c r="I219" s="77">
        <v>7.9933220000000009</v>
      </c>
      <c r="J219" s="79">
        <v>3210</v>
      </c>
      <c r="K219" s="77">
        <v>1.2467183999999999E-2</v>
      </c>
      <c r="L219" s="77">
        <v>0.90179299899999998</v>
      </c>
      <c r="M219" s="78">
        <v>1.4027048886906118E-8</v>
      </c>
      <c r="N219" s="78">
        <f t="shared" si="4"/>
        <v>1.1648474392832297E-3</v>
      </c>
      <c r="O219" s="78">
        <f>L219/'סכום נכסי הקרן'!$C$42</f>
        <v>1.115370038285425E-5</v>
      </c>
    </row>
    <row r="220" spans="2:15">
      <c r="B220" s="76" t="s">
        <v>1387</v>
      </c>
      <c r="C220" s="70" t="s">
        <v>1388</v>
      </c>
      <c r="D220" s="83" t="s">
        <v>1175</v>
      </c>
      <c r="E220" s="83" t="s">
        <v>1176</v>
      </c>
      <c r="F220" s="70"/>
      <c r="G220" s="83" t="s">
        <v>1239</v>
      </c>
      <c r="H220" s="83" t="s">
        <v>156</v>
      </c>
      <c r="I220" s="77">
        <v>2.4354369999999999</v>
      </c>
      <c r="J220" s="79">
        <v>37991</v>
      </c>
      <c r="K220" s="70"/>
      <c r="L220" s="77">
        <v>3.2069059169999998</v>
      </c>
      <c r="M220" s="78">
        <v>3.9600601626016257E-9</v>
      </c>
      <c r="N220" s="78">
        <f t="shared" si="4"/>
        <v>4.1423654315148294E-3</v>
      </c>
      <c r="O220" s="78">
        <f>L220/'סכום נכסי הקרן'!$C$42</f>
        <v>3.9664166603516131E-5</v>
      </c>
    </row>
    <row r="221" spans="2:15">
      <c r="B221" s="76" t="s">
        <v>1224</v>
      </c>
      <c r="C221" s="70" t="s">
        <v>1225</v>
      </c>
      <c r="D221" s="83" t="s">
        <v>1179</v>
      </c>
      <c r="E221" s="83" t="s">
        <v>1176</v>
      </c>
      <c r="F221" s="70"/>
      <c r="G221" s="83" t="s">
        <v>183</v>
      </c>
      <c r="H221" s="83" t="s">
        <v>156</v>
      </c>
      <c r="I221" s="77">
        <v>25.248539999999998</v>
      </c>
      <c r="J221" s="79">
        <v>6349</v>
      </c>
      <c r="K221" s="70"/>
      <c r="L221" s="77">
        <v>5.5561012180000002</v>
      </c>
      <c r="M221" s="78">
        <v>4.9472293110483914E-7</v>
      </c>
      <c r="N221" s="78">
        <f>L221/$L$11</f>
        <v>7.1768247074024284E-3</v>
      </c>
      <c r="O221" s="78">
        <f>L221/'סכום נכסי הקרן'!$C$42</f>
        <v>6.8719859603149977E-5</v>
      </c>
    </row>
    <row r="222" spans="2:15">
      <c r="B222" s="76" t="s">
        <v>1389</v>
      </c>
      <c r="C222" s="70" t="s">
        <v>1390</v>
      </c>
      <c r="D222" s="83" t="s">
        <v>1179</v>
      </c>
      <c r="E222" s="83" t="s">
        <v>1176</v>
      </c>
      <c r="F222" s="70"/>
      <c r="G222" s="83" t="s">
        <v>1191</v>
      </c>
      <c r="H222" s="83" t="s">
        <v>156</v>
      </c>
      <c r="I222" s="77">
        <v>3.7113689999999995</v>
      </c>
      <c r="J222" s="79">
        <v>22967</v>
      </c>
      <c r="K222" s="70"/>
      <c r="L222" s="77">
        <v>2.9543839910000007</v>
      </c>
      <c r="M222" s="78">
        <v>3.8473382425091028E-8</v>
      </c>
      <c r="N222" s="78">
        <f t="shared" si="4"/>
        <v>3.8161824613762818E-3</v>
      </c>
      <c r="O222" s="78">
        <f>L222/'סכום נכסי הקרן'!$C$42</f>
        <v>3.6540884535648488E-5</v>
      </c>
    </row>
    <row r="223" spans="2:15">
      <c r="B223" s="76" t="s">
        <v>1391</v>
      </c>
      <c r="C223" s="70" t="s">
        <v>1392</v>
      </c>
      <c r="D223" s="83" t="s">
        <v>1175</v>
      </c>
      <c r="E223" s="83" t="s">
        <v>1176</v>
      </c>
      <c r="F223" s="70"/>
      <c r="G223" s="83" t="s">
        <v>1191</v>
      </c>
      <c r="H223" s="83" t="s">
        <v>156</v>
      </c>
      <c r="I223" s="77">
        <v>4.8877379999999997</v>
      </c>
      <c r="J223" s="79">
        <v>17423</v>
      </c>
      <c r="K223" s="70"/>
      <c r="L223" s="77">
        <v>2.9516130180000002</v>
      </c>
      <c r="M223" s="78">
        <v>4.1627498340138019E-9</v>
      </c>
      <c r="N223" s="78">
        <f t="shared" si="4"/>
        <v>3.8126031911812895E-3</v>
      </c>
      <c r="O223" s="78">
        <f>L223/'סכום נכסי הקרן'!$C$42</f>
        <v>3.6506612144262376E-5</v>
      </c>
    </row>
    <row r="224" spans="2:15">
      <c r="B224" s="76" t="s">
        <v>1228</v>
      </c>
      <c r="C224" s="70" t="s">
        <v>1229</v>
      </c>
      <c r="D224" s="83" t="s">
        <v>1175</v>
      </c>
      <c r="E224" s="83" t="s">
        <v>1176</v>
      </c>
      <c r="F224" s="70"/>
      <c r="G224" s="83" t="s">
        <v>900</v>
      </c>
      <c r="H224" s="83" t="s">
        <v>156</v>
      </c>
      <c r="I224" s="77">
        <v>27.657125000000001</v>
      </c>
      <c r="J224" s="79">
        <v>5527</v>
      </c>
      <c r="K224" s="70"/>
      <c r="L224" s="77">
        <v>5.2981599129999992</v>
      </c>
      <c r="M224" s="78">
        <v>2.0289371627568373E-7</v>
      </c>
      <c r="N224" s="78">
        <f>L224/$L$11</f>
        <v>6.8436415168611304E-3</v>
      </c>
      <c r="O224" s="78">
        <f>L224/'סכום נכסי הקרן'!$C$42</f>
        <v>6.5529548705280121E-5</v>
      </c>
    </row>
    <row r="225" spans="2:15">
      <c r="B225" s="76" t="s">
        <v>1393</v>
      </c>
      <c r="C225" s="70" t="s">
        <v>1394</v>
      </c>
      <c r="D225" s="83" t="s">
        <v>1179</v>
      </c>
      <c r="E225" s="83" t="s">
        <v>1176</v>
      </c>
      <c r="F225" s="70"/>
      <c r="G225" s="83" t="s">
        <v>1276</v>
      </c>
      <c r="H225" s="83" t="s">
        <v>156</v>
      </c>
      <c r="I225" s="77">
        <v>9.6636480000000002</v>
      </c>
      <c r="J225" s="79">
        <v>9333</v>
      </c>
      <c r="K225" s="70"/>
      <c r="L225" s="77">
        <v>3.1260138959999999</v>
      </c>
      <c r="M225" s="78">
        <v>1.3084055663419906E-8</v>
      </c>
      <c r="N225" s="78">
        <f t="shared" si="4"/>
        <v>4.0378770803912532E-3</v>
      </c>
      <c r="O225" s="78">
        <f>L225/'סכום נכסי הקרן'!$C$42</f>
        <v>3.8663664973321564E-5</v>
      </c>
    </row>
    <row r="226" spans="2:15">
      <c r="B226" s="76" t="s">
        <v>1395</v>
      </c>
      <c r="C226" s="70" t="s">
        <v>1396</v>
      </c>
      <c r="D226" s="83" t="s">
        <v>116</v>
      </c>
      <c r="E226" s="83" t="s">
        <v>1176</v>
      </c>
      <c r="F226" s="70"/>
      <c r="G226" s="83" t="s">
        <v>1325</v>
      </c>
      <c r="H226" s="83" t="s">
        <v>159</v>
      </c>
      <c r="I226" s="77">
        <v>2.9468599999999996</v>
      </c>
      <c r="J226" s="79">
        <v>7432</v>
      </c>
      <c r="K226" s="70"/>
      <c r="L226" s="77">
        <v>0.93169314299999995</v>
      </c>
      <c r="M226" s="78">
        <v>4.1446488729482895E-9</v>
      </c>
      <c r="N226" s="78">
        <f t="shared" si="4"/>
        <v>1.2034695024520741E-3</v>
      </c>
      <c r="O226" s="78">
        <f>L226/'סכום נכסי הקרן'!$C$42</f>
        <v>1.1523516125435987E-5</v>
      </c>
    </row>
    <row r="227" spans="2:15">
      <c r="B227" s="76" t="s">
        <v>1397</v>
      </c>
      <c r="C227" s="70" t="s">
        <v>1398</v>
      </c>
      <c r="D227" s="83" t="s">
        <v>1175</v>
      </c>
      <c r="E227" s="83" t="s">
        <v>1176</v>
      </c>
      <c r="F227" s="70"/>
      <c r="G227" s="83" t="s">
        <v>1202</v>
      </c>
      <c r="H227" s="83" t="s">
        <v>156</v>
      </c>
      <c r="I227" s="77">
        <v>1.5209600000000001</v>
      </c>
      <c r="J227" s="79">
        <v>8524</v>
      </c>
      <c r="K227" s="70"/>
      <c r="L227" s="77">
        <v>0.44935522099999997</v>
      </c>
      <c r="M227" s="78">
        <v>4.273300504924946E-9</v>
      </c>
      <c r="N227" s="78">
        <f t="shared" ref="N227:N246" si="5">L227/$L$11</f>
        <v>5.8043284777197488E-4</v>
      </c>
      <c r="O227" s="78">
        <f>L227/'סכום נכסי הקרן'!$C$42</f>
        <v>5.5577871042057801E-6</v>
      </c>
    </row>
    <row r="228" spans="2:15">
      <c r="B228" s="76" t="s">
        <v>1399</v>
      </c>
      <c r="C228" s="70" t="s">
        <v>1400</v>
      </c>
      <c r="D228" s="83" t="s">
        <v>1179</v>
      </c>
      <c r="E228" s="83" t="s">
        <v>1176</v>
      </c>
      <c r="F228" s="70"/>
      <c r="G228" s="83" t="s">
        <v>1273</v>
      </c>
      <c r="H228" s="83" t="s">
        <v>156</v>
      </c>
      <c r="I228" s="77">
        <v>0.60811800000000005</v>
      </c>
      <c r="J228" s="79">
        <v>32948</v>
      </c>
      <c r="K228" s="70"/>
      <c r="L228" s="77">
        <v>0.69445699100000002</v>
      </c>
      <c r="M228" s="78">
        <v>2.5243586550435867E-9</v>
      </c>
      <c r="N228" s="78">
        <f t="shared" si="5"/>
        <v>8.9703119070087931E-4</v>
      </c>
      <c r="O228" s="78">
        <f>L228/'סכום נכסי הקרן'!$C$42</f>
        <v>8.5892940120202813E-6</v>
      </c>
    </row>
    <row r="229" spans="2:15">
      <c r="B229" s="76" t="s">
        <v>1401</v>
      </c>
      <c r="C229" s="70" t="s">
        <v>1402</v>
      </c>
      <c r="D229" s="83" t="s">
        <v>26</v>
      </c>
      <c r="E229" s="83" t="s">
        <v>1176</v>
      </c>
      <c r="F229" s="70"/>
      <c r="G229" s="83" t="s">
        <v>1208</v>
      </c>
      <c r="H229" s="83" t="s">
        <v>156</v>
      </c>
      <c r="I229" s="77">
        <v>0.88664399999999999</v>
      </c>
      <c r="J229" s="79">
        <v>110300</v>
      </c>
      <c r="K229" s="70"/>
      <c r="L229" s="77">
        <v>3.3896368320000003</v>
      </c>
      <c r="M229" s="78">
        <v>3.713049816194729E-9</v>
      </c>
      <c r="N229" s="78">
        <f t="shared" si="5"/>
        <v>4.3783992426573706E-3</v>
      </c>
      <c r="O229" s="78">
        <f>L229/'סכום נכסי הקרן'!$C$42</f>
        <v>4.1924248328318717E-5</v>
      </c>
    </row>
    <row r="230" spans="2:15">
      <c r="B230" s="76" t="s">
        <v>1403</v>
      </c>
      <c r="C230" s="70" t="s">
        <v>1404</v>
      </c>
      <c r="D230" s="83" t="s">
        <v>26</v>
      </c>
      <c r="E230" s="83" t="s">
        <v>1176</v>
      </c>
      <c r="F230" s="70"/>
      <c r="G230" s="83" t="s">
        <v>1191</v>
      </c>
      <c r="H230" s="83" t="s">
        <v>158</v>
      </c>
      <c r="I230" s="77">
        <v>1.9012</v>
      </c>
      <c r="J230" s="79">
        <v>12468</v>
      </c>
      <c r="K230" s="70"/>
      <c r="L230" s="77">
        <v>0.92038518699999994</v>
      </c>
      <c r="M230" s="78">
        <v>1.5475730164192059E-9</v>
      </c>
      <c r="N230" s="78">
        <f t="shared" si="5"/>
        <v>1.1888629978498717E-3</v>
      </c>
      <c r="O230" s="78">
        <f>L230/'סכום נכסי הקרן'!$C$42</f>
        <v>1.1383655255694972E-5</v>
      </c>
    </row>
    <row r="231" spans="2:15">
      <c r="B231" s="76" t="s">
        <v>1405</v>
      </c>
      <c r="C231" s="70" t="s">
        <v>1406</v>
      </c>
      <c r="D231" s="83" t="s">
        <v>116</v>
      </c>
      <c r="E231" s="83" t="s">
        <v>1176</v>
      </c>
      <c r="F231" s="70"/>
      <c r="G231" s="83" t="s">
        <v>1276</v>
      </c>
      <c r="H231" s="83" t="s">
        <v>159</v>
      </c>
      <c r="I231" s="77">
        <v>90.948179999999994</v>
      </c>
      <c r="J231" s="79">
        <v>895</v>
      </c>
      <c r="K231" s="70"/>
      <c r="L231" s="77">
        <v>3.4627787290000001</v>
      </c>
      <c r="M231" s="78">
        <v>7.6366551237315203E-8</v>
      </c>
      <c r="N231" s="78">
        <f t="shared" si="5"/>
        <v>4.4728767463852164E-3</v>
      </c>
      <c r="O231" s="78">
        <f>L231/'סכום נכסי הקרן'!$C$42</f>
        <v>4.2828893635474827E-5</v>
      </c>
    </row>
    <row r="232" spans="2:15">
      <c r="B232" s="76" t="s">
        <v>1407</v>
      </c>
      <c r="C232" s="70" t="s">
        <v>1408</v>
      </c>
      <c r="D232" s="83" t="s">
        <v>26</v>
      </c>
      <c r="E232" s="83" t="s">
        <v>1176</v>
      </c>
      <c r="F232" s="70"/>
      <c r="G232" s="83" t="s">
        <v>1185</v>
      </c>
      <c r="H232" s="83" t="s">
        <v>158</v>
      </c>
      <c r="I232" s="77">
        <v>3.8242639999999999</v>
      </c>
      <c r="J232" s="79">
        <v>10488</v>
      </c>
      <c r="K232" s="70"/>
      <c r="L232" s="77">
        <v>1.5573475430000001</v>
      </c>
      <c r="M232" s="78">
        <v>4.4991341176470588E-9</v>
      </c>
      <c r="N232" s="78">
        <f t="shared" si="5"/>
        <v>2.0116282778300651E-3</v>
      </c>
      <c r="O232" s="78">
        <f>L232/'סכום נכסי הקרן'!$C$42</f>
        <v>1.9261834928701E-5</v>
      </c>
    </row>
    <row r="233" spans="2:15">
      <c r="B233" s="76" t="s">
        <v>1409</v>
      </c>
      <c r="C233" s="70" t="s">
        <v>1410</v>
      </c>
      <c r="D233" s="83" t="s">
        <v>1175</v>
      </c>
      <c r="E233" s="83" t="s">
        <v>1176</v>
      </c>
      <c r="F233" s="70"/>
      <c r="G233" s="83" t="s">
        <v>1367</v>
      </c>
      <c r="H233" s="83" t="s">
        <v>156</v>
      </c>
      <c r="I233" s="77">
        <v>4.08758</v>
      </c>
      <c r="J233" s="79">
        <v>7359</v>
      </c>
      <c r="K233" s="70"/>
      <c r="L233" s="77">
        <v>1.0425901719999999</v>
      </c>
      <c r="M233" s="78">
        <v>3.4987417615338524E-9</v>
      </c>
      <c r="N233" s="78">
        <f t="shared" si="5"/>
        <v>1.3467153697387063E-3</v>
      </c>
      <c r="O233" s="78">
        <f>L233/'סכום נכסי הקרן'!$C$42</f>
        <v>1.2895130493906704E-5</v>
      </c>
    </row>
    <row r="234" spans="2:15">
      <c r="B234" s="76" t="s">
        <v>1411</v>
      </c>
      <c r="C234" s="70" t="s">
        <v>1412</v>
      </c>
      <c r="D234" s="83" t="s">
        <v>26</v>
      </c>
      <c r="E234" s="83" t="s">
        <v>1176</v>
      </c>
      <c r="F234" s="70"/>
      <c r="G234" s="83" t="s">
        <v>1239</v>
      </c>
      <c r="H234" s="83" t="s">
        <v>158</v>
      </c>
      <c r="I234" s="77">
        <v>9.8862400000000008</v>
      </c>
      <c r="J234" s="79">
        <v>2422</v>
      </c>
      <c r="K234" s="70"/>
      <c r="L234" s="77">
        <v>0.92971600900000007</v>
      </c>
      <c r="M234" s="78">
        <v>1.0432346232466453E-8</v>
      </c>
      <c r="N234" s="78">
        <f t="shared" si="5"/>
        <v>1.2009156353455725E-3</v>
      </c>
      <c r="O234" s="78">
        <f>L234/'סכום נכסי הקרן'!$C$42</f>
        <v>1.1499062220518554E-5</v>
      </c>
    </row>
    <row r="235" spans="2:15">
      <c r="B235" s="76" t="s">
        <v>1413</v>
      </c>
      <c r="C235" s="70" t="s">
        <v>1414</v>
      </c>
      <c r="D235" s="83" t="s">
        <v>1179</v>
      </c>
      <c r="E235" s="83" t="s">
        <v>1176</v>
      </c>
      <c r="F235" s="70"/>
      <c r="G235" s="83" t="s">
        <v>1202</v>
      </c>
      <c r="H235" s="83" t="s">
        <v>156</v>
      </c>
      <c r="I235" s="77">
        <v>2.0913200000000001</v>
      </c>
      <c r="J235" s="79">
        <v>11993</v>
      </c>
      <c r="K235" s="70"/>
      <c r="L235" s="77">
        <v>0.86931441800000009</v>
      </c>
      <c r="M235" s="78">
        <v>4.1825105094746264E-9</v>
      </c>
      <c r="N235" s="78">
        <f t="shared" si="5"/>
        <v>1.1228948049742968E-3</v>
      </c>
      <c r="O235" s="78">
        <f>L235/'סכום נכסי הקרן'!$C$42</f>
        <v>1.0751993603431514E-5</v>
      </c>
    </row>
    <row r="236" spans="2:15">
      <c r="B236" s="76" t="s">
        <v>1415</v>
      </c>
      <c r="C236" s="70" t="s">
        <v>1416</v>
      </c>
      <c r="D236" s="83" t="s">
        <v>1417</v>
      </c>
      <c r="E236" s="83" t="s">
        <v>1176</v>
      </c>
      <c r="F236" s="70"/>
      <c r="G236" s="83" t="s">
        <v>1268</v>
      </c>
      <c r="H236" s="83" t="s">
        <v>161</v>
      </c>
      <c r="I236" s="77">
        <v>4.3157240000000003</v>
      </c>
      <c r="J236" s="79">
        <v>49860</v>
      </c>
      <c r="K236" s="70"/>
      <c r="L236" s="77">
        <v>0.96227238000000004</v>
      </c>
      <c r="M236" s="78">
        <v>4.5173572041672397E-10</v>
      </c>
      <c r="N236" s="78">
        <f t="shared" si="5"/>
        <v>1.2429687511202102E-3</v>
      </c>
      <c r="O236" s="78">
        <f>L236/'סכום נכסי הקרן'!$C$42</f>
        <v>1.1901731134659287E-5</v>
      </c>
    </row>
    <row r="237" spans="2:15">
      <c r="B237" s="76" t="s">
        <v>1418</v>
      </c>
      <c r="C237" s="70" t="s">
        <v>1419</v>
      </c>
      <c r="D237" s="83" t="s">
        <v>1179</v>
      </c>
      <c r="E237" s="83" t="s">
        <v>1176</v>
      </c>
      <c r="F237" s="70"/>
      <c r="G237" s="83" t="s">
        <v>1202</v>
      </c>
      <c r="H237" s="83" t="s">
        <v>156</v>
      </c>
      <c r="I237" s="77">
        <v>2.4715600000000002</v>
      </c>
      <c r="J237" s="79">
        <v>5056</v>
      </c>
      <c r="K237" s="70"/>
      <c r="L237" s="77">
        <v>0.43311854699999996</v>
      </c>
      <c r="M237" s="78">
        <v>2.0632834640379227E-9</v>
      </c>
      <c r="N237" s="78">
        <f t="shared" si="5"/>
        <v>5.5945991035468562E-4</v>
      </c>
      <c r="O237" s="78">
        <f>L237/'סכום נכסי הקרן'!$C$42</f>
        <v>5.3569660763081352E-6</v>
      </c>
    </row>
    <row r="238" spans="2:15">
      <c r="B238" s="76" t="s">
        <v>1420</v>
      </c>
      <c r="C238" s="70" t="s">
        <v>1421</v>
      </c>
      <c r="D238" s="83" t="s">
        <v>1179</v>
      </c>
      <c r="E238" s="83" t="s">
        <v>1176</v>
      </c>
      <c r="F238" s="70"/>
      <c r="G238" s="83" t="s">
        <v>1314</v>
      </c>
      <c r="H238" s="83" t="s">
        <v>156</v>
      </c>
      <c r="I238" s="77">
        <v>8.4307949999999998</v>
      </c>
      <c r="J238" s="79">
        <v>11118</v>
      </c>
      <c r="K238" s="70"/>
      <c r="L238" s="77">
        <v>3.248805977</v>
      </c>
      <c r="M238" s="78">
        <v>1.1973573381324571E-8</v>
      </c>
      <c r="N238" s="78">
        <f t="shared" si="5"/>
        <v>4.1964878051093642E-3</v>
      </c>
      <c r="O238" s="78">
        <f>L238/'סכום נכסי הקרן'!$C$42</f>
        <v>4.0182401626167513E-5</v>
      </c>
    </row>
    <row r="239" spans="2:15">
      <c r="B239" s="76" t="s">
        <v>1422</v>
      </c>
      <c r="C239" s="70" t="s">
        <v>1423</v>
      </c>
      <c r="D239" s="83" t="s">
        <v>1175</v>
      </c>
      <c r="E239" s="83" t="s">
        <v>1176</v>
      </c>
      <c r="F239" s="70"/>
      <c r="G239" s="83" t="s">
        <v>1191</v>
      </c>
      <c r="H239" s="83" t="s">
        <v>156</v>
      </c>
      <c r="I239" s="77">
        <v>7.556388000000001</v>
      </c>
      <c r="J239" s="79">
        <v>8848</v>
      </c>
      <c r="K239" s="70"/>
      <c r="L239" s="77">
        <v>2.317330203</v>
      </c>
      <c r="M239" s="78">
        <v>2.4012904525640788E-7</v>
      </c>
      <c r="N239" s="78">
        <f t="shared" si="5"/>
        <v>2.9932990785374643E-3</v>
      </c>
      <c r="O239" s="78">
        <f>L239/'סכום נכסי הקרן'!$C$42</f>
        <v>2.8661573998758466E-5</v>
      </c>
    </row>
    <row r="240" spans="2:15">
      <c r="B240" s="76" t="s">
        <v>1424</v>
      </c>
      <c r="C240" s="70" t="s">
        <v>1425</v>
      </c>
      <c r="D240" s="83" t="s">
        <v>26</v>
      </c>
      <c r="E240" s="83" t="s">
        <v>1176</v>
      </c>
      <c r="F240" s="70"/>
      <c r="G240" s="83" t="s">
        <v>1185</v>
      </c>
      <c r="H240" s="83" t="s">
        <v>158</v>
      </c>
      <c r="I240" s="77">
        <v>7.9616930000000004</v>
      </c>
      <c r="J240" s="79">
        <v>8200</v>
      </c>
      <c r="K240" s="77">
        <v>3.8642077999999996E-2</v>
      </c>
      <c r="L240" s="77">
        <v>2.5735624120000002</v>
      </c>
      <c r="M240" s="78">
        <v>1.3133497229818905E-8</v>
      </c>
      <c r="N240" s="78">
        <f t="shared" si="5"/>
        <v>3.3242746270796589E-3</v>
      </c>
      <c r="O240" s="78">
        <f>L240/'סכום נכסי הקרן'!$C$42</f>
        <v>3.1830746182166483E-5</v>
      </c>
    </row>
    <row r="241" spans="2:15">
      <c r="B241" s="76" t="s">
        <v>1426</v>
      </c>
      <c r="C241" s="70" t="s">
        <v>1427</v>
      </c>
      <c r="D241" s="83" t="s">
        <v>1179</v>
      </c>
      <c r="E241" s="83" t="s">
        <v>1176</v>
      </c>
      <c r="F241" s="70"/>
      <c r="G241" s="83" t="s">
        <v>1191</v>
      </c>
      <c r="H241" s="83" t="s">
        <v>156</v>
      </c>
      <c r="I241" s="77">
        <v>3.5111739999999996</v>
      </c>
      <c r="J241" s="79">
        <v>19317</v>
      </c>
      <c r="K241" s="70"/>
      <c r="L241" s="77">
        <v>2.3508266899999999</v>
      </c>
      <c r="M241" s="78">
        <v>2.081173680542312E-9</v>
      </c>
      <c r="N241" s="78">
        <f t="shared" si="5"/>
        <v>3.036566543632227E-3</v>
      </c>
      <c r="O241" s="78">
        <f>L241/'סכום נכסי הקרן'!$C$42</f>
        <v>2.9075870605951543E-5</v>
      </c>
    </row>
    <row r="242" spans="2:15">
      <c r="B242" s="76" t="s">
        <v>1428</v>
      </c>
      <c r="C242" s="70" t="s">
        <v>1429</v>
      </c>
      <c r="D242" s="83" t="s">
        <v>26</v>
      </c>
      <c r="E242" s="83" t="s">
        <v>1176</v>
      </c>
      <c r="F242" s="70"/>
      <c r="G242" s="83" t="s">
        <v>1285</v>
      </c>
      <c r="H242" s="83" t="s">
        <v>158</v>
      </c>
      <c r="I242" s="77">
        <v>4.4678199999999997</v>
      </c>
      <c r="J242" s="79">
        <v>13554</v>
      </c>
      <c r="K242" s="70"/>
      <c r="L242" s="77">
        <v>2.3513006839999999</v>
      </c>
      <c r="M242" s="78">
        <v>2.1666838138052076E-8</v>
      </c>
      <c r="N242" s="78">
        <f t="shared" si="5"/>
        <v>3.0371788024296984E-3</v>
      </c>
      <c r="O242" s="78">
        <f>L242/'סכום נכסי הקרן'!$C$42</f>
        <v>2.9081733134342353E-5</v>
      </c>
    </row>
    <row r="243" spans="2:15">
      <c r="B243" s="76" t="s">
        <v>1430</v>
      </c>
      <c r="C243" s="70" t="s">
        <v>1431</v>
      </c>
      <c r="D243" s="83" t="s">
        <v>26</v>
      </c>
      <c r="E243" s="83" t="s">
        <v>1176</v>
      </c>
      <c r="F243" s="70"/>
      <c r="G243" s="83" t="s">
        <v>1185</v>
      </c>
      <c r="H243" s="83" t="s">
        <v>163</v>
      </c>
      <c r="I243" s="77">
        <v>36.883279999999999</v>
      </c>
      <c r="J243" s="79">
        <v>14590</v>
      </c>
      <c r="K243" s="70"/>
      <c r="L243" s="77">
        <v>1.9889175960000001</v>
      </c>
      <c r="M243" s="78">
        <v>2.2307368944275493E-8</v>
      </c>
      <c r="N243" s="78">
        <f t="shared" si="5"/>
        <v>2.5690879960423791E-3</v>
      </c>
      <c r="O243" s="78">
        <f>L243/'סכום נכסי הקרן'!$C$42</f>
        <v>2.4599648673886804E-5</v>
      </c>
    </row>
    <row r="244" spans="2:15">
      <c r="B244" s="76" t="s">
        <v>1432</v>
      </c>
      <c r="C244" s="70" t="s">
        <v>1433</v>
      </c>
      <c r="D244" s="83" t="s">
        <v>26</v>
      </c>
      <c r="E244" s="83" t="s">
        <v>1176</v>
      </c>
      <c r="F244" s="70"/>
      <c r="G244" s="83" t="s">
        <v>1276</v>
      </c>
      <c r="H244" s="83" t="s">
        <v>158</v>
      </c>
      <c r="I244" s="77">
        <v>3.8024</v>
      </c>
      <c r="J244" s="79">
        <v>5516</v>
      </c>
      <c r="K244" s="70"/>
      <c r="L244" s="77">
        <v>0.81437996299999993</v>
      </c>
      <c r="M244" s="78">
        <v>7.011958396773248E-9</v>
      </c>
      <c r="N244" s="78">
        <f t="shared" si="5"/>
        <v>1.0519358827980002E-3</v>
      </c>
      <c r="O244" s="78">
        <f>L244/'סכום נכסי הקרן'!$C$42</f>
        <v>1.0072544492111242E-5</v>
      </c>
    </row>
    <row r="245" spans="2:15">
      <c r="B245" s="76" t="s">
        <v>1434</v>
      </c>
      <c r="C245" s="70" t="s">
        <v>1435</v>
      </c>
      <c r="D245" s="83" t="s">
        <v>1179</v>
      </c>
      <c r="E245" s="83" t="s">
        <v>1176</v>
      </c>
      <c r="F245" s="70"/>
      <c r="G245" s="83" t="s">
        <v>1362</v>
      </c>
      <c r="H245" s="83" t="s">
        <v>156</v>
      </c>
      <c r="I245" s="77">
        <v>3.1369799999999999</v>
      </c>
      <c r="J245" s="79">
        <v>11585</v>
      </c>
      <c r="K245" s="70"/>
      <c r="L245" s="77">
        <v>1.259610715</v>
      </c>
      <c r="M245" s="78">
        <v>2.3687062029131692E-8</v>
      </c>
      <c r="N245" s="78">
        <f t="shared" si="5"/>
        <v>1.627041147456799E-3</v>
      </c>
      <c r="O245" s="78">
        <f>L245/'סכום נכסי הקרן'!$C$42</f>
        <v>1.557931867925581E-5</v>
      </c>
    </row>
    <row r="246" spans="2:15">
      <c r="B246" s="76" t="s">
        <v>1436</v>
      </c>
      <c r="C246" s="70" t="s">
        <v>1437</v>
      </c>
      <c r="D246" s="83" t="s">
        <v>1179</v>
      </c>
      <c r="E246" s="83" t="s">
        <v>1176</v>
      </c>
      <c r="F246" s="70"/>
      <c r="G246" s="83" t="s">
        <v>1438</v>
      </c>
      <c r="H246" s="83" t="s">
        <v>156</v>
      </c>
      <c r="I246" s="77">
        <v>10.670883999999999</v>
      </c>
      <c r="J246" s="79">
        <v>11978</v>
      </c>
      <c r="K246" s="70"/>
      <c r="L246" s="77">
        <v>4.4300974150000005</v>
      </c>
      <c r="M246" s="78">
        <v>3.7680294497778554E-9</v>
      </c>
      <c r="N246" s="78">
        <f t="shared" si="5"/>
        <v>5.7223638189255951E-3</v>
      </c>
      <c r="O246" s="78">
        <f>L246/'סכום נכסי הקרן'!$C$42</f>
        <v>5.4793039298996744E-5</v>
      </c>
    </row>
    <row r="247" spans="2:15">
      <c r="E247" s="1"/>
      <c r="F247" s="1"/>
      <c r="G247" s="1"/>
    </row>
    <row r="248" spans="2:15">
      <c r="E248" s="1"/>
      <c r="F248" s="1"/>
      <c r="G248" s="1"/>
    </row>
    <row r="249" spans="2:15">
      <c r="E249" s="1"/>
      <c r="F249" s="1"/>
      <c r="G249" s="1"/>
    </row>
    <row r="250" spans="2:15">
      <c r="B250" s="85" t="s">
        <v>244</v>
      </c>
      <c r="E250" s="1"/>
      <c r="F250" s="1"/>
      <c r="G250" s="1"/>
    </row>
    <row r="251" spans="2:15">
      <c r="B251" s="85" t="s">
        <v>105</v>
      </c>
      <c r="E251" s="1"/>
      <c r="F251" s="1"/>
      <c r="G251" s="1"/>
    </row>
    <row r="252" spans="2:15">
      <c r="B252" s="85" t="s">
        <v>227</v>
      </c>
      <c r="E252" s="1"/>
      <c r="F252" s="1"/>
      <c r="G252" s="1"/>
    </row>
    <row r="253" spans="2:15">
      <c r="B253" s="85" t="s">
        <v>235</v>
      </c>
      <c r="E253" s="1"/>
      <c r="F253" s="1"/>
      <c r="G253" s="1"/>
    </row>
    <row r="254" spans="2:15">
      <c r="B254" s="85" t="s">
        <v>241</v>
      </c>
      <c r="E254" s="1"/>
      <c r="F254" s="1"/>
      <c r="G254" s="1"/>
    </row>
    <row r="255" spans="2:15">
      <c r="E255" s="1"/>
      <c r="F255" s="1"/>
      <c r="G255" s="1"/>
    </row>
    <row r="256" spans="2:15">
      <c r="E256" s="1"/>
      <c r="F256" s="1"/>
      <c r="G256" s="1"/>
    </row>
    <row r="257" spans="2:7">
      <c r="E257" s="1"/>
      <c r="F257" s="1"/>
      <c r="G257" s="1"/>
    </row>
    <row r="258" spans="2:7">
      <c r="E258" s="1"/>
      <c r="F258" s="1"/>
      <c r="G258" s="1"/>
    </row>
    <row r="259" spans="2:7"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2"/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2"/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2"/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2 B254"/>
    <dataValidation type="list" allowBlank="1" showInputMessage="1" showErrorMessage="1" sqref="E12:E35 E37:E139 E140 E141:E143 E144:E146 E147 E148:E356">
      <formula1>$BF$6:$BF$23</formula1>
    </dataValidation>
    <dataValidation type="list" allowBlank="1" showInputMessage="1" showErrorMessage="1" sqref="H12:H35 H37:H139 H140 H141:H143 H144:H146 H147 H148:H356">
      <formula1>$BJ$6:$BJ$19</formula1>
    </dataValidation>
    <dataValidation type="list" allowBlank="1" showInputMessage="1" showErrorMessage="1" sqref="G12:G35 G37:G139 G140 G141:G143 G144:G146 G147 G148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55" workbookViewId="0">
      <selection activeCell="I61" sqref="I61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64.855468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1.855468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172</v>
      </c>
      <c r="C1" s="68" t="s" vm="1">
        <v>252</v>
      </c>
    </row>
    <row r="2" spans="2:63">
      <c r="B2" s="47" t="s">
        <v>171</v>
      </c>
      <c r="C2" s="68" t="s">
        <v>253</v>
      </c>
    </row>
    <row r="3" spans="2:63">
      <c r="B3" s="47" t="s">
        <v>173</v>
      </c>
      <c r="C3" s="68" t="s">
        <v>254</v>
      </c>
    </row>
    <row r="4" spans="2:63">
      <c r="B4" s="47" t="s">
        <v>174</v>
      </c>
      <c r="C4" s="68">
        <v>8602</v>
      </c>
    </row>
    <row r="6" spans="2:63" ht="26.25" customHeight="1">
      <c r="B6" s="123" t="s">
        <v>202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BK6" s="3"/>
    </row>
    <row r="7" spans="2:63" ht="26.25" customHeight="1">
      <c r="B7" s="123" t="s">
        <v>250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BH7" s="3"/>
      <c r="BK7" s="3"/>
    </row>
    <row r="8" spans="2:63" s="3" customFormat="1" ht="74.25" customHeight="1">
      <c r="B8" s="22" t="s">
        <v>108</v>
      </c>
      <c r="C8" s="30" t="s">
        <v>41</v>
      </c>
      <c r="D8" s="30" t="s">
        <v>112</v>
      </c>
      <c r="E8" s="30" t="s">
        <v>110</v>
      </c>
      <c r="F8" s="30" t="s">
        <v>61</v>
      </c>
      <c r="G8" s="30" t="s">
        <v>96</v>
      </c>
      <c r="H8" s="30" t="s">
        <v>229</v>
      </c>
      <c r="I8" s="30" t="s">
        <v>228</v>
      </c>
      <c r="J8" s="30" t="s">
        <v>243</v>
      </c>
      <c r="K8" s="30" t="s">
        <v>58</v>
      </c>
      <c r="L8" s="30" t="s">
        <v>55</v>
      </c>
      <c r="M8" s="30" t="s">
        <v>175</v>
      </c>
      <c r="N8" s="14" t="s">
        <v>177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236</v>
      </c>
      <c r="I9" s="32"/>
      <c r="J9" s="16" t="s">
        <v>232</v>
      </c>
      <c r="K9" s="16" t="s">
        <v>232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87" t="s">
        <v>246</v>
      </c>
      <c r="C11" s="88"/>
      <c r="D11" s="88"/>
      <c r="E11" s="88"/>
      <c r="F11" s="88"/>
      <c r="G11" s="88"/>
      <c r="H11" s="90"/>
      <c r="I11" s="92"/>
      <c r="J11" s="88"/>
      <c r="K11" s="90">
        <v>440.78892524899999</v>
      </c>
      <c r="L11" s="88"/>
      <c r="M11" s="93">
        <f>K11/$K$11</f>
        <v>1</v>
      </c>
      <c r="N11" s="93">
        <f>K11/'סכום נכסי הקרן'!$C$42</f>
        <v>5.4518360751963264E-3</v>
      </c>
      <c r="O11" s="5"/>
      <c r="BH11" s="1"/>
      <c r="BI11" s="3"/>
      <c r="BK11" s="1"/>
    </row>
    <row r="12" spans="2:63" ht="20.25">
      <c r="B12" s="71" t="s">
        <v>223</v>
      </c>
      <c r="C12" s="72"/>
      <c r="D12" s="72"/>
      <c r="E12" s="72"/>
      <c r="F12" s="72"/>
      <c r="G12" s="72"/>
      <c r="H12" s="80"/>
      <c r="I12" s="82"/>
      <c r="J12" s="72"/>
      <c r="K12" s="80">
        <v>83.909150407999974</v>
      </c>
      <c r="L12" s="72"/>
      <c r="M12" s="81">
        <f t="shared" ref="M12:M23" si="0">K12/$K$11</f>
        <v>0.19036129449168901</v>
      </c>
      <c r="N12" s="81">
        <f>K12/'סכום נכסי הקרן'!$C$42</f>
        <v>1.0378185726308618E-3</v>
      </c>
      <c r="BI12" s="4"/>
    </row>
    <row r="13" spans="2:63">
      <c r="B13" s="89" t="s">
        <v>247</v>
      </c>
      <c r="C13" s="72"/>
      <c r="D13" s="72"/>
      <c r="E13" s="72"/>
      <c r="F13" s="72"/>
      <c r="G13" s="72"/>
      <c r="H13" s="80"/>
      <c r="I13" s="82"/>
      <c r="J13" s="72"/>
      <c r="K13" s="80">
        <v>39.470158627000004</v>
      </c>
      <c r="L13" s="72"/>
      <c r="M13" s="81">
        <f t="shared" si="0"/>
        <v>8.9544351879311535E-2</v>
      </c>
      <c r="N13" s="81">
        <f>K13/'סכום נכסי הקרן'!$C$42</f>
        <v>4.881811279057046E-4</v>
      </c>
    </row>
    <row r="14" spans="2:63">
      <c r="B14" s="76" t="s">
        <v>1439</v>
      </c>
      <c r="C14" s="70" t="s">
        <v>1440</v>
      </c>
      <c r="D14" s="83" t="s">
        <v>113</v>
      </c>
      <c r="E14" s="70" t="s">
        <v>1441</v>
      </c>
      <c r="F14" s="83" t="s">
        <v>1442</v>
      </c>
      <c r="G14" s="83" t="s">
        <v>157</v>
      </c>
      <c r="H14" s="77">
        <v>319.98989999999998</v>
      </c>
      <c r="I14" s="79">
        <v>1308</v>
      </c>
      <c r="J14" s="70"/>
      <c r="K14" s="77">
        <v>4.1854678919999992</v>
      </c>
      <c r="L14" s="78">
        <v>4.4515255922319203E-6</v>
      </c>
      <c r="M14" s="78">
        <f t="shared" si="0"/>
        <v>9.4954016588226307E-3</v>
      </c>
      <c r="N14" s="78">
        <f>K14/'סכום נכסי הקרן'!$C$42</f>
        <v>5.176737331204826E-5</v>
      </c>
    </row>
    <row r="15" spans="2:63">
      <c r="B15" s="76" t="s">
        <v>1443</v>
      </c>
      <c r="C15" s="70" t="s">
        <v>1444</v>
      </c>
      <c r="D15" s="83" t="s">
        <v>113</v>
      </c>
      <c r="E15" s="70" t="s">
        <v>1441</v>
      </c>
      <c r="F15" s="83" t="s">
        <v>1442</v>
      </c>
      <c r="G15" s="83" t="s">
        <v>157</v>
      </c>
      <c r="H15" s="77">
        <v>195.59088299999999</v>
      </c>
      <c r="I15" s="79">
        <v>1735</v>
      </c>
      <c r="J15" s="70"/>
      <c r="K15" s="77">
        <v>3.3935018289999994</v>
      </c>
      <c r="L15" s="78">
        <v>4.7530146537946632E-6</v>
      </c>
      <c r="M15" s="78">
        <f t="shared" si="0"/>
        <v>7.6987002953466293E-3</v>
      </c>
      <c r="N15" s="78">
        <f>K15/'סכום נכסי הקרן'!$C$42</f>
        <v>4.1972052002295364E-5</v>
      </c>
    </row>
    <row r="16" spans="2:63" ht="20.25">
      <c r="B16" s="76" t="s">
        <v>1445</v>
      </c>
      <c r="C16" s="70" t="s">
        <v>1446</v>
      </c>
      <c r="D16" s="83" t="s">
        <v>113</v>
      </c>
      <c r="E16" s="70" t="s">
        <v>1447</v>
      </c>
      <c r="F16" s="83" t="s">
        <v>1442</v>
      </c>
      <c r="G16" s="83" t="s">
        <v>157</v>
      </c>
      <c r="H16" s="77">
        <v>0.20561599999999999</v>
      </c>
      <c r="I16" s="79">
        <v>1105</v>
      </c>
      <c r="J16" s="70"/>
      <c r="K16" s="77">
        <v>2.2720570000000001E-3</v>
      </c>
      <c r="L16" s="78">
        <v>4.1118841402811301E-7</v>
      </c>
      <c r="M16" s="78">
        <f t="shared" si="0"/>
        <v>5.1545237864506775E-6</v>
      </c>
      <c r="N16" s="78">
        <f>K16/'סכום נכסי הקרן'!$C$42</f>
        <v>2.8101618729429367E-8</v>
      </c>
      <c r="BH16" s="4"/>
    </row>
    <row r="17" spans="2:14">
      <c r="B17" s="76" t="s">
        <v>1448</v>
      </c>
      <c r="C17" s="70" t="s">
        <v>1449</v>
      </c>
      <c r="D17" s="83" t="s">
        <v>113</v>
      </c>
      <c r="E17" s="70" t="s">
        <v>1447</v>
      </c>
      <c r="F17" s="83" t="s">
        <v>1442</v>
      </c>
      <c r="G17" s="83" t="s">
        <v>157</v>
      </c>
      <c r="H17" s="77">
        <v>531.26034000000004</v>
      </c>
      <c r="I17" s="79">
        <v>1306</v>
      </c>
      <c r="J17" s="70"/>
      <c r="K17" s="77">
        <v>6.9382600399999994</v>
      </c>
      <c r="L17" s="78">
        <v>4.9354547977902011E-6</v>
      </c>
      <c r="M17" s="78">
        <f t="shared" si="0"/>
        <v>1.574054982456876E-2</v>
      </c>
      <c r="N17" s="78">
        <f>K17/'סכום נכסי הקרן'!$C$42</f>
        <v>8.581489737700917E-5</v>
      </c>
    </row>
    <row r="18" spans="2:14">
      <c r="B18" s="76" t="s">
        <v>1450</v>
      </c>
      <c r="C18" s="70" t="s">
        <v>1451</v>
      </c>
      <c r="D18" s="83" t="s">
        <v>113</v>
      </c>
      <c r="E18" s="70" t="s">
        <v>1447</v>
      </c>
      <c r="F18" s="83" t="s">
        <v>1442</v>
      </c>
      <c r="G18" s="83" t="s">
        <v>157</v>
      </c>
      <c r="H18" s="77">
        <v>118.22920000000001</v>
      </c>
      <c r="I18" s="79">
        <v>1714</v>
      </c>
      <c r="J18" s="70"/>
      <c r="K18" s="77">
        <v>2.0264484880000002</v>
      </c>
      <c r="L18" s="78">
        <v>1.6777414481471574E-6</v>
      </c>
      <c r="M18" s="78">
        <f t="shared" si="0"/>
        <v>4.5973216928153699E-3</v>
      </c>
      <c r="N18" s="78">
        <f>K18/'סכום נכסי הקרן'!$C$42</f>
        <v>2.5063844254173479E-5</v>
      </c>
    </row>
    <row r="19" spans="2:14">
      <c r="B19" s="76" t="s">
        <v>1452</v>
      </c>
      <c r="C19" s="70" t="s">
        <v>1453</v>
      </c>
      <c r="D19" s="83" t="s">
        <v>113</v>
      </c>
      <c r="E19" s="70" t="s">
        <v>1454</v>
      </c>
      <c r="F19" s="83" t="s">
        <v>1442</v>
      </c>
      <c r="G19" s="83" t="s">
        <v>157</v>
      </c>
      <c r="H19" s="77">
        <v>6.7981790000000002</v>
      </c>
      <c r="I19" s="79">
        <v>16820</v>
      </c>
      <c r="J19" s="70"/>
      <c r="K19" s="77">
        <v>1.143453708</v>
      </c>
      <c r="L19" s="78">
        <v>7.4443680097275773E-7</v>
      </c>
      <c r="M19" s="78">
        <f t="shared" si="0"/>
        <v>2.5941071621844113E-3</v>
      </c>
      <c r="N19" s="78">
        <f>K19/'סכום נכסי הקרן'!$C$42</f>
        <v>1.4142647009722142E-5</v>
      </c>
    </row>
    <row r="20" spans="2:14">
      <c r="B20" s="76" t="s">
        <v>1455</v>
      </c>
      <c r="C20" s="70" t="s">
        <v>1456</v>
      </c>
      <c r="D20" s="83" t="s">
        <v>113</v>
      </c>
      <c r="E20" s="70" t="s">
        <v>1454</v>
      </c>
      <c r="F20" s="83" t="s">
        <v>1442</v>
      </c>
      <c r="G20" s="83" t="s">
        <v>157</v>
      </c>
      <c r="H20" s="77">
        <v>82.503420000000006</v>
      </c>
      <c r="I20" s="79">
        <v>13170</v>
      </c>
      <c r="J20" s="70"/>
      <c r="K20" s="77">
        <v>10.865700413999999</v>
      </c>
      <c r="L20" s="78">
        <v>6.0103539900758241E-6</v>
      </c>
      <c r="M20" s="78">
        <f t="shared" si="0"/>
        <v>2.4650574893327927E-2</v>
      </c>
      <c r="N20" s="78">
        <f>K20/'סכום נכסי הקרן'!$C$42</f>
        <v>1.3439089347777402E-4</v>
      </c>
    </row>
    <row r="21" spans="2:14">
      <c r="B21" s="76" t="s">
        <v>1457</v>
      </c>
      <c r="C21" s="70" t="s">
        <v>1458</v>
      </c>
      <c r="D21" s="83" t="s">
        <v>113</v>
      </c>
      <c r="E21" s="70" t="s">
        <v>1459</v>
      </c>
      <c r="F21" s="83" t="s">
        <v>1442</v>
      </c>
      <c r="G21" s="83" t="s">
        <v>157</v>
      </c>
      <c r="H21" s="77">
        <v>400.95119999999997</v>
      </c>
      <c r="I21" s="79">
        <v>1311</v>
      </c>
      <c r="J21" s="70"/>
      <c r="K21" s="77">
        <v>5.2564702319999999</v>
      </c>
      <c r="L21" s="78">
        <v>2.0821416792765381E-6</v>
      </c>
      <c r="M21" s="78">
        <f t="shared" si="0"/>
        <v>1.1925141333872307E-2</v>
      </c>
      <c r="N21" s="78">
        <f>K21/'סכום נכסי הקרן'!$C$42</f>
        <v>6.5013915725819875E-5</v>
      </c>
    </row>
    <row r="22" spans="2:14">
      <c r="B22" s="76" t="s">
        <v>1460</v>
      </c>
      <c r="C22" s="70" t="s">
        <v>1461</v>
      </c>
      <c r="D22" s="83" t="s">
        <v>113</v>
      </c>
      <c r="E22" s="70" t="s">
        <v>1459</v>
      </c>
      <c r="F22" s="83" t="s">
        <v>1442</v>
      </c>
      <c r="G22" s="83" t="s">
        <v>157</v>
      </c>
      <c r="H22" s="77">
        <v>6.0999999999999992E-5</v>
      </c>
      <c r="I22" s="79">
        <v>1327</v>
      </c>
      <c r="J22" s="70"/>
      <c r="K22" s="77">
        <v>8.0500000000000002E-7</v>
      </c>
      <c r="L22" s="78">
        <v>6.5633514805339273E-13</v>
      </c>
      <c r="M22" s="78">
        <f t="shared" si="0"/>
        <v>1.8262709289832058E-9</v>
      </c>
      <c r="N22" s="78">
        <f>K22/'סכום נכסי הקרן'!$C$42</f>
        <v>9.9565297337129483E-12</v>
      </c>
    </row>
    <row r="23" spans="2:14">
      <c r="B23" s="76" t="s">
        <v>1462</v>
      </c>
      <c r="C23" s="70" t="s">
        <v>1463</v>
      </c>
      <c r="D23" s="83" t="s">
        <v>113</v>
      </c>
      <c r="E23" s="70" t="s">
        <v>1459</v>
      </c>
      <c r="F23" s="83" t="s">
        <v>1442</v>
      </c>
      <c r="G23" s="83" t="s">
        <v>157</v>
      </c>
      <c r="H23" s="77">
        <v>331.29878000000002</v>
      </c>
      <c r="I23" s="79">
        <v>1708</v>
      </c>
      <c r="J23" s="70"/>
      <c r="K23" s="77">
        <v>5.6585831620000002</v>
      </c>
      <c r="L23" s="78">
        <v>3.5055454483737176E-6</v>
      </c>
      <c r="M23" s="78">
        <f t="shared" si="0"/>
        <v>1.2837398668316107E-2</v>
      </c>
      <c r="N23" s="78">
        <f>K23/'סכום נכסי הקרן'!$C$42</f>
        <v>6.9987393171603028E-5</v>
      </c>
    </row>
    <row r="24" spans="2:14">
      <c r="B24" s="73"/>
      <c r="C24" s="70"/>
      <c r="D24" s="70"/>
      <c r="E24" s="70"/>
      <c r="F24" s="70"/>
      <c r="G24" s="70"/>
      <c r="H24" s="77"/>
      <c r="I24" s="79"/>
      <c r="J24" s="70"/>
      <c r="K24" s="70"/>
      <c r="L24" s="70"/>
      <c r="M24" s="78"/>
      <c r="N24" s="70"/>
    </row>
    <row r="25" spans="2:14">
      <c r="B25" s="89" t="s">
        <v>248</v>
      </c>
      <c r="C25" s="72"/>
      <c r="D25" s="72"/>
      <c r="E25" s="72"/>
      <c r="F25" s="72"/>
      <c r="G25" s="72"/>
      <c r="H25" s="80"/>
      <c r="I25" s="82"/>
      <c r="J25" s="72"/>
      <c r="K25" s="80">
        <v>44.438991781000006</v>
      </c>
      <c r="L25" s="72"/>
      <c r="M25" s="81">
        <f t="shared" ref="M25:M39" si="1">K25/$K$11</f>
        <v>0.10081694261237754</v>
      </c>
      <c r="N25" s="81">
        <f>K25/'סכום נכסי הקרן'!$C$42</f>
        <v>5.4963744472515759E-4</v>
      </c>
    </row>
    <row r="26" spans="2:14">
      <c r="B26" s="76" t="s">
        <v>1464</v>
      </c>
      <c r="C26" s="70" t="s">
        <v>1465</v>
      </c>
      <c r="D26" s="83" t="s">
        <v>113</v>
      </c>
      <c r="E26" s="70" t="s">
        <v>1441</v>
      </c>
      <c r="F26" s="83" t="s">
        <v>1466</v>
      </c>
      <c r="G26" s="83" t="s">
        <v>157</v>
      </c>
      <c r="H26" s="77">
        <v>392.69339999999994</v>
      </c>
      <c r="I26" s="79">
        <v>315.60000000000002</v>
      </c>
      <c r="J26" s="70"/>
      <c r="K26" s="77">
        <v>1.2393403699999999</v>
      </c>
      <c r="L26" s="78">
        <v>1.4750845135835515E-5</v>
      </c>
      <c r="M26" s="78">
        <f t="shared" si="1"/>
        <v>2.8116413526040863E-3</v>
      </c>
      <c r="N26" s="78">
        <f>K26/'סכום נכסי הקרן'!$C$42</f>
        <v>1.5328607756640752E-5</v>
      </c>
    </row>
    <row r="27" spans="2:14">
      <c r="B27" s="76" t="s">
        <v>1467</v>
      </c>
      <c r="C27" s="70" t="s">
        <v>1468</v>
      </c>
      <c r="D27" s="83" t="s">
        <v>113</v>
      </c>
      <c r="E27" s="70" t="s">
        <v>1441</v>
      </c>
      <c r="F27" s="83" t="s">
        <v>1466</v>
      </c>
      <c r="G27" s="83" t="s">
        <v>157</v>
      </c>
      <c r="H27" s="77">
        <v>2921.3088819999998</v>
      </c>
      <c r="I27" s="79">
        <v>325.79000000000002</v>
      </c>
      <c r="J27" s="70"/>
      <c r="K27" s="77">
        <v>9.517332205999999</v>
      </c>
      <c r="L27" s="78">
        <v>1.255155386737557E-5</v>
      </c>
      <c r="M27" s="78">
        <f t="shared" si="1"/>
        <v>2.1591586496016647E-2</v>
      </c>
      <c r="N27" s="78">
        <f>K27/'סכום נכסי הקרן'!$C$42</f>
        <v>1.1771379017970539E-4</v>
      </c>
    </row>
    <row r="28" spans="2:14">
      <c r="B28" s="76" t="s">
        <v>1469</v>
      </c>
      <c r="C28" s="70" t="s">
        <v>1470</v>
      </c>
      <c r="D28" s="83" t="s">
        <v>113</v>
      </c>
      <c r="E28" s="70" t="s">
        <v>1447</v>
      </c>
      <c r="F28" s="83" t="s">
        <v>1466</v>
      </c>
      <c r="G28" s="83" t="s">
        <v>157</v>
      </c>
      <c r="H28" s="77">
        <v>1902.97066</v>
      </c>
      <c r="I28" s="79">
        <v>326.35000000000002</v>
      </c>
      <c r="J28" s="70"/>
      <c r="K28" s="77">
        <v>6.2103447480000007</v>
      </c>
      <c r="L28" s="78">
        <v>4.9760476228958564E-6</v>
      </c>
      <c r="M28" s="78">
        <f t="shared" si="1"/>
        <v>1.4089157853709233E-2</v>
      </c>
      <c r="N28" s="78">
        <f>K28/'סכום נכסי הקרן'!$C$42</f>
        <v>7.6811779055987642E-5</v>
      </c>
    </row>
    <row r="29" spans="2:14">
      <c r="B29" s="76" t="s">
        <v>1471</v>
      </c>
      <c r="C29" s="70" t="s">
        <v>1472</v>
      </c>
      <c r="D29" s="83" t="s">
        <v>113</v>
      </c>
      <c r="E29" s="70" t="s">
        <v>1447</v>
      </c>
      <c r="F29" s="83" t="s">
        <v>1466</v>
      </c>
      <c r="G29" s="83" t="s">
        <v>157</v>
      </c>
      <c r="H29" s="77">
        <v>2.3E-5</v>
      </c>
      <c r="I29" s="79">
        <v>332.53</v>
      </c>
      <c r="J29" s="70"/>
      <c r="K29" s="77">
        <v>7.7999999999999997E-8</v>
      </c>
      <c r="L29" s="78">
        <v>9.6101024739850865E-14</v>
      </c>
      <c r="M29" s="78">
        <f t="shared" si="1"/>
        <v>1.7695544405054664E-10</v>
      </c>
      <c r="N29" s="78">
        <f>K29/'סכום נכסי הקרן'!$C$42</f>
        <v>9.647320735771553E-13</v>
      </c>
    </row>
    <row r="30" spans="2:14">
      <c r="B30" s="76" t="s">
        <v>1473</v>
      </c>
      <c r="C30" s="70" t="s">
        <v>1474</v>
      </c>
      <c r="D30" s="83" t="s">
        <v>113</v>
      </c>
      <c r="E30" s="70" t="s">
        <v>1447</v>
      </c>
      <c r="F30" s="83" t="s">
        <v>1466</v>
      </c>
      <c r="G30" s="83" t="s">
        <v>157</v>
      </c>
      <c r="H30" s="77">
        <v>1.0200000000000001E-4</v>
      </c>
      <c r="I30" s="79">
        <v>316.7</v>
      </c>
      <c r="J30" s="70"/>
      <c r="K30" s="77">
        <v>3.22E-7</v>
      </c>
      <c r="L30" s="78">
        <v>2.3969981686933995E-12</v>
      </c>
      <c r="M30" s="78">
        <f t="shared" si="1"/>
        <v>7.3050837159328228E-10</v>
      </c>
      <c r="N30" s="78">
        <f>K30/'סכום נכסי הקרן'!$C$42</f>
        <v>3.9826118934851796E-12</v>
      </c>
    </row>
    <row r="31" spans="2:14">
      <c r="B31" s="76" t="s">
        <v>1475</v>
      </c>
      <c r="C31" s="70" t="s">
        <v>1476</v>
      </c>
      <c r="D31" s="83" t="s">
        <v>113</v>
      </c>
      <c r="E31" s="70" t="s">
        <v>1447</v>
      </c>
      <c r="F31" s="83" t="s">
        <v>1466</v>
      </c>
      <c r="G31" s="83" t="s">
        <v>157</v>
      </c>
      <c r="H31" s="77">
        <v>941.21511799999996</v>
      </c>
      <c r="I31" s="79">
        <v>355.27</v>
      </c>
      <c r="J31" s="70"/>
      <c r="K31" s="77">
        <v>3.3438549499999999</v>
      </c>
      <c r="L31" s="78">
        <v>4.2743261997646104E-6</v>
      </c>
      <c r="M31" s="78">
        <f t="shared" si="1"/>
        <v>7.5860684297162613E-3</v>
      </c>
      <c r="N31" s="78">
        <f>K31/'סכום נכסי הקרן'!$C$42</f>
        <v>4.1358001534035058E-5</v>
      </c>
    </row>
    <row r="32" spans="2:14">
      <c r="B32" s="76" t="s">
        <v>1477</v>
      </c>
      <c r="C32" s="70" t="s">
        <v>1478</v>
      </c>
      <c r="D32" s="83" t="s">
        <v>113</v>
      </c>
      <c r="E32" s="70" t="s">
        <v>1454</v>
      </c>
      <c r="F32" s="83" t="s">
        <v>1466</v>
      </c>
      <c r="G32" s="83" t="s">
        <v>157</v>
      </c>
      <c r="H32" s="77">
        <v>1.976712</v>
      </c>
      <c r="I32" s="79">
        <v>3321.67</v>
      </c>
      <c r="J32" s="70"/>
      <c r="K32" s="77">
        <v>6.5659851000000005E-2</v>
      </c>
      <c r="L32" s="78">
        <v>8.6444351179979882E-8</v>
      </c>
      <c r="M32" s="78">
        <f t="shared" si="1"/>
        <v>1.4895984730766321E-4</v>
      </c>
      <c r="N32" s="78">
        <f>K32/'סכום נכסי הקרן'!$C$42</f>
        <v>8.1210466930765456E-7</v>
      </c>
    </row>
    <row r="33" spans="2:14">
      <c r="B33" s="76" t="s">
        <v>1479</v>
      </c>
      <c r="C33" s="70" t="s">
        <v>1480</v>
      </c>
      <c r="D33" s="83" t="s">
        <v>113</v>
      </c>
      <c r="E33" s="70" t="s">
        <v>1454</v>
      </c>
      <c r="F33" s="83" t="s">
        <v>1466</v>
      </c>
      <c r="G33" s="83" t="s">
        <v>157</v>
      </c>
      <c r="H33" s="77">
        <v>8.7583079999999995</v>
      </c>
      <c r="I33" s="79">
        <v>3144.84</v>
      </c>
      <c r="J33" s="70"/>
      <c r="K33" s="77">
        <v>0.27543477300000002</v>
      </c>
      <c r="L33" s="78">
        <v>1.6340791472488992E-6</v>
      </c>
      <c r="M33" s="78">
        <f t="shared" si="1"/>
        <v>6.2486772516892966E-4</v>
      </c>
      <c r="N33" s="78">
        <f>K33/'סכום נכסי הקרן'!$C$42</f>
        <v>3.4066764063018344E-6</v>
      </c>
    </row>
    <row r="34" spans="2:14">
      <c r="B34" s="76" t="s">
        <v>1481</v>
      </c>
      <c r="C34" s="70" t="s">
        <v>1482</v>
      </c>
      <c r="D34" s="83" t="s">
        <v>113</v>
      </c>
      <c r="E34" s="70" t="s">
        <v>1454</v>
      </c>
      <c r="F34" s="83" t="s">
        <v>1466</v>
      </c>
      <c r="G34" s="83" t="s">
        <v>157</v>
      </c>
      <c r="H34" s="77">
        <v>177.447192</v>
      </c>
      <c r="I34" s="79">
        <v>3245.67</v>
      </c>
      <c r="J34" s="70"/>
      <c r="K34" s="77">
        <v>5.7593502600000015</v>
      </c>
      <c r="L34" s="78">
        <v>4.8373523112114668E-6</v>
      </c>
      <c r="M34" s="78">
        <f t="shared" si="1"/>
        <v>1.3066004906422199E-2</v>
      </c>
      <c r="N34" s="78">
        <f>K34/'סכום נכסי הקרן'!$C$42</f>
        <v>7.1233716907524746E-5</v>
      </c>
    </row>
    <row r="35" spans="2:14">
      <c r="B35" s="76" t="s">
        <v>1483</v>
      </c>
      <c r="C35" s="70" t="s">
        <v>1484</v>
      </c>
      <c r="D35" s="83" t="s">
        <v>113</v>
      </c>
      <c r="E35" s="70" t="s">
        <v>1454</v>
      </c>
      <c r="F35" s="83" t="s">
        <v>1466</v>
      </c>
      <c r="G35" s="83" t="s">
        <v>157</v>
      </c>
      <c r="H35" s="77">
        <v>108.493033</v>
      </c>
      <c r="I35" s="79">
        <v>3563.87</v>
      </c>
      <c r="J35" s="70"/>
      <c r="K35" s="77">
        <v>3.866550642</v>
      </c>
      <c r="L35" s="78">
        <v>7.3147309465822469E-6</v>
      </c>
      <c r="M35" s="78">
        <f t="shared" si="1"/>
        <v>8.7718869974235409E-3</v>
      </c>
      <c r="N35" s="78">
        <f>K35/'סכום נכסי הקרן'!$C$42</f>
        <v>4.7822889980099244E-5</v>
      </c>
    </row>
    <row r="36" spans="2:14">
      <c r="B36" s="76" t="s">
        <v>1485</v>
      </c>
      <c r="C36" s="70" t="s">
        <v>1486</v>
      </c>
      <c r="D36" s="83" t="s">
        <v>113</v>
      </c>
      <c r="E36" s="70" t="s">
        <v>1459</v>
      </c>
      <c r="F36" s="83" t="s">
        <v>1466</v>
      </c>
      <c r="G36" s="83" t="s">
        <v>157</v>
      </c>
      <c r="H36" s="77">
        <v>2.3E-5</v>
      </c>
      <c r="I36" s="79">
        <v>332.26</v>
      </c>
      <c r="J36" s="70"/>
      <c r="K36" s="77">
        <v>7.8999999999999993E-8</v>
      </c>
      <c r="L36" s="78">
        <v>7.3589047123968538E-14</v>
      </c>
      <c r="M36" s="78">
        <f t="shared" si="1"/>
        <v>1.7922410358965619E-10</v>
      </c>
      <c r="N36" s="78">
        <f>K36/'סכום נכסי הקרן'!$C$42</f>
        <v>9.7710043349481106E-13</v>
      </c>
    </row>
    <row r="37" spans="2:14">
      <c r="B37" s="76" t="s">
        <v>1487</v>
      </c>
      <c r="C37" s="70" t="s">
        <v>1488</v>
      </c>
      <c r="D37" s="83" t="s">
        <v>113</v>
      </c>
      <c r="E37" s="70" t="s">
        <v>1459</v>
      </c>
      <c r="F37" s="83" t="s">
        <v>1466</v>
      </c>
      <c r="G37" s="83" t="s">
        <v>157</v>
      </c>
      <c r="H37" s="77">
        <v>6.3E-5</v>
      </c>
      <c r="I37" s="79">
        <v>316.33</v>
      </c>
      <c r="J37" s="70"/>
      <c r="K37" s="77">
        <v>1.98E-7</v>
      </c>
      <c r="L37" s="78">
        <v>1.2594933813822728E-12</v>
      </c>
      <c r="M37" s="78">
        <f t="shared" si="1"/>
        <v>4.491945887436953E-10</v>
      </c>
      <c r="N37" s="78">
        <f>K37/'סכום נכסי הקרן'!$C$42</f>
        <v>2.4489352636958555E-12</v>
      </c>
    </row>
    <row r="38" spans="2:14">
      <c r="B38" s="76" t="s">
        <v>1489</v>
      </c>
      <c r="C38" s="70" t="s">
        <v>1490</v>
      </c>
      <c r="D38" s="83" t="s">
        <v>113</v>
      </c>
      <c r="E38" s="70" t="s">
        <v>1459</v>
      </c>
      <c r="F38" s="83" t="s">
        <v>1466</v>
      </c>
      <c r="G38" s="83" t="s">
        <v>157</v>
      </c>
      <c r="H38" s="77">
        <v>2408.7962090000001</v>
      </c>
      <c r="I38" s="79">
        <v>326</v>
      </c>
      <c r="J38" s="70"/>
      <c r="K38" s="77">
        <v>7.8526756420000003</v>
      </c>
      <c r="L38" s="78">
        <v>6.092406511264142E-6</v>
      </c>
      <c r="M38" s="78">
        <f t="shared" si="1"/>
        <v>1.7815047502756684E-2</v>
      </c>
      <c r="N38" s="78">
        <f>K38/'סכום נכסי הקרן'!$C$42</f>
        <v>9.7124718656865124E-5</v>
      </c>
    </row>
    <row r="39" spans="2:14">
      <c r="B39" s="76" t="s">
        <v>1491</v>
      </c>
      <c r="C39" s="70" t="s">
        <v>1492</v>
      </c>
      <c r="D39" s="83" t="s">
        <v>113</v>
      </c>
      <c r="E39" s="70" t="s">
        <v>1459</v>
      </c>
      <c r="F39" s="83" t="s">
        <v>1466</v>
      </c>
      <c r="G39" s="83" t="s">
        <v>157</v>
      </c>
      <c r="H39" s="77">
        <v>1761.4965689999999</v>
      </c>
      <c r="I39" s="79">
        <v>358.13</v>
      </c>
      <c r="J39" s="70"/>
      <c r="K39" s="77">
        <v>6.3084476619999998</v>
      </c>
      <c r="L39" s="78">
        <v>7.676791755136616E-6</v>
      </c>
      <c r="M39" s="78">
        <f t="shared" si="1"/>
        <v>1.4311719965369778E-2</v>
      </c>
      <c r="N39" s="78">
        <f>K39/'סכום נכסי הקרן'!$C$42</f>
        <v>7.8025151205310479E-5</v>
      </c>
    </row>
    <row r="40" spans="2:14">
      <c r="B40" s="73"/>
      <c r="C40" s="70"/>
      <c r="D40" s="70"/>
      <c r="E40" s="70"/>
      <c r="F40" s="70"/>
      <c r="G40" s="70"/>
      <c r="H40" s="77"/>
      <c r="I40" s="79"/>
      <c r="J40" s="70"/>
      <c r="K40" s="70"/>
      <c r="L40" s="70"/>
      <c r="M40" s="78"/>
      <c r="N40" s="70"/>
    </row>
    <row r="41" spans="2:14">
      <c r="B41" s="71" t="s">
        <v>222</v>
      </c>
      <c r="C41" s="72"/>
      <c r="D41" s="72"/>
      <c r="E41" s="72"/>
      <c r="F41" s="72"/>
      <c r="G41" s="72"/>
      <c r="H41" s="80"/>
      <c r="I41" s="82"/>
      <c r="J41" s="72"/>
      <c r="K41" s="80">
        <v>356.87977484099997</v>
      </c>
      <c r="L41" s="72"/>
      <c r="M41" s="81">
        <f t="shared" ref="M41:M86" si="2">K41/$K$11</f>
        <v>0.80963870550831096</v>
      </c>
      <c r="N41" s="81">
        <f>K41/'סכום נכסי הקרן'!$C$42</f>
        <v>4.4140175025654642E-3</v>
      </c>
    </row>
    <row r="42" spans="2:14">
      <c r="B42" s="89" t="s">
        <v>249</v>
      </c>
      <c r="C42" s="72"/>
      <c r="D42" s="72"/>
      <c r="E42" s="72"/>
      <c r="F42" s="72"/>
      <c r="G42" s="72"/>
      <c r="H42" s="80"/>
      <c r="I42" s="82"/>
      <c r="J42" s="72"/>
      <c r="K42" s="80">
        <v>356.87977484099997</v>
      </c>
      <c r="L42" s="72"/>
      <c r="M42" s="81">
        <f t="shared" si="2"/>
        <v>0.80963870550831096</v>
      </c>
      <c r="N42" s="81">
        <f>K42/'סכום נכסי הקרן'!$C$42</f>
        <v>4.4140175025654642E-3</v>
      </c>
    </row>
    <row r="43" spans="2:14">
      <c r="B43" s="76" t="s">
        <v>1493</v>
      </c>
      <c r="C43" s="70" t="s">
        <v>1494</v>
      </c>
      <c r="D43" s="83" t="s">
        <v>26</v>
      </c>
      <c r="E43" s="70"/>
      <c r="F43" s="83" t="s">
        <v>1442</v>
      </c>
      <c r="G43" s="83" t="s">
        <v>156</v>
      </c>
      <c r="H43" s="77">
        <v>36.579087000000001</v>
      </c>
      <c r="I43" s="79">
        <v>3371.14</v>
      </c>
      <c r="J43" s="70"/>
      <c r="K43" s="77">
        <v>4.2740364379999995</v>
      </c>
      <c r="L43" s="78">
        <v>1.8399219406962966E-6</v>
      </c>
      <c r="M43" s="78">
        <f t="shared" si="2"/>
        <v>9.6963335355705962E-3</v>
      </c>
      <c r="N43" s="78">
        <f>K43/'סכום נכסי הקרן'!$C$42</f>
        <v>5.2862820966359723E-5</v>
      </c>
    </row>
    <row r="44" spans="2:14">
      <c r="B44" s="76" t="s">
        <v>1495</v>
      </c>
      <c r="C44" s="70" t="s">
        <v>1496</v>
      </c>
      <c r="D44" s="83" t="s">
        <v>26</v>
      </c>
      <c r="E44" s="70"/>
      <c r="F44" s="83" t="s">
        <v>1442</v>
      </c>
      <c r="G44" s="83" t="s">
        <v>156</v>
      </c>
      <c r="H44" s="77">
        <v>1.520084</v>
      </c>
      <c r="I44" s="79">
        <v>449.32</v>
      </c>
      <c r="J44" s="70"/>
      <c r="K44" s="77">
        <v>2.3672947E-2</v>
      </c>
      <c r="L44" s="78">
        <v>3.4618558117345701E-9</v>
      </c>
      <c r="M44" s="78">
        <f t="shared" si="2"/>
        <v>5.3705857030385328E-5</v>
      </c>
      <c r="N44" s="78">
        <f>K44/'סכום נכסי הקרן'!$C$42</f>
        <v>2.9279552880759097E-7</v>
      </c>
    </row>
    <row r="45" spans="2:14">
      <c r="B45" s="76" t="s">
        <v>1497</v>
      </c>
      <c r="C45" s="70" t="s">
        <v>1498</v>
      </c>
      <c r="D45" s="83" t="s">
        <v>26</v>
      </c>
      <c r="E45" s="70"/>
      <c r="F45" s="83" t="s">
        <v>1442</v>
      </c>
      <c r="G45" s="83" t="s">
        <v>156</v>
      </c>
      <c r="H45" s="77">
        <v>62.06815499999999</v>
      </c>
      <c r="I45" s="79">
        <v>5940.9</v>
      </c>
      <c r="J45" s="70"/>
      <c r="K45" s="77">
        <v>12.780552363999998</v>
      </c>
      <c r="L45" s="78">
        <v>2.1713007083051516E-6</v>
      </c>
      <c r="M45" s="78">
        <f t="shared" si="2"/>
        <v>2.8994722035677989E-2</v>
      </c>
      <c r="N45" s="78">
        <f>K45/'סכום נכסי הקרן'!$C$42</f>
        <v>1.5807447158439913E-4</v>
      </c>
    </row>
    <row r="46" spans="2:14">
      <c r="B46" s="76" t="s">
        <v>1499</v>
      </c>
      <c r="C46" s="70" t="s">
        <v>1500</v>
      </c>
      <c r="D46" s="83" t="s">
        <v>26</v>
      </c>
      <c r="E46" s="70"/>
      <c r="F46" s="83" t="s">
        <v>1442</v>
      </c>
      <c r="G46" s="83" t="s">
        <v>158</v>
      </c>
      <c r="H46" s="77">
        <v>13.308400999999998</v>
      </c>
      <c r="I46" s="79">
        <v>5500.1</v>
      </c>
      <c r="J46" s="70"/>
      <c r="K46" s="77">
        <v>2.8421137270000001</v>
      </c>
      <c r="L46" s="78">
        <v>8.8660126569376175E-7</v>
      </c>
      <c r="M46" s="78">
        <f t="shared" si="2"/>
        <v>6.4477884179928091E-3</v>
      </c>
      <c r="N46" s="78">
        <f>K46/'סכום נכסי הקרן'!$C$42</f>
        <v>3.5152285502446247E-5</v>
      </c>
    </row>
    <row r="47" spans="2:14">
      <c r="B47" s="76" t="s">
        <v>1501</v>
      </c>
      <c r="C47" s="70" t="s">
        <v>1502</v>
      </c>
      <c r="D47" s="83" t="s">
        <v>1179</v>
      </c>
      <c r="E47" s="70"/>
      <c r="F47" s="83" t="s">
        <v>1442</v>
      </c>
      <c r="G47" s="83" t="s">
        <v>156</v>
      </c>
      <c r="H47" s="77">
        <v>34.126539999999999</v>
      </c>
      <c r="I47" s="79">
        <v>5404</v>
      </c>
      <c r="J47" s="70"/>
      <c r="K47" s="77">
        <v>6.3919910360000003</v>
      </c>
      <c r="L47" s="78">
        <v>2.0086250735726897E-7</v>
      </c>
      <c r="M47" s="78">
        <f t="shared" si="2"/>
        <v>1.4501251437724278E-2</v>
      </c>
      <c r="N47" s="78">
        <f>K47/'סכום נכסי הקרן'!$C$42</f>
        <v>7.9058445723677816E-5</v>
      </c>
    </row>
    <row r="48" spans="2:14">
      <c r="B48" s="76" t="s">
        <v>1503</v>
      </c>
      <c r="C48" s="70" t="s">
        <v>1504</v>
      </c>
      <c r="D48" s="83" t="s">
        <v>1179</v>
      </c>
      <c r="E48" s="70"/>
      <c r="F48" s="83" t="s">
        <v>1442</v>
      </c>
      <c r="G48" s="83" t="s">
        <v>156</v>
      </c>
      <c r="H48" s="77">
        <v>17.491040000000002</v>
      </c>
      <c r="I48" s="79">
        <v>12771</v>
      </c>
      <c r="J48" s="70"/>
      <c r="K48" s="77">
        <v>7.7422839700000008</v>
      </c>
      <c r="L48" s="78">
        <v>1.7080551309054132E-7</v>
      </c>
      <c r="M48" s="78">
        <f t="shared" si="2"/>
        <v>1.7564606383035631E-2</v>
      </c>
      <c r="N48" s="78">
        <f>K48/'סכום נכסי הקרן'!$C$42</f>
        <v>9.5759354725657311E-5</v>
      </c>
    </row>
    <row r="49" spans="2:14">
      <c r="B49" s="76" t="s">
        <v>1505</v>
      </c>
      <c r="C49" s="70" t="s">
        <v>1506</v>
      </c>
      <c r="D49" s="83" t="s">
        <v>1179</v>
      </c>
      <c r="E49" s="70"/>
      <c r="F49" s="83" t="s">
        <v>1442</v>
      </c>
      <c r="G49" s="83" t="s">
        <v>156</v>
      </c>
      <c r="H49" s="77">
        <v>26.517557</v>
      </c>
      <c r="I49" s="79">
        <v>5864</v>
      </c>
      <c r="J49" s="70"/>
      <c r="K49" s="77">
        <v>5.3895938269999997</v>
      </c>
      <c r="L49" s="78">
        <v>1.1834401265533586E-7</v>
      </c>
      <c r="M49" s="78">
        <f t="shared" si="2"/>
        <v>1.2227153447549615E-2</v>
      </c>
      <c r="N49" s="78">
        <f>K49/'סכום נכסי הקרן'!$C$42</f>
        <v>6.6660436262312126E-5</v>
      </c>
    </row>
    <row r="50" spans="2:14">
      <c r="B50" s="76" t="s">
        <v>1507</v>
      </c>
      <c r="C50" s="70" t="s">
        <v>1508</v>
      </c>
      <c r="D50" s="83" t="s">
        <v>117</v>
      </c>
      <c r="E50" s="70"/>
      <c r="F50" s="83" t="s">
        <v>1442</v>
      </c>
      <c r="G50" s="83" t="s">
        <v>166</v>
      </c>
      <c r="H50" s="77">
        <v>569.07490299999995</v>
      </c>
      <c r="I50" s="79">
        <v>1653</v>
      </c>
      <c r="J50" s="70"/>
      <c r="K50" s="77">
        <v>30.264523842999999</v>
      </c>
      <c r="L50" s="78">
        <v>1.6848677087392617E-7</v>
      </c>
      <c r="M50" s="78">
        <f t="shared" si="2"/>
        <v>6.8659900713031033E-2</v>
      </c>
      <c r="N50" s="78">
        <f>K50/'סכום נכסי הקרן'!$C$42</f>
        <v>3.743225236267006E-4</v>
      </c>
    </row>
    <row r="51" spans="2:14">
      <c r="B51" s="76" t="s">
        <v>1509</v>
      </c>
      <c r="C51" s="70" t="s">
        <v>1510</v>
      </c>
      <c r="D51" s="83" t="s">
        <v>1179</v>
      </c>
      <c r="E51" s="70"/>
      <c r="F51" s="83" t="s">
        <v>1442</v>
      </c>
      <c r="G51" s="83" t="s">
        <v>156</v>
      </c>
      <c r="H51" s="77">
        <v>11.064984000000003</v>
      </c>
      <c r="I51" s="79">
        <v>10007</v>
      </c>
      <c r="J51" s="70"/>
      <c r="K51" s="77">
        <v>3.8378080409999993</v>
      </c>
      <c r="L51" s="78">
        <v>4.77113103573958E-8</v>
      </c>
      <c r="M51" s="78">
        <f t="shared" si="2"/>
        <v>8.7066798214860686E-3</v>
      </c>
      <c r="N51" s="78">
        <f>K51/'סכום נכסי הקרן'!$C$42</f>
        <v>4.746739114596166E-5</v>
      </c>
    </row>
    <row r="52" spans="2:14">
      <c r="B52" s="76" t="s">
        <v>1511</v>
      </c>
      <c r="C52" s="70" t="s">
        <v>1512</v>
      </c>
      <c r="D52" s="83" t="s">
        <v>26</v>
      </c>
      <c r="E52" s="70"/>
      <c r="F52" s="83" t="s">
        <v>1442</v>
      </c>
      <c r="G52" s="83" t="s">
        <v>165</v>
      </c>
      <c r="H52" s="77">
        <v>81.378641999999999</v>
      </c>
      <c r="I52" s="79">
        <v>3530</v>
      </c>
      <c r="J52" s="70"/>
      <c r="K52" s="77">
        <v>7.2701432349999999</v>
      </c>
      <c r="L52" s="78">
        <v>1.4380965447890432E-6</v>
      </c>
      <c r="M52" s="78">
        <f t="shared" si="2"/>
        <v>1.6493479800775673E-2</v>
      </c>
      <c r="N52" s="78">
        <f>K52/'סכום נכסי הקרן'!$C$42</f>
        <v>8.9919748183390734E-5</v>
      </c>
    </row>
    <row r="53" spans="2:14">
      <c r="B53" s="76" t="s">
        <v>1513</v>
      </c>
      <c r="C53" s="70" t="s">
        <v>1514</v>
      </c>
      <c r="D53" s="83" t="s">
        <v>116</v>
      </c>
      <c r="E53" s="70"/>
      <c r="F53" s="83" t="s">
        <v>1442</v>
      </c>
      <c r="G53" s="83" t="s">
        <v>156</v>
      </c>
      <c r="H53" s="77">
        <v>245.80381</v>
      </c>
      <c r="I53" s="79">
        <v>459.5</v>
      </c>
      <c r="J53" s="70"/>
      <c r="K53" s="77">
        <v>3.9147378379999997</v>
      </c>
      <c r="L53" s="78">
        <v>1.2259541645885286E-6</v>
      </c>
      <c r="M53" s="78">
        <f t="shared" si="2"/>
        <v>8.8812073392918831E-3</v>
      </c>
      <c r="N53" s="78">
        <f>K53/'סכום נכסי הקרן'!$C$42</f>
        <v>4.8418886563649869E-5</v>
      </c>
    </row>
    <row r="54" spans="2:14">
      <c r="B54" s="76" t="s">
        <v>1515</v>
      </c>
      <c r="C54" s="70" t="s">
        <v>1516</v>
      </c>
      <c r="D54" s="83" t="s">
        <v>1179</v>
      </c>
      <c r="E54" s="70"/>
      <c r="F54" s="83" t="s">
        <v>1442</v>
      </c>
      <c r="G54" s="83" t="s">
        <v>156</v>
      </c>
      <c r="H54" s="77">
        <v>46.605580000000003</v>
      </c>
      <c r="I54" s="79">
        <v>6870</v>
      </c>
      <c r="J54" s="70"/>
      <c r="K54" s="77">
        <v>11.097450283999999</v>
      </c>
      <c r="L54" s="78">
        <v>3.5220274171364663E-7</v>
      </c>
      <c r="M54" s="78">
        <f t="shared" si="2"/>
        <v>2.5176336446590827E-2</v>
      </c>
      <c r="N54" s="78">
        <f>K54/'סכום נכסי הקרן'!$C$42</f>
        <v>1.3725725928080397E-4</v>
      </c>
    </row>
    <row r="55" spans="2:14">
      <c r="B55" s="76" t="s">
        <v>1517</v>
      </c>
      <c r="C55" s="70" t="s">
        <v>1518</v>
      </c>
      <c r="D55" s="83" t="s">
        <v>1179</v>
      </c>
      <c r="E55" s="70"/>
      <c r="F55" s="83" t="s">
        <v>1442</v>
      </c>
      <c r="G55" s="83" t="s">
        <v>156</v>
      </c>
      <c r="H55" s="77">
        <v>14.563192000000001</v>
      </c>
      <c r="I55" s="79">
        <v>6348</v>
      </c>
      <c r="J55" s="70"/>
      <c r="K55" s="77">
        <v>3.2042179700000002</v>
      </c>
      <c r="L55" s="78">
        <v>1.2608824242424243E-6</v>
      </c>
      <c r="M55" s="78">
        <f t="shared" si="2"/>
        <v>7.2692796630268097E-3</v>
      </c>
      <c r="N55" s="78">
        <f>K55/'סכום נכסי הקרן'!$C$42</f>
        <v>3.9630921107580555E-5</v>
      </c>
    </row>
    <row r="56" spans="2:14">
      <c r="B56" s="76" t="s">
        <v>1519</v>
      </c>
      <c r="C56" s="70" t="s">
        <v>1520</v>
      </c>
      <c r="D56" s="83" t="s">
        <v>116</v>
      </c>
      <c r="E56" s="70"/>
      <c r="F56" s="83" t="s">
        <v>1442</v>
      </c>
      <c r="G56" s="83" t="s">
        <v>156</v>
      </c>
      <c r="H56" s="77">
        <v>180.614</v>
      </c>
      <c r="I56" s="79">
        <v>569.70000000000005</v>
      </c>
      <c r="J56" s="70"/>
      <c r="K56" s="77">
        <v>3.566368282</v>
      </c>
      <c r="L56" s="78">
        <v>5.8820634776564534E-6</v>
      </c>
      <c r="M56" s="78">
        <f t="shared" si="2"/>
        <v>8.0908754229371167E-3</v>
      </c>
      <c r="N56" s="78">
        <f>K56/'סכום נכסי הקרן'!$C$42</f>
        <v>4.4110126510687908E-5</v>
      </c>
    </row>
    <row r="57" spans="2:14">
      <c r="B57" s="76" t="s">
        <v>1521</v>
      </c>
      <c r="C57" s="70" t="s">
        <v>1522</v>
      </c>
      <c r="D57" s="83" t="s">
        <v>26</v>
      </c>
      <c r="E57" s="70"/>
      <c r="F57" s="83" t="s">
        <v>1442</v>
      </c>
      <c r="G57" s="83" t="s">
        <v>158</v>
      </c>
      <c r="H57" s="77">
        <v>36.122799000000001</v>
      </c>
      <c r="I57" s="79">
        <v>3691</v>
      </c>
      <c r="J57" s="70"/>
      <c r="K57" s="77">
        <v>5.1769083039999995</v>
      </c>
      <c r="L57" s="78">
        <v>6.3373331578947372E-6</v>
      </c>
      <c r="M57" s="78">
        <f t="shared" si="2"/>
        <v>1.1744642406965156E-2</v>
      </c>
      <c r="N57" s="78">
        <f>K57/'סכום נכסי הקרן'!$C$42</f>
        <v>6.4029865164573249E-5</v>
      </c>
    </row>
    <row r="58" spans="2:14">
      <c r="B58" s="76" t="s">
        <v>1523</v>
      </c>
      <c r="C58" s="70" t="s">
        <v>1524</v>
      </c>
      <c r="D58" s="83" t="s">
        <v>116</v>
      </c>
      <c r="E58" s="70"/>
      <c r="F58" s="83" t="s">
        <v>1442</v>
      </c>
      <c r="G58" s="83" t="s">
        <v>156</v>
      </c>
      <c r="H58" s="77">
        <v>227.45675499999999</v>
      </c>
      <c r="I58" s="79">
        <v>2703</v>
      </c>
      <c r="J58" s="70"/>
      <c r="K58" s="77">
        <v>21.309508924999996</v>
      </c>
      <c r="L58" s="78">
        <v>4.6862094732101481E-7</v>
      </c>
      <c r="M58" s="78">
        <f t="shared" si="2"/>
        <v>4.8344020696441808E-2</v>
      </c>
      <c r="N58" s="78">
        <f>K58/'סכום נכסי הקרן'!$C$42</f>
        <v>2.6356367605289929E-4</v>
      </c>
    </row>
    <row r="59" spans="2:14">
      <c r="B59" s="76" t="s">
        <v>1525</v>
      </c>
      <c r="C59" s="70" t="s">
        <v>1526</v>
      </c>
      <c r="D59" s="83" t="s">
        <v>1417</v>
      </c>
      <c r="E59" s="70"/>
      <c r="F59" s="83" t="s">
        <v>1442</v>
      </c>
      <c r="G59" s="83" t="s">
        <v>161</v>
      </c>
      <c r="H59" s="77">
        <v>759.67105800000002</v>
      </c>
      <c r="I59" s="79">
        <v>2778</v>
      </c>
      <c r="J59" s="70"/>
      <c r="K59" s="77">
        <v>9.4373466110000006</v>
      </c>
      <c r="L59" s="78">
        <v>4.8325530862058853E-6</v>
      </c>
      <c r="M59" s="78">
        <f t="shared" si="2"/>
        <v>2.1410126412928544E-2</v>
      </c>
      <c r="N59" s="78">
        <f>K59/'סכום נכסי הקרן'!$C$42</f>
        <v>1.1672449955251756E-4</v>
      </c>
    </row>
    <row r="60" spans="2:14">
      <c r="B60" s="76" t="s">
        <v>1527</v>
      </c>
      <c r="C60" s="70" t="s">
        <v>1528</v>
      </c>
      <c r="D60" s="83" t="s">
        <v>26</v>
      </c>
      <c r="E60" s="70"/>
      <c r="F60" s="83" t="s">
        <v>1442</v>
      </c>
      <c r="G60" s="83" t="s">
        <v>158</v>
      </c>
      <c r="H60" s="77">
        <v>202.12427200000002</v>
      </c>
      <c r="I60" s="79">
        <v>2227</v>
      </c>
      <c r="J60" s="70"/>
      <c r="K60" s="77">
        <v>17.477676890999998</v>
      </c>
      <c r="L60" s="78">
        <v>7.9401752417620697E-7</v>
      </c>
      <c r="M60" s="78">
        <f t="shared" si="2"/>
        <v>3.9650898400242079E-2</v>
      </c>
      <c r="N60" s="78">
        <f>K60/'סכום נכסי הקרן'!$C$42</f>
        <v>2.1617019831238405E-4</v>
      </c>
    </row>
    <row r="61" spans="2:14">
      <c r="B61" s="76" t="s">
        <v>1529</v>
      </c>
      <c r="C61" s="70" t="s">
        <v>1530</v>
      </c>
      <c r="D61" s="83" t="s">
        <v>117</v>
      </c>
      <c r="E61" s="70"/>
      <c r="F61" s="83" t="s">
        <v>1442</v>
      </c>
      <c r="G61" s="83" t="s">
        <v>166</v>
      </c>
      <c r="H61" s="77">
        <v>4.695964</v>
      </c>
      <c r="I61" s="79">
        <v>23090</v>
      </c>
      <c r="J61" s="70"/>
      <c r="K61" s="77">
        <v>3.4885122370000001</v>
      </c>
      <c r="L61" s="78">
        <v>2.1105921932928947E-7</v>
      </c>
      <c r="M61" s="78">
        <f t="shared" si="2"/>
        <v>7.9142465637705231E-3</v>
      </c>
      <c r="N61" s="78">
        <f>K61/'סכום נכסי הקרן'!$C$42</f>
        <v>4.31471749243627E-5</v>
      </c>
    </row>
    <row r="62" spans="2:14">
      <c r="B62" s="76" t="s">
        <v>1531</v>
      </c>
      <c r="C62" s="70" t="s">
        <v>1532</v>
      </c>
      <c r="D62" s="83" t="s">
        <v>116</v>
      </c>
      <c r="E62" s="70"/>
      <c r="F62" s="83" t="s">
        <v>1442</v>
      </c>
      <c r="G62" s="83" t="s">
        <v>156</v>
      </c>
      <c r="H62" s="77">
        <v>0.99581100000000011</v>
      </c>
      <c r="I62" s="79">
        <v>30830</v>
      </c>
      <c r="J62" s="70"/>
      <c r="K62" s="77">
        <v>1.064091074</v>
      </c>
      <c r="L62" s="78">
        <v>8.76475179316541E-9</v>
      </c>
      <c r="M62" s="78">
        <f t="shared" si="2"/>
        <v>2.4140603655114497E-3</v>
      </c>
      <c r="N62" s="78">
        <f>K62/'סכום נכסי הקרן'!$C$42</f>
        <v>1.3161061388396951E-5</v>
      </c>
    </row>
    <row r="63" spans="2:14">
      <c r="B63" s="76" t="s">
        <v>1533</v>
      </c>
      <c r="C63" s="70" t="s">
        <v>1534</v>
      </c>
      <c r="D63" s="83" t="s">
        <v>1179</v>
      </c>
      <c r="E63" s="70"/>
      <c r="F63" s="83" t="s">
        <v>1442</v>
      </c>
      <c r="G63" s="83" t="s">
        <v>156</v>
      </c>
      <c r="H63" s="77">
        <v>39.83014</v>
      </c>
      <c r="I63" s="79">
        <v>4415</v>
      </c>
      <c r="J63" s="70"/>
      <c r="K63" s="77">
        <v>6.0949633599999995</v>
      </c>
      <c r="L63" s="78">
        <v>1.1871874813710879E-6</v>
      </c>
      <c r="M63" s="78">
        <f t="shared" si="2"/>
        <v>1.3827396767187328E-2</v>
      </c>
      <c r="N63" s="78">
        <f>K63/'סכום נכסי הקרן'!$C$42</f>
        <v>7.5384700521404931E-5</v>
      </c>
    </row>
    <row r="64" spans="2:14">
      <c r="B64" s="76" t="s">
        <v>1535</v>
      </c>
      <c r="C64" s="70" t="s">
        <v>1536</v>
      </c>
      <c r="D64" s="83" t="s">
        <v>26</v>
      </c>
      <c r="E64" s="70"/>
      <c r="F64" s="83" t="s">
        <v>1442</v>
      </c>
      <c r="G64" s="83" t="s">
        <v>158</v>
      </c>
      <c r="H64" s="77">
        <v>36.297711000000014</v>
      </c>
      <c r="I64" s="79">
        <v>2557</v>
      </c>
      <c r="J64" s="70"/>
      <c r="K64" s="77">
        <v>3.6037526960000004</v>
      </c>
      <c r="L64" s="78">
        <v>5.148611489361704E-6</v>
      </c>
      <c r="M64" s="78">
        <f t="shared" si="2"/>
        <v>8.1756879303722385E-3</v>
      </c>
      <c r="N64" s="78">
        <f>K64/'סכום נכסי הקרן'!$C$42</f>
        <v>4.4572510398350564E-5</v>
      </c>
    </row>
    <row r="65" spans="2:14">
      <c r="B65" s="76" t="s">
        <v>1537</v>
      </c>
      <c r="C65" s="70" t="s">
        <v>1538</v>
      </c>
      <c r="D65" s="83" t="s">
        <v>1179</v>
      </c>
      <c r="E65" s="70"/>
      <c r="F65" s="83" t="s">
        <v>1442</v>
      </c>
      <c r="G65" s="83" t="s">
        <v>156</v>
      </c>
      <c r="H65" s="77">
        <v>24.249806</v>
      </c>
      <c r="I65" s="79">
        <v>14318</v>
      </c>
      <c r="J65" s="70"/>
      <c r="K65" s="77">
        <v>12.034254315</v>
      </c>
      <c r="L65" s="78">
        <v>9.4707307166569033E-8</v>
      </c>
      <c r="M65" s="78">
        <f t="shared" si="2"/>
        <v>2.7301625847795281E-2</v>
      </c>
      <c r="N65" s="78">
        <f>K65/'סכום נכסי הקרן'!$C$42</f>
        <v>1.4884398870852281E-4</v>
      </c>
    </row>
    <row r="66" spans="2:14">
      <c r="B66" s="76" t="s">
        <v>1539</v>
      </c>
      <c r="C66" s="70" t="s">
        <v>1540</v>
      </c>
      <c r="D66" s="83" t="s">
        <v>116</v>
      </c>
      <c r="E66" s="70"/>
      <c r="F66" s="83" t="s">
        <v>1442</v>
      </c>
      <c r="G66" s="83" t="s">
        <v>156</v>
      </c>
      <c r="H66" s="77">
        <v>930.76483700000017</v>
      </c>
      <c r="I66" s="79">
        <v>737.5</v>
      </c>
      <c r="J66" s="70"/>
      <c r="K66" s="77">
        <v>23.791978084</v>
      </c>
      <c r="L66" s="78">
        <v>4.3697879671361514E-6</v>
      </c>
      <c r="M66" s="78">
        <f t="shared" si="2"/>
        <v>5.3975898034552487E-2</v>
      </c>
      <c r="N66" s="78">
        <f>K66/'סכום נכסי הקרן'!$C$42</f>
        <v>2.9426774809589173E-4</v>
      </c>
    </row>
    <row r="67" spans="2:14">
      <c r="B67" s="76" t="s">
        <v>1541</v>
      </c>
      <c r="C67" s="70" t="s">
        <v>1542</v>
      </c>
      <c r="D67" s="83" t="s">
        <v>1179</v>
      </c>
      <c r="E67" s="70"/>
      <c r="F67" s="83" t="s">
        <v>1442</v>
      </c>
      <c r="G67" s="83" t="s">
        <v>156</v>
      </c>
      <c r="H67" s="77">
        <v>13.146095000000001</v>
      </c>
      <c r="I67" s="79">
        <v>28425</v>
      </c>
      <c r="J67" s="70"/>
      <c r="K67" s="77">
        <v>12.951670391</v>
      </c>
      <c r="L67" s="78">
        <v>7.8018367952522262E-7</v>
      </c>
      <c r="M67" s="78">
        <f t="shared" si="2"/>
        <v>2.9382930579945152E-2</v>
      </c>
      <c r="N67" s="78">
        <f>K67/'סכום נכסי הקרן'!$C$42</f>
        <v>1.6019092093073431E-4</v>
      </c>
    </row>
    <row r="68" spans="2:14">
      <c r="B68" s="76" t="s">
        <v>1543</v>
      </c>
      <c r="C68" s="70" t="s">
        <v>1544</v>
      </c>
      <c r="D68" s="83" t="s">
        <v>26</v>
      </c>
      <c r="E68" s="70"/>
      <c r="F68" s="83" t="s">
        <v>1442</v>
      </c>
      <c r="G68" s="83" t="s">
        <v>158</v>
      </c>
      <c r="H68" s="77">
        <v>54.564437999999988</v>
      </c>
      <c r="I68" s="79">
        <v>3494.5</v>
      </c>
      <c r="J68" s="70"/>
      <c r="K68" s="77">
        <v>7.4035458130000009</v>
      </c>
      <c r="L68" s="78">
        <v>4.8287113274336277E-6</v>
      </c>
      <c r="M68" s="78">
        <f t="shared" si="2"/>
        <v>1.6796124831897186E-2</v>
      </c>
      <c r="N68" s="78">
        <f>K68/'סכום נכסי הקרן'!$C$42</f>
        <v>9.1569719282037906E-5</v>
      </c>
    </row>
    <row r="69" spans="2:14">
      <c r="B69" s="76" t="s">
        <v>1545</v>
      </c>
      <c r="C69" s="70" t="s">
        <v>1546</v>
      </c>
      <c r="D69" s="83" t="s">
        <v>1179</v>
      </c>
      <c r="E69" s="70"/>
      <c r="F69" s="83" t="s">
        <v>1442</v>
      </c>
      <c r="G69" s="83" t="s">
        <v>156</v>
      </c>
      <c r="H69" s="77">
        <v>1.482936</v>
      </c>
      <c r="I69" s="79">
        <v>16472</v>
      </c>
      <c r="J69" s="70"/>
      <c r="K69" s="77">
        <v>0.846637109</v>
      </c>
      <c r="L69" s="78">
        <v>7.9727741935483871E-8</v>
      </c>
      <c r="M69" s="78">
        <f t="shared" si="2"/>
        <v>1.9207313534970007E-3</v>
      </c>
      <c r="N69" s="78">
        <f>K69/'סכום נכסי הקרן'!$C$42</f>
        <v>1.0471512483755616E-5</v>
      </c>
    </row>
    <row r="70" spans="2:14">
      <c r="B70" s="76" t="s">
        <v>1547</v>
      </c>
      <c r="C70" s="70" t="s">
        <v>1548</v>
      </c>
      <c r="D70" s="83" t="s">
        <v>26</v>
      </c>
      <c r="E70" s="70"/>
      <c r="F70" s="83" t="s">
        <v>1442</v>
      </c>
      <c r="G70" s="83" t="s">
        <v>158</v>
      </c>
      <c r="H70" s="77">
        <v>41.928457000000002</v>
      </c>
      <c r="I70" s="79">
        <v>5170</v>
      </c>
      <c r="J70" s="70"/>
      <c r="K70" s="77">
        <v>8.4167502059999997</v>
      </c>
      <c r="L70" s="78">
        <v>7.6897674461256314E-6</v>
      </c>
      <c r="M70" s="78">
        <f t="shared" si="2"/>
        <v>1.9094740643144356E-2</v>
      </c>
      <c r="N70" s="78">
        <f>K70/'סכום נכסי הקרן'!$C$42</f>
        <v>1.0410139588481191E-4</v>
      </c>
    </row>
    <row r="71" spans="2:14">
      <c r="B71" s="76" t="s">
        <v>1549</v>
      </c>
      <c r="C71" s="70" t="s">
        <v>1550</v>
      </c>
      <c r="D71" s="83" t="s">
        <v>1175</v>
      </c>
      <c r="E71" s="70"/>
      <c r="F71" s="83" t="s">
        <v>1442</v>
      </c>
      <c r="G71" s="83" t="s">
        <v>156</v>
      </c>
      <c r="H71" s="77">
        <v>30.315033</v>
      </c>
      <c r="I71" s="79">
        <v>6194</v>
      </c>
      <c r="J71" s="70"/>
      <c r="K71" s="77">
        <v>6.5081538110000006</v>
      </c>
      <c r="L71" s="78">
        <v>8.2714960436562075E-7</v>
      </c>
      <c r="M71" s="78">
        <f t="shared" si="2"/>
        <v>1.4764785225317467E-2</v>
      </c>
      <c r="N71" s="78">
        <f>K71/'סכום נכסי הקרן'!$C$42</f>
        <v>8.0495188733911482E-5</v>
      </c>
    </row>
    <row r="72" spans="2:14">
      <c r="B72" s="76" t="s">
        <v>1551</v>
      </c>
      <c r="C72" s="70" t="s">
        <v>1552</v>
      </c>
      <c r="D72" s="83" t="s">
        <v>26</v>
      </c>
      <c r="E72" s="70"/>
      <c r="F72" s="83" t="s">
        <v>1442</v>
      </c>
      <c r="G72" s="83" t="s">
        <v>158</v>
      </c>
      <c r="H72" s="77">
        <v>19.335203000000003</v>
      </c>
      <c r="I72" s="79">
        <v>11129.4</v>
      </c>
      <c r="J72" s="70"/>
      <c r="K72" s="77">
        <v>8.3553670100000001</v>
      </c>
      <c r="L72" s="78">
        <v>3.5773146055587211E-6</v>
      </c>
      <c r="M72" s="78">
        <f t="shared" si="2"/>
        <v>1.8955483069997926E-2</v>
      </c>
      <c r="N72" s="78">
        <f>K72/'סכום נכסי הקרן'!$C$42</f>
        <v>1.0334218642378789E-4</v>
      </c>
    </row>
    <row r="73" spans="2:14">
      <c r="B73" s="76" t="s">
        <v>1553</v>
      </c>
      <c r="C73" s="70" t="s">
        <v>1554</v>
      </c>
      <c r="D73" s="83" t="s">
        <v>26</v>
      </c>
      <c r="E73" s="70"/>
      <c r="F73" s="83" t="s">
        <v>1442</v>
      </c>
      <c r="G73" s="83" t="s">
        <v>158</v>
      </c>
      <c r="H73" s="77">
        <v>17.804055000000002</v>
      </c>
      <c r="I73" s="79">
        <v>5164.7</v>
      </c>
      <c r="J73" s="70"/>
      <c r="K73" s="77">
        <v>3.5703353760000001</v>
      </c>
      <c r="L73" s="78">
        <v>4.1102304344493689E-6</v>
      </c>
      <c r="M73" s="78">
        <f t="shared" si="2"/>
        <v>8.0998754085827608E-3</v>
      </c>
      <c r="N73" s="78">
        <f>K73/'סכום נכסי הקרן'!$C$42</f>
        <v>4.4159192957107081E-5</v>
      </c>
    </row>
    <row r="74" spans="2:14">
      <c r="B74" s="76" t="s">
        <v>1555</v>
      </c>
      <c r="C74" s="70" t="s">
        <v>1556</v>
      </c>
      <c r="D74" s="83" t="s">
        <v>1179</v>
      </c>
      <c r="E74" s="70"/>
      <c r="F74" s="83" t="s">
        <v>1442</v>
      </c>
      <c r="G74" s="83" t="s">
        <v>156</v>
      </c>
      <c r="H74" s="77">
        <v>10.594474999999999</v>
      </c>
      <c r="I74" s="79">
        <v>15280</v>
      </c>
      <c r="J74" s="70"/>
      <c r="K74" s="77">
        <v>5.6108848259999995</v>
      </c>
      <c r="L74" s="78">
        <v>7.4499134621016879E-7</v>
      </c>
      <c r="M74" s="78">
        <f t="shared" si="2"/>
        <v>1.2729187383350051E-2</v>
      </c>
      <c r="N74" s="78">
        <f>K74/'סכום נכסי הקרן'!$C$42</f>
        <v>6.9397442984481738E-5</v>
      </c>
    </row>
    <row r="75" spans="2:14">
      <c r="B75" s="76" t="s">
        <v>1557</v>
      </c>
      <c r="C75" s="70" t="s">
        <v>1558</v>
      </c>
      <c r="D75" s="83" t="s">
        <v>116</v>
      </c>
      <c r="E75" s="70"/>
      <c r="F75" s="83" t="s">
        <v>1442</v>
      </c>
      <c r="G75" s="83" t="s">
        <v>156</v>
      </c>
      <c r="H75" s="77">
        <v>4.2446380000000001</v>
      </c>
      <c r="I75" s="79">
        <v>56746</v>
      </c>
      <c r="J75" s="70"/>
      <c r="K75" s="77">
        <v>8.3484237200000013</v>
      </c>
      <c r="L75" s="78">
        <v>3.4191680813053264E-7</v>
      </c>
      <c r="M75" s="78">
        <f t="shared" si="2"/>
        <v>1.8939731108906625E-2</v>
      </c>
      <c r="N75" s="78">
        <f>K75/'סכום נכסי הקרן'!$C$42</f>
        <v>1.0325630931405525E-4</v>
      </c>
    </row>
    <row r="76" spans="2:14">
      <c r="B76" s="76" t="s">
        <v>1559</v>
      </c>
      <c r="C76" s="70" t="s">
        <v>1560</v>
      </c>
      <c r="D76" s="83" t="s">
        <v>1179</v>
      </c>
      <c r="E76" s="70"/>
      <c r="F76" s="83" t="s">
        <v>1442</v>
      </c>
      <c r="G76" s="83" t="s">
        <v>156</v>
      </c>
      <c r="H76" s="77">
        <v>34.934550000000002</v>
      </c>
      <c r="I76" s="79">
        <v>3154</v>
      </c>
      <c r="J76" s="70"/>
      <c r="K76" s="77">
        <v>3.8189625600000001</v>
      </c>
      <c r="L76" s="78">
        <v>8.4378654251456411E-7</v>
      </c>
      <c r="M76" s="78">
        <f t="shared" si="2"/>
        <v>8.6639258412463116E-3</v>
      </c>
      <c r="N76" s="78">
        <f>K76/'סכום נכסי הקרן'!$C$42</f>
        <v>4.7234303454132328E-5</v>
      </c>
    </row>
    <row r="77" spans="2:14">
      <c r="B77" s="76" t="s">
        <v>1561</v>
      </c>
      <c r="C77" s="70" t="s">
        <v>1562</v>
      </c>
      <c r="D77" s="83" t="s">
        <v>26</v>
      </c>
      <c r="E77" s="70"/>
      <c r="F77" s="83" t="s">
        <v>1442</v>
      </c>
      <c r="G77" s="83" t="s">
        <v>158</v>
      </c>
      <c r="H77" s="77">
        <v>18.172048999999998</v>
      </c>
      <c r="I77" s="79">
        <v>19034</v>
      </c>
      <c r="J77" s="70"/>
      <c r="K77" s="77">
        <v>13.430092542000001</v>
      </c>
      <c r="L77" s="78">
        <v>6.6080178181818175E-6</v>
      </c>
      <c r="M77" s="78">
        <f t="shared" si="2"/>
        <v>3.0468307556532626E-2</v>
      </c>
      <c r="N77" s="78">
        <f>K77/'סכום נכסי הקרן'!$C$42</f>
        <v>1.661082182868814E-4</v>
      </c>
    </row>
    <row r="78" spans="2:14">
      <c r="B78" s="76" t="s">
        <v>1563</v>
      </c>
      <c r="C78" s="70" t="s">
        <v>1564</v>
      </c>
      <c r="D78" s="83" t="s">
        <v>116</v>
      </c>
      <c r="E78" s="70"/>
      <c r="F78" s="83" t="s">
        <v>1442</v>
      </c>
      <c r="G78" s="83" t="s">
        <v>156</v>
      </c>
      <c r="H78" s="77">
        <v>70.724639999999994</v>
      </c>
      <c r="I78" s="79">
        <v>2730.125</v>
      </c>
      <c r="J78" s="70"/>
      <c r="K78" s="77">
        <v>6.6923991560000005</v>
      </c>
      <c r="L78" s="78">
        <v>6.6408112676056331E-6</v>
      </c>
      <c r="M78" s="78">
        <f t="shared" si="2"/>
        <v>1.5182775184788251E-2</v>
      </c>
      <c r="N78" s="78">
        <f>K78/'סכום נכסי הקרן'!$C$42</f>
        <v>8.2774001474024154E-5</v>
      </c>
    </row>
    <row r="79" spans="2:14">
      <c r="B79" s="76" t="s">
        <v>1565</v>
      </c>
      <c r="C79" s="70" t="s">
        <v>1566</v>
      </c>
      <c r="D79" s="83" t="s">
        <v>1179</v>
      </c>
      <c r="E79" s="70"/>
      <c r="F79" s="83" t="s">
        <v>1442</v>
      </c>
      <c r="G79" s="83" t="s">
        <v>156</v>
      </c>
      <c r="H79" s="77">
        <v>5.0628960000000003</v>
      </c>
      <c r="I79" s="79">
        <v>10449</v>
      </c>
      <c r="J79" s="70"/>
      <c r="K79" s="77">
        <v>1.833590118</v>
      </c>
      <c r="L79" s="78">
        <v>1.670614579725535E-8</v>
      </c>
      <c r="M79" s="78">
        <f t="shared" si="2"/>
        <v>4.1597917120177463E-3</v>
      </c>
      <c r="N79" s="78">
        <f>K79/'סכום נכסי הקרן'!$C$42</f>
        <v>2.2678502520881036E-5</v>
      </c>
    </row>
    <row r="80" spans="2:14">
      <c r="B80" s="76" t="s">
        <v>1567</v>
      </c>
      <c r="C80" s="70" t="s">
        <v>1568</v>
      </c>
      <c r="D80" s="83" t="s">
        <v>132</v>
      </c>
      <c r="E80" s="70"/>
      <c r="F80" s="83" t="s">
        <v>1442</v>
      </c>
      <c r="G80" s="83" t="s">
        <v>156</v>
      </c>
      <c r="H80" s="77">
        <v>32.814712000000007</v>
      </c>
      <c r="I80" s="79">
        <v>9857</v>
      </c>
      <c r="J80" s="70"/>
      <c r="K80" s="77">
        <v>11.210936998000001</v>
      </c>
      <c r="L80" s="78">
        <v>2.1758172581252725E-6</v>
      </c>
      <c r="M80" s="78">
        <f t="shared" si="2"/>
        <v>2.5433799162869135E-2</v>
      </c>
      <c r="N80" s="78">
        <f>K80/'סכום נכסי הקרן'!$C$42</f>
        <v>1.3866090380542807E-4</v>
      </c>
    </row>
    <row r="81" spans="2:14">
      <c r="B81" s="76" t="s">
        <v>1569</v>
      </c>
      <c r="C81" s="70" t="s">
        <v>1570</v>
      </c>
      <c r="D81" s="83" t="s">
        <v>1179</v>
      </c>
      <c r="E81" s="70"/>
      <c r="F81" s="83" t="s">
        <v>1442</v>
      </c>
      <c r="G81" s="83" t="s">
        <v>156</v>
      </c>
      <c r="H81" s="77">
        <v>31.350788000000001</v>
      </c>
      <c r="I81" s="79">
        <v>5643</v>
      </c>
      <c r="J81" s="70"/>
      <c r="K81" s="77">
        <v>6.1317871349999997</v>
      </c>
      <c r="L81" s="78">
        <v>1.5867858428450361E-7</v>
      </c>
      <c r="M81" s="78">
        <f t="shared" si="2"/>
        <v>1.3910937375607104E-2</v>
      </c>
      <c r="N81" s="78">
        <f>K81/'סכום נכסי הקרן'!$C$42</f>
        <v>7.584015022413171E-5</v>
      </c>
    </row>
    <row r="82" spans="2:14">
      <c r="B82" s="76" t="s">
        <v>1571</v>
      </c>
      <c r="C82" s="70" t="s">
        <v>1572</v>
      </c>
      <c r="D82" s="83" t="s">
        <v>128</v>
      </c>
      <c r="E82" s="70"/>
      <c r="F82" s="83" t="s">
        <v>1442</v>
      </c>
      <c r="G82" s="83" t="s">
        <v>160</v>
      </c>
      <c r="H82" s="77">
        <v>35.274751000000002</v>
      </c>
      <c r="I82" s="79">
        <v>7511</v>
      </c>
      <c r="J82" s="70"/>
      <c r="K82" s="77">
        <v>6.2853768880000001</v>
      </c>
      <c r="L82" s="78">
        <v>4.8872924221327597E-7</v>
      </c>
      <c r="M82" s="78">
        <f t="shared" si="2"/>
        <v>1.4259380233860038E-2</v>
      </c>
      <c r="N82" s="78">
        <f>K82/'סכום נכסי הקרן'!$C$42</f>
        <v>7.7739803568899581E-5</v>
      </c>
    </row>
    <row r="83" spans="2:14">
      <c r="B83" s="76" t="s">
        <v>1573</v>
      </c>
      <c r="C83" s="70" t="s">
        <v>1574</v>
      </c>
      <c r="D83" s="83" t="s">
        <v>1179</v>
      </c>
      <c r="E83" s="70"/>
      <c r="F83" s="83" t="s">
        <v>1442</v>
      </c>
      <c r="G83" s="83" t="s">
        <v>156</v>
      </c>
      <c r="H83" s="77">
        <v>2.4715600000000002</v>
      </c>
      <c r="I83" s="79">
        <v>19265</v>
      </c>
      <c r="J83" s="70"/>
      <c r="K83" s="77">
        <v>1.6503221539999999</v>
      </c>
      <c r="L83" s="78">
        <v>4.3738182217674282E-8</v>
      </c>
      <c r="M83" s="78">
        <f t="shared" si="2"/>
        <v>3.7440190972759563E-3</v>
      </c>
      <c r="N83" s="78">
        <f>K83/'סכום נכסי הקרן'!$C$42</f>
        <v>2.0411778380753043E-5</v>
      </c>
    </row>
    <row r="84" spans="2:14">
      <c r="B84" s="76" t="s">
        <v>1575</v>
      </c>
      <c r="C84" s="70" t="s">
        <v>1576</v>
      </c>
      <c r="D84" s="83" t="s">
        <v>1179</v>
      </c>
      <c r="E84" s="70"/>
      <c r="F84" s="83" t="s">
        <v>1442</v>
      </c>
      <c r="G84" s="83" t="s">
        <v>156</v>
      </c>
      <c r="H84" s="77">
        <v>32.661076000000001</v>
      </c>
      <c r="I84" s="79">
        <v>27871</v>
      </c>
      <c r="J84" s="70"/>
      <c r="K84" s="77">
        <v>31.550888820000004</v>
      </c>
      <c r="L84" s="78">
        <v>2.7881900021105375E-7</v>
      </c>
      <c r="M84" s="78">
        <f t="shared" si="2"/>
        <v>7.1578224888878564E-2</v>
      </c>
      <c r="N84" s="78">
        <f>K84/'סכום נכסי הקרן'!$C$42</f>
        <v>3.9023274864770374E-4</v>
      </c>
    </row>
    <row r="85" spans="2:14">
      <c r="B85" s="76" t="s">
        <v>1577</v>
      </c>
      <c r="C85" s="70" t="s">
        <v>1578</v>
      </c>
      <c r="D85" s="83" t="s">
        <v>1179</v>
      </c>
      <c r="E85" s="70"/>
      <c r="F85" s="83" t="s">
        <v>1442</v>
      </c>
      <c r="G85" s="83" t="s">
        <v>156</v>
      </c>
      <c r="H85" s="77">
        <v>35.630769999999991</v>
      </c>
      <c r="I85" s="79">
        <v>2991</v>
      </c>
      <c r="J85" s="70"/>
      <c r="K85" s="77">
        <v>3.6937727439999999</v>
      </c>
      <c r="L85" s="78">
        <v>8.0069146067415708E-7</v>
      </c>
      <c r="M85" s="78">
        <f t="shared" si="2"/>
        <v>8.3799127709785395E-3</v>
      </c>
      <c r="N85" s="78">
        <f>K85/'סכום נכסי הקרן'!$C$42</f>
        <v>4.568591075181921E-5</v>
      </c>
    </row>
    <row r="86" spans="2:14">
      <c r="B86" s="76" t="s">
        <v>1579</v>
      </c>
      <c r="C86" s="70" t="s">
        <v>1580</v>
      </c>
      <c r="D86" s="83" t="s">
        <v>1179</v>
      </c>
      <c r="E86" s="70"/>
      <c r="F86" s="83" t="s">
        <v>1442</v>
      </c>
      <c r="G86" s="83" t="s">
        <v>156</v>
      </c>
      <c r="H86" s="77">
        <v>7.4907280000000007</v>
      </c>
      <c r="I86" s="79">
        <v>9595.98</v>
      </c>
      <c r="J86" s="70"/>
      <c r="K86" s="77">
        <v>2.491391165</v>
      </c>
      <c r="L86" s="78">
        <v>2.723901090909091E-6</v>
      </c>
      <c r="M86" s="78">
        <f t="shared" si="2"/>
        <v>5.6521183321305603E-3</v>
      </c>
      <c r="N86" s="78">
        <f>K86/'סכום נכסי הקרן'!$C$42</f>
        <v>3.0814422624387878E-5</v>
      </c>
    </row>
    <row r="87" spans="2:14">
      <c r="D87" s="1"/>
      <c r="E87" s="1"/>
      <c r="F87" s="1"/>
      <c r="G87" s="1"/>
    </row>
    <row r="88" spans="2:14">
      <c r="D88" s="1"/>
      <c r="E88" s="1"/>
      <c r="F88" s="1"/>
      <c r="G88" s="1"/>
    </row>
    <row r="89" spans="2:14">
      <c r="D89" s="1"/>
      <c r="E89" s="1"/>
      <c r="F89" s="1"/>
      <c r="G89" s="1"/>
    </row>
    <row r="90" spans="2:14">
      <c r="B90" s="85" t="s">
        <v>244</v>
      </c>
      <c r="D90" s="1"/>
      <c r="E90" s="1"/>
      <c r="F90" s="1"/>
      <c r="G90" s="1"/>
    </row>
    <row r="91" spans="2:14">
      <c r="B91" s="85" t="s">
        <v>105</v>
      </c>
      <c r="D91" s="1"/>
      <c r="E91" s="1"/>
      <c r="F91" s="1"/>
      <c r="G91" s="1"/>
    </row>
    <row r="92" spans="2:14">
      <c r="B92" s="85" t="s">
        <v>227</v>
      </c>
      <c r="D92" s="1"/>
      <c r="E92" s="1"/>
      <c r="F92" s="1"/>
      <c r="G92" s="1"/>
    </row>
    <row r="93" spans="2:14">
      <c r="B93" s="85" t="s">
        <v>235</v>
      </c>
      <c r="D93" s="1"/>
      <c r="E93" s="1"/>
      <c r="F93" s="1"/>
      <c r="G93" s="1"/>
    </row>
    <row r="94" spans="2:14">
      <c r="B94" s="85" t="s">
        <v>242</v>
      </c>
      <c r="D94" s="1"/>
      <c r="E94" s="1"/>
      <c r="F94" s="1"/>
      <c r="G94" s="1"/>
    </row>
    <row r="95" spans="2:14">
      <c r="D95" s="1"/>
      <c r="E95" s="1"/>
      <c r="F95" s="1"/>
      <c r="G95" s="1"/>
    </row>
    <row r="96" spans="2:14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89 B91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K18" sqref="K18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64.855468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11.85546875" style="1" bestFit="1" customWidth="1"/>
    <col min="12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172</v>
      </c>
      <c r="C1" s="68" t="s" vm="1">
        <v>252</v>
      </c>
    </row>
    <row r="2" spans="2:65">
      <c r="B2" s="47" t="s">
        <v>171</v>
      </c>
      <c r="C2" s="68" t="s">
        <v>253</v>
      </c>
    </row>
    <row r="3" spans="2:65">
      <c r="B3" s="47" t="s">
        <v>173</v>
      </c>
      <c r="C3" s="68" t="s">
        <v>254</v>
      </c>
    </row>
    <row r="4" spans="2:65">
      <c r="B4" s="47" t="s">
        <v>174</v>
      </c>
      <c r="C4" s="68">
        <v>8602</v>
      </c>
    </row>
    <row r="6" spans="2:65" ht="26.25" customHeight="1">
      <c r="B6" s="123" t="s">
        <v>202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65" ht="26.25" customHeight="1">
      <c r="B7" s="123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M7" s="3"/>
    </row>
    <row r="8" spans="2:65" s="3" customFormat="1" ht="78.75">
      <c r="B8" s="22" t="s">
        <v>108</v>
      </c>
      <c r="C8" s="30" t="s">
        <v>41</v>
      </c>
      <c r="D8" s="30" t="s">
        <v>112</v>
      </c>
      <c r="E8" s="30" t="s">
        <v>110</v>
      </c>
      <c r="F8" s="30" t="s">
        <v>61</v>
      </c>
      <c r="G8" s="30" t="s">
        <v>14</v>
      </c>
      <c r="H8" s="30" t="s">
        <v>62</v>
      </c>
      <c r="I8" s="30" t="s">
        <v>96</v>
      </c>
      <c r="J8" s="30" t="s">
        <v>229</v>
      </c>
      <c r="K8" s="30" t="s">
        <v>228</v>
      </c>
      <c r="L8" s="30" t="s">
        <v>58</v>
      </c>
      <c r="M8" s="30" t="s">
        <v>55</v>
      </c>
      <c r="N8" s="30" t="s">
        <v>175</v>
      </c>
      <c r="O8" s="20" t="s">
        <v>177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236</v>
      </c>
      <c r="K9" s="32"/>
      <c r="L9" s="32" t="s">
        <v>232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69" t="s">
        <v>29</v>
      </c>
      <c r="C11" s="70"/>
      <c r="D11" s="70"/>
      <c r="E11" s="70"/>
      <c r="F11" s="70"/>
      <c r="G11" s="70"/>
      <c r="H11" s="70"/>
      <c r="I11" s="70"/>
      <c r="J11" s="77"/>
      <c r="K11" s="79"/>
      <c r="L11" s="77">
        <v>46.289185412000009</v>
      </c>
      <c r="M11" s="70"/>
      <c r="N11" s="78">
        <f>L11/$L$11</f>
        <v>1</v>
      </c>
      <c r="O11" s="78">
        <f>L11/'סכום נכסי הקרן'!$C$42</f>
        <v>5.7252130547072021E-4</v>
      </c>
      <c r="P11" s="5"/>
      <c r="BG11" s="1"/>
      <c r="BH11" s="3"/>
      <c r="BI11" s="1"/>
      <c r="BM11" s="1"/>
    </row>
    <row r="12" spans="2:65" s="4" customFormat="1" ht="18" customHeight="1">
      <c r="B12" s="95" t="s">
        <v>222</v>
      </c>
      <c r="C12" s="70"/>
      <c r="D12" s="70"/>
      <c r="E12" s="70"/>
      <c r="F12" s="70"/>
      <c r="G12" s="70"/>
      <c r="H12" s="70"/>
      <c r="I12" s="70"/>
      <c r="J12" s="77"/>
      <c r="K12" s="79"/>
      <c r="L12" s="77">
        <v>46.289185412000009</v>
      </c>
      <c r="M12" s="70"/>
      <c r="N12" s="78">
        <f t="shared" ref="N12:N19" si="0">L12/$L$11</f>
        <v>1</v>
      </c>
      <c r="O12" s="78">
        <f>L12/'סכום נכסי הקרן'!$C$42</f>
        <v>5.7252130547072021E-4</v>
      </c>
      <c r="P12" s="5"/>
      <c r="BG12" s="1"/>
      <c r="BH12" s="3"/>
      <c r="BI12" s="1"/>
      <c r="BM12" s="1"/>
    </row>
    <row r="13" spans="2:65">
      <c r="B13" s="89" t="s">
        <v>28</v>
      </c>
      <c r="C13" s="72"/>
      <c r="D13" s="72"/>
      <c r="E13" s="72"/>
      <c r="F13" s="72"/>
      <c r="G13" s="72"/>
      <c r="H13" s="72"/>
      <c r="I13" s="72"/>
      <c r="J13" s="80"/>
      <c r="K13" s="82"/>
      <c r="L13" s="80">
        <v>46.289185412000009</v>
      </c>
      <c r="M13" s="72"/>
      <c r="N13" s="81">
        <f t="shared" si="0"/>
        <v>1</v>
      </c>
      <c r="O13" s="81">
        <f>L13/'סכום נכסי הקרן'!$C$42</f>
        <v>5.7252130547072021E-4</v>
      </c>
      <c r="BH13" s="3"/>
    </row>
    <row r="14" spans="2:65" ht="20.25">
      <c r="B14" s="76" t="s">
        <v>1581</v>
      </c>
      <c r="C14" s="70" t="s">
        <v>1582</v>
      </c>
      <c r="D14" s="83" t="s">
        <v>26</v>
      </c>
      <c r="E14" s="70"/>
      <c r="F14" s="83" t="s">
        <v>1442</v>
      </c>
      <c r="G14" s="70" t="s">
        <v>640</v>
      </c>
      <c r="H14" s="70"/>
      <c r="I14" s="83" t="s">
        <v>156</v>
      </c>
      <c r="J14" s="77">
        <v>0.84603399999999995</v>
      </c>
      <c r="K14" s="79">
        <v>62148</v>
      </c>
      <c r="L14" s="77">
        <v>1.822399267</v>
      </c>
      <c r="M14" s="78">
        <v>5.3534619551477279E-7</v>
      </c>
      <c r="N14" s="78">
        <f t="shared" si="0"/>
        <v>3.9369871186533373E-2</v>
      </c>
      <c r="O14" s="78">
        <f>L14/'סכום נכסי הקרן'!$C$42</f>
        <v>2.2540090047928177E-5</v>
      </c>
      <c r="BH14" s="4"/>
    </row>
    <row r="15" spans="2:65">
      <c r="B15" s="76" t="s">
        <v>1583</v>
      </c>
      <c r="C15" s="70" t="s">
        <v>1584</v>
      </c>
      <c r="D15" s="83" t="s">
        <v>130</v>
      </c>
      <c r="E15" s="70"/>
      <c r="F15" s="83" t="s">
        <v>1442</v>
      </c>
      <c r="G15" s="70" t="s">
        <v>640</v>
      </c>
      <c r="H15" s="70"/>
      <c r="I15" s="83" t="s">
        <v>158</v>
      </c>
      <c r="J15" s="77">
        <v>16.233796999999999</v>
      </c>
      <c r="K15" s="79">
        <v>3047</v>
      </c>
      <c r="L15" s="77">
        <v>1.920602744</v>
      </c>
      <c r="M15" s="78">
        <v>1.2857855226254797E-7</v>
      </c>
      <c r="N15" s="78">
        <f t="shared" si="0"/>
        <v>4.1491392144958832E-2</v>
      </c>
      <c r="O15" s="78">
        <f>L15/'סכום נכסי הקרן'!$C$42</f>
        <v>2.3754705996629413E-5</v>
      </c>
    </row>
    <row r="16" spans="2:65">
      <c r="B16" s="76" t="s">
        <v>1585</v>
      </c>
      <c r="C16" s="70" t="s">
        <v>1586</v>
      </c>
      <c r="D16" s="83" t="s">
        <v>130</v>
      </c>
      <c r="E16" s="70"/>
      <c r="F16" s="83" t="s">
        <v>1442</v>
      </c>
      <c r="G16" s="70" t="s">
        <v>640</v>
      </c>
      <c r="H16" s="70"/>
      <c r="I16" s="83" t="s">
        <v>166</v>
      </c>
      <c r="J16" s="77">
        <v>62.739600000000003</v>
      </c>
      <c r="K16" s="79">
        <v>1531</v>
      </c>
      <c r="L16" s="77">
        <v>3.0903558819999999</v>
      </c>
      <c r="M16" s="78">
        <v>3.0061520677491802E-7</v>
      </c>
      <c r="N16" s="78">
        <f t="shared" si="0"/>
        <v>6.6761941358312524E-2</v>
      </c>
      <c r="O16" s="78">
        <f>L16/'סכום נכסי הקרן'!$C$42</f>
        <v>3.8222633822220749E-5</v>
      </c>
    </row>
    <row r="17" spans="2:15">
      <c r="B17" s="76" t="s">
        <v>1587</v>
      </c>
      <c r="C17" s="70" t="s">
        <v>1588</v>
      </c>
      <c r="D17" s="83" t="s">
        <v>130</v>
      </c>
      <c r="E17" s="70"/>
      <c r="F17" s="83" t="s">
        <v>1442</v>
      </c>
      <c r="G17" s="70" t="s">
        <v>640</v>
      </c>
      <c r="H17" s="70"/>
      <c r="I17" s="83" t="s">
        <v>156</v>
      </c>
      <c r="J17" s="77">
        <v>315.32763500000004</v>
      </c>
      <c r="K17" s="79">
        <v>1403.8</v>
      </c>
      <c r="L17" s="77">
        <v>15.342489373000001</v>
      </c>
      <c r="M17" s="78">
        <v>4.1020975385041136E-7</v>
      </c>
      <c r="N17" s="78">
        <f t="shared" si="0"/>
        <v>0.33144867935011479</v>
      </c>
      <c r="O17" s="78">
        <f>L17/'סכום נכסי הקרן'!$C$42</f>
        <v>1.8976143059807384E-4</v>
      </c>
    </row>
    <row r="18" spans="2:15">
      <c r="B18" s="76" t="s">
        <v>1589</v>
      </c>
      <c r="C18" s="70" t="s">
        <v>1590</v>
      </c>
      <c r="D18" s="83" t="s">
        <v>26</v>
      </c>
      <c r="E18" s="70"/>
      <c r="F18" s="83" t="s">
        <v>1442</v>
      </c>
      <c r="G18" s="70" t="s">
        <v>640</v>
      </c>
      <c r="H18" s="70"/>
      <c r="I18" s="83" t="s">
        <v>166</v>
      </c>
      <c r="J18" s="77">
        <v>8.1860300000000006</v>
      </c>
      <c r="K18" s="79">
        <v>11678.96</v>
      </c>
      <c r="L18" s="77">
        <v>3.0758775229999999</v>
      </c>
      <c r="M18" s="78">
        <v>2.1712014903537148E-6</v>
      </c>
      <c r="N18" s="78">
        <f t="shared" si="0"/>
        <v>6.6449160762345361E-2</v>
      </c>
      <c r="O18" s="78">
        <f>L18/'סכום נכסי הקרן'!$C$42</f>
        <v>3.8043560267091721E-5</v>
      </c>
    </row>
    <row r="19" spans="2:15">
      <c r="B19" s="76" t="s">
        <v>1591</v>
      </c>
      <c r="C19" s="70" t="s">
        <v>1592</v>
      </c>
      <c r="D19" s="83" t="s">
        <v>130</v>
      </c>
      <c r="E19" s="70"/>
      <c r="F19" s="83" t="s">
        <v>1442</v>
      </c>
      <c r="G19" s="70" t="s">
        <v>640</v>
      </c>
      <c r="H19" s="70"/>
      <c r="I19" s="83" t="s">
        <v>156</v>
      </c>
      <c r="J19" s="77">
        <v>52.757037999999994</v>
      </c>
      <c r="K19" s="79">
        <v>11504.94</v>
      </c>
      <c r="L19" s="77">
        <v>21.037460622999998</v>
      </c>
      <c r="M19" s="78">
        <v>6.4122109380810391E-7</v>
      </c>
      <c r="N19" s="78">
        <f t="shared" si="0"/>
        <v>0.45447895519773496</v>
      </c>
      <c r="O19" s="78">
        <f>L19/'סכום נכסי הקרן'!$C$42</f>
        <v>2.6019888473877617E-4</v>
      </c>
    </row>
    <row r="20" spans="2:15">
      <c r="B20" s="73"/>
      <c r="C20" s="70"/>
      <c r="D20" s="70"/>
      <c r="E20" s="70"/>
      <c r="F20" s="70"/>
      <c r="G20" s="70"/>
      <c r="H20" s="70"/>
      <c r="I20" s="70"/>
      <c r="J20" s="77"/>
      <c r="K20" s="79"/>
      <c r="L20" s="70"/>
      <c r="M20" s="70"/>
      <c r="N20" s="78"/>
      <c r="O20" s="70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85" t="s">
        <v>244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85" t="s">
        <v>105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85" t="s">
        <v>227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85" t="s">
        <v>235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5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5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5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5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59" ht="20.2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BG37" s="4"/>
    </row>
    <row r="38" spans="2:5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BG38" s="3"/>
    </row>
    <row r="39" spans="2:5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5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5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5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5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5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5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5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5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5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2: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2:1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</row>
    <row r="112" spans="2:1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</row>
    <row r="113" spans="2:1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</row>
    <row r="114" spans="2:1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</row>
    <row r="115" spans="2:1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</row>
    <row r="116" spans="2:1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</row>
    <row r="117" spans="2:1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</row>
    <row r="118" spans="2:1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</row>
    <row r="119" spans="2:1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22 B24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2" sqref="K12:K14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4.8554687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172</v>
      </c>
      <c r="C1" s="68" t="s" vm="1">
        <v>252</v>
      </c>
    </row>
    <row r="2" spans="2:60">
      <c r="B2" s="47" t="s">
        <v>171</v>
      </c>
      <c r="C2" s="68" t="s">
        <v>253</v>
      </c>
    </row>
    <row r="3" spans="2:60">
      <c r="B3" s="47" t="s">
        <v>173</v>
      </c>
      <c r="C3" s="68" t="s">
        <v>254</v>
      </c>
    </row>
    <row r="4" spans="2:60">
      <c r="B4" s="47" t="s">
        <v>174</v>
      </c>
      <c r="C4" s="68">
        <v>8602</v>
      </c>
    </row>
    <row r="6" spans="2:60" ht="26.25" customHeight="1">
      <c r="B6" s="123" t="s">
        <v>202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0" ht="26.25" customHeight="1">
      <c r="B7" s="123" t="s">
        <v>87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H7" s="3"/>
    </row>
    <row r="8" spans="2:60" s="3" customFormat="1" ht="78.75">
      <c r="B8" s="22" t="s">
        <v>109</v>
      </c>
      <c r="C8" s="30" t="s">
        <v>41</v>
      </c>
      <c r="D8" s="30" t="s">
        <v>112</v>
      </c>
      <c r="E8" s="30" t="s">
        <v>61</v>
      </c>
      <c r="F8" s="30" t="s">
        <v>96</v>
      </c>
      <c r="G8" s="30" t="s">
        <v>229</v>
      </c>
      <c r="H8" s="30" t="s">
        <v>228</v>
      </c>
      <c r="I8" s="30" t="s">
        <v>58</v>
      </c>
      <c r="J8" s="30" t="s">
        <v>55</v>
      </c>
      <c r="K8" s="30" t="s">
        <v>175</v>
      </c>
      <c r="L8" s="66" t="s">
        <v>177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236</v>
      </c>
      <c r="H9" s="16"/>
      <c r="I9" s="16" t="s">
        <v>232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69" t="s">
        <v>44</v>
      </c>
      <c r="C11" s="70"/>
      <c r="D11" s="70"/>
      <c r="E11" s="70"/>
      <c r="F11" s="70"/>
      <c r="G11" s="77"/>
      <c r="H11" s="79"/>
      <c r="I11" s="77">
        <v>0.146717297</v>
      </c>
      <c r="J11" s="70"/>
      <c r="K11" s="78">
        <f>I11/$I$11</f>
        <v>1</v>
      </c>
      <c r="L11" s="78">
        <f>I11/'סכום נכסי הקרן'!$C$42</f>
        <v>1.8146523354416069E-6</v>
      </c>
      <c r="BC11" s="1"/>
      <c r="BD11" s="3"/>
      <c r="BE11" s="1"/>
      <c r="BG11" s="1"/>
    </row>
    <row r="12" spans="2:60" s="4" customFormat="1" ht="18" customHeight="1">
      <c r="B12" s="95" t="s">
        <v>24</v>
      </c>
      <c r="C12" s="70"/>
      <c r="D12" s="70"/>
      <c r="E12" s="70"/>
      <c r="F12" s="70"/>
      <c r="G12" s="77"/>
      <c r="H12" s="79"/>
      <c r="I12" s="77">
        <v>0.146717297</v>
      </c>
      <c r="J12" s="70"/>
      <c r="K12" s="78">
        <f t="shared" ref="K12:K14" si="0">I12/$I$11</f>
        <v>1</v>
      </c>
      <c r="L12" s="78">
        <f>I12/'סכום נכסי הקרן'!$C$42</f>
        <v>1.8146523354416069E-6</v>
      </c>
      <c r="BC12" s="1"/>
      <c r="BD12" s="3"/>
      <c r="BE12" s="1"/>
      <c r="BG12" s="1"/>
    </row>
    <row r="13" spans="2:60">
      <c r="B13" s="89" t="s">
        <v>1593</v>
      </c>
      <c r="C13" s="72"/>
      <c r="D13" s="72"/>
      <c r="E13" s="72"/>
      <c r="F13" s="72"/>
      <c r="G13" s="80"/>
      <c r="H13" s="82"/>
      <c r="I13" s="80">
        <v>0.146717297</v>
      </c>
      <c r="J13" s="72"/>
      <c r="K13" s="81">
        <f t="shared" si="0"/>
        <v>1</v>
      </c>
      <c r="L13" s="81">
        <f>I13/'סכום נכסי הקרן'!$C$42</f>
        <v>1.8146523354416069E-6</v>
      </c>
      <c r="BD13" s="3"/>
    </row>
    <row r="14" spans="2:60" ht="20.25">
      <c r="B14" s="76" t="s">
        <v>1594</v>
      </c>
      <c r="C14" s="70" t="s">
        <v>1595</v>
      </c>
      <c r="D14" s="83" t="s">
        <v>113</v>
      </c>
      <c r="E14" s="83" t="s">
        <v>183</v>
      </c>
      <c r="F14" s="83" t="s">
        <v>157</v>
      </c>
      <c r="G14" s="77">
        <v>30.842400000000001</v>
      </c>
      <c r="H14" s="79">
        <v>475.7</v>
      </c>
      <c r="I14" s="77">
        <v>0.146717297</v>
      </c>
      <c r="J14" s="78">
        <v>3.4815279467390252E-6</v>
      </c>
      <c r="K14" s="78">
        <f t="shared" si="0"/>
        <v>1</v>
      </c>
      <c r="L14" s="78">
        <f>I14/'סכום נכסי הקרן'!$C$42</f>
        <v>1.8146523354416069E-6</v>
      </c>
      <c r="BD14" s="4"/>
    </row>
    <row r="15" spans="2:60">
      <c r="B15" s="73"/>
      <c r="C15" s="70"/>
      <c r="D15" s="70"/>
      <c r="E15" s="70"/>
      <c r="F15" s="70"/>
      <c r="G15" s="77"/>
      <c r="H15" s="79"/>
      <c r="I15" s="70"/>
      <c r="J15" s="70"/>
      <c r="K15" s="78"/>
      <c r="L15" s="70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5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56">
      <c r="B18" s="85" t="s">
        <v>244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56" ht="20.25">
      <c r="B19" s="85" t="s">
        <v>105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BC19" s="4"/>
    </row>
    <row r="20" spans="2:56">
      <c r="B20" s="85" t="s">
        <v>227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BD20" s="3"/>
    </row>
    <row r="21" spans="2:56">
      <c r="B21" s="85" t="s">
        <v>235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2020-08-31T11:37:49Z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