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12" i="78" l="1"/>
  <c r="P33" i="78"/>
  <c r="P137" i="78"/>
  <c r="P136" i="78" s="1"/>
  <c r="J13" i="81"/>
  <c r="I11" i="81"/>
  <c r="I10" i="81" s="1"/>
  <c r="C43" i="88"/>
  <c r="P11" i="78" l="1"/>
  <c r="P10" i="78" s="1"/>
  <c r="J11" i="81"/>
  <c r="J12" i="81"/>
  <c r="J10" i="81"/>
  <c r="Q11" i="78" l="1"/>
  <c r="Q218" i="78"/>
  <c r="Q214" i="78"/>
  <c r="Q210" i="78"/>
  <c r="Q206" i="78"/>
  <c r="Q202" i="78"/>
  <c r="Q198" i="78"/>
  <c r="Q194" i="78"/>
  <c r="Q190" i="78"/>
  <c r="Q186" i="78"/>
  <c r="Q182" i="78"/>
  <c r="Q178" i="78"/>
  <c r="Q174" i="78"/>
  <c r="Q170" i="78"/>
  <c r="Q166" i="78"/>
  <c r="Q162" i="78"/>
  <c r="Q158" i="78"/>
  <c r="Q154" i="78"/>
  <c r="Q150" i="78"/>
  <c r="Q146" i="78"/>
  <c r="Q142" i="78"/>
  <c r="Q138" i="78"/>
  <c r="Q133" i="78"/>
  <c r="Q130" i="78"/>
  <c r="Q128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59" i="78"/>
  <c r="Q55" i="78"/>
  <c r="Q51" i="78"/>
  <c r="Q45" i="78"/>
  <c r="Q41" i="78"/>
  <c r="Q37" i="78"/>
  <c r="Q33" i="78"/>
  <c r="Q28" i="78"/>
  <c r="Q24" i="78"/>
  <c r="Q20" i="78"/>
  <c r="Q16" i="78"/>
  <c r="Q12" i="78"/>
  <c r="Q123" i="78"/>
  <c r="Q111" i="78"/>
  <c r="Q103" i="78"/>
  <c r="Q95" i="78"/>
  <c r="Q91" i="78"/>
  <c r="Q87" i="78"/>
  <c r="Q79" i="78"/>
  <c r="Q75" i="78"/>
  <c r="Q71" i="78"/>
  <c r="Q63" i="78"/>
  <c r="Q58" i="78"/>
  <c r="Q50" i="78"/>
  <c r="Q40" i="78"/>
  <c r="Q31" i="78"/>
  <c r="Q23" i="78"/>
  <c r="Q15" i="78"/>
  <c r="Q74" i="78"/>
  <c r="Q66" i="78"/>
  <c r="Q53" i="78"/>
  <c r="Q39" i="78"/>
  <c r="Q26" i="78"/>
  <c r="Q14" i="78"/>
  <c r="Q60" i="78"/>
  <c r="Q46" i="78"/>
  <c r="Q34" i="78"/>
  <c r="Q17" i="78"/>
  <c r="Q217" i="78"/>
  <c r="Q213" i="78"/>
  <c r="Q209" i="78"/>
  <c r="Q205" i="78"/>
  <c r="Q201" i="78"/>
  <c r="Q197" i="78"/>
  <c r="Q193" i="78"/>
  <c r="Q189" i="78"/>
  <c r="Q185" i="78"/>
  <c r="Q181" i="78"/>
  <c r="Q177" i="78"/>
  <c r="Q173" i="78"/>
  <c r="Q169" i="78"/>
  <c r="Q165" i="78"/>
  <c r="Q161" i="78"/>
  <c r="Q157" i="78"/>
  <c r="Q153" i="78"/>
  <c r="Q149" i="78"/>
  <c r="Q145" i="78"/>
  <c r="Q141" i="78"/>
  <c r="Q137" i="78"/>
  <c r="Q48" i="78"/>
  <c r="Q127" i="78"/>
  <c r="Q119" i="78"/>
  <c r="Q115" i="78"/>
  <c r="Q107" i="78"/>
  <c r="Q99" i="78"/>
  <c r="Q83" i="78"/>
  <c r="Q67" i="78"/>
  <c r="Q54" i="78"/>
  <c r="Q44" i="78"/>
  <c r="Q36" i="78"/>
  <c r="Q27" i="78"/>
  <c r="Q19" i="78"/>
  <c r="Q57" i="78"/>
  <c r="Q43" i="78"/>
  <c r="Q30" i="78"/>
  <c r="Q18" i="78"/>
  <c r="Q56" i="78"/>
  <c r="Q38" i="78"/>
  <c r="Q25" i="78"/>
  <c r="Q220" i="78"/>
  <c r="Q216" i="78"/>
  <c r="Q212" i="78"/>
  <c r="Q208" i="78"/>
  <c r="Q204" i="78"/>
  <c r="Q200" i="78"/>
  <c r="Q196" i="78"/>
  <c r="Q192" i="78"/>
  <c r="Q188" i="78"/>
  <c r="Q184" i="78"/>
  <c r="Q180" i="78"/>
  <c r="Q176" i="78"/>
  <c r="Q172" i="78"/>
  <c r="Q168" i="78"/>
  <c r="Q164" i="78"/>
  <c r="Q160" i="78"/>
  <c r="Q156" i="78"/>
  <c r="Q152" i="78"/>
  <c r="Q148" i="78"/>
  <c r="Q144" i="78"/>
  <c r="Q140" i="78"/>
  <c r="Q132" i="78"/>
  <c r="Q47" i="78"/>
  <c r="Q126" i="78"/>
  <c r="Q122" i="78"/>
  <c r="Q118" i="78"/>
  <c r="Q114" i="78"/>
  <c r="Q110" i="78"/>
  <c r="Q106" i="78"/>
  <c r="Q102" i="78"/>
  <c r="Q98" i="78"/>
  <c r="Q94" i="78"/>
  <c r="Q90" i="78"/>
  <c r="Q86" i="78"/>
  <c r="Q82" i="78"/>
  <c r="Q78" i="78"/>
  <c r="Q70" i="78"/>
  <c r="Q61" i="78"/>
  <c r="Q49" i="78"/>
  <c r="Q35" i="78"/>
  <c r="Q22" i="78"/>
  <c r="Q10" i="78"/>
  <c r="Q42" i="78"/>
  <c r="Q21" i="78"/>
  <c r="Q13" i="78"/>
  <c r="Q219" i="78"/>
  <c r="Q215" i="78"/>
  <c r="Q211" i="78"/>
  <c r="Q207" i="78"/>
  <c r="Q203" i="78"/>
  <c r="Q199" i="78"/>
  <c r="Q195" i="78"/>
  <c r="Q191" i="78"/>
  <c r="Q187" i="78"/>
  <c r="Q183" i="78"/>
  <c r="Q179" i="78"/>
  <c r="Q175" i="78"/>
  <c r="Q171" i="78"/>
  <c r="Q167" i="78"/>
  <c r="Q163" i="78"/>
  <c r="Q159" i="78"/>
  <c r="Q155" i="78"/>
  <c r="Q151" i="78"/>
  <c r="Q147" i="78"/>
  <c r="Q143" i="78"/>
  <c r="Q139" i="78"/>
  <c r="Q62" i="78"/>
  <c r="Q131" i="78"/>
  <c r="Q129" i="78"/>
  <c r="Q125" i="78"/>
  <c r="Q121" i="78"/>
  <c r="Q117" i="78"/>
  <c r="Q113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52" i="78"/>
  <c r="Q29" i="78"/>
  <c r="Q136" i="78"/>
  <c r="J69" i="76" l="1"/>
  <c r="J68" i="76"/>
  <c r="J67" i="76"/>
  <c r="J65" i="76"/>
  <c r="J64" i="76"/>
  <c r="J63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R30" i="71"/>
  <c r="R29" i="71"/>
  <c r="R28" i="71"/>
  <c r="R26" i="71"/>
  <c r="R25" i="71"/>
  <c r="R24" i="71"/>
  <c r="R23" i="71"/>
  <c r="R22" i="71"/>
  <c r="R21" i="71"/>
  <c r="R20" i="71"/>
  <c r="R18" i="71"/>
  <c r="R17" i="71"/>
  <c r="R16" i="71"/>
  <c r="R15" i="71"/>
  <c r="R14" i="71"/>
  <c r="R13" i="71"/>
  <c r="R12" i="71"/>
  <c r="R11" i="71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34" i="63"/>
  <c r="M33" i="63"/>
  <c r="M32" i="63"/>
  <c r="M31" i="63"/>
  <c r="M30" i="63"/>
  <c r="M29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R253" i="61"/>
  <c r="R245" i="61"/>
  <c r="R161" i="61"/>
  <c r="R13" i="61"/>
  <c r="R12" i="61" l="1"/>
  <c r="R11" i="61" s="1"/>
  <c r="S187" i="61" l="1"/>
  <c r="O187" i="61"/>
  <c r="S179" i="61"/>
  <c r="O179" i="61"/>
  <c r="S130" i="61"/>
  <c r="S129" i="61"/>
  <c r="S128" i="61"/>
  <c r="S127" i="61"/>
  <c r="O130" i="61"/>
  <c r="O129" i="61"/>
  <c r="O128" i="61"/>
  <c r="O127" i="61"/>
  <c r="S119" i="61"/>
  <c r="S118" i="61"/>
  <c r="S117" i="61"/>
  <c r="O119" i="61"/>
  <c r="O118" i="61"/>
  <c r="O117" i="61"/>
  <c r="S104" i="61"/>
  <c r="S103" i="61"/>
  <c r="O104" i="61"/>
  <c r="O103" i="61"/>
  <c r="S100" i="61"/>
  <c r="S99" i="61"/>
  <c r="S98" i="61"/>
  <c r="S97" i="61"/>
  <c r="O100" i="61"/>
  <c r="O99" i="61"/>
  <c r="O98" i="61"/>
  <c r="O97" i="61"/>
  <c r="O72" i="61"/>
  <c r="O71" i="61"/>
  <c r="O70" i="61"/>
  <c r="O69" i="61"/>
  <c r="S72" i="61"/>
  <c r="S71" i="61"/>
  <c r="S70" i="61"/>
  <c r="S69" i="61"/>
  <c r="R262" i="61"/>
  <c r="R254" i="61"/>
  <c r="Q60" i="59"/>
  <c r="Q59" i="59"/>
  <c r="Q58" i="59"/>
  <c r="Q57" i="59"/>
  <c r="Q56" i="59"/>
  <c r="Q55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5" i="58"/>
  <c r="J20" i="58" s="1"/>
  <c r="J12" i="58"/>
  <c r="C37" i="88"/>
  <c r="C33" i="88"/>
  <c r="C31" i="88"/>
  <c r="C26" i="88"/>
  <c r="C24" i="88"/>
  <c r="C18" i="88"/>
  <c r="C17" i="88"/>
  <c r="C13" i="88"/>
  <c r="C23" i="88" l="1"/>
  <c r="J11" i="58"/>
  <c r="J10" i="58" s="1"/>
  <c r="K20" i="58" s="1"/>
  <c r="K27" i="58"/>
  <c r="K25" i="58"/>
  <c r="K18" i="58"/>
  <c r="K28" i="58" l="1"/>
  <c r="K12" i="58"/>
  <c r="K30" i="58"/>
  <c r="K14" i="58"/>
  <c r="K21" i="58"/>
  <c r="K24" i="58"/>
  <c r="C11" i="88"/>
  <c r="K15" i="58"/>
  <c r="K26" i="58"/>
  <c r="K10" i="58"/>
  <c r="K17" i="58"/>
  <c r="K11" i="58"/>
  <c r="K31" i="58"/>
  <c r="K22" i="58"/>
  <c r="K29" i="58"/>
  <c r="K13" i="58"/>
  <c r="K16" i="58"/>
  <c r="K23" i="58"/>
  <c r="T64" i="61" l="1"/>
  <c r="T32" i="61"/>
  <c r="T347" i="61"/>
  <c r="T277" i="61"/>
  <c r="T289" i="61"/>
  <c r="T122" i="61"/>
  <c r="T79" i="61"/>
  <c r="T43" i="61"/>
  <c r="T52" i="61"/>
  <c r="T179" i="61"/>
  <c r="T136" i="61"/>
  <c r="T150" i="61"/>
  <c r="T107" i="61"/>
  <c r="T24" i="61"/>
  <c r="T235" i="61"/>
  <c r="T251" i="61"/>
  <c r="T207" i="61"/>
  <c r="T164" i="61"/>
  <c r="T310" i="61"/>
  <c r="T330" i="61"/>
  <c r="T192" i="61"/>
  <c r="T94" i="61"/>
  <c r="T15" i="61"/>
  <c r="T222" i="61"/>
  <c r="T253" i="61"/>
  <c r="T266" i="61"/>
  <c r="T326" i="61"/>
  <c r="T287" i="61"/>
  <c r="T249" i="61"/>
  <c r="T219" i="61"/>
  <c r="T191" i="61"/>
  <c r="T163" i="61"/>
  <c r="T134" i="61"/>
  <c r="T106" i="61"/>
  <c r="T78" i="61"/>
  <c r="T48" i="61"/>
  <c r="T20" i="61"/>
  <c r="T332" i="61"/>
  <c r="T294" i="61"/>
  <c r="T256" i="61"/>
  <c r="T224" i="61"/>
  <c r="T196" i="61"/>
  <c r="T168" i="61"/>
  <c r="T139" i="61"/>
  <c r="T111" i="61"/>
  <c r="T83" i="61"/>
  <c r="C15" i="88"/>
  <c r="C12" i="88" s="1"/>
  <c r="C10" i="88" s="1"/>
  <c r="T46" i="61"/>
  <c r="T95" i="61"/>
  <c r="T152" i="61"/>
  <c r="T208" i="61"/>
  <c r="T278" i="61"/>
  <c r="T351" i="61"/>
  <c r="T38" i="61"/>
  <c r="T86" i="61"/>
  <c r="T143" i="61"/>
  <c r="T200" i="61"/>
  <c r="T258" i="61"/>
  <c r="T338" i="61"/>
  <c r="T31" i="61"/>
  <c r="T74" i="61"/>
  <c r="T131" i="61"/>
  <c r="T187" i="61"/>
  <c r="T245" i="61"/>
  <c r="T321" i="61"/>
  <c r="T18" i="61"/>
  <c r="T39" i="61"/>
  <c r="T60" i="61"/>
  <c r="T82" i="61"/>
  <c r="T103" i="61"/>
  <c r="T124" i="61"/>
  <c r="T146" i="61"/>
  <c r="T167" i="61"/>
  <c r="T188" i="61"/>
  <c r="T210" i="61"/>
  <c r="T231" i="61"/>
  <c r="T254" i="61"/>
  <c r="T282" i="61"/>
  <c r="T314" i="61"/>
  <c r="T342" i="61"/>
  <c r="T275" i="61"/>
  <c r="T302" i="61"/>
  <c r="T323" i="61"/>
  <c r="T344" i="61"/>
  <c r="T264" i="61"/>
  <c r="T341" i="61"/>
  <c r="T325" i="61"/>
  <c r="T309" i="61"/>
  <c r="T292" i="61"/>
  <c r="T270" i="61"/>
  <c r="T255" i="61"/>
  <c r="T237" i="61"/>
  <c r="T221" i="61"/>
  <c r="T205" i="61"/>
  <c r="T189" i="61"/>
  <c r="T173" i="61"/>
  <c r="T141" i="61"/>
  <c r="T125" i="61"/>
  <c r="T109" i="61"/>
  <c r="T93" i="61"/>
  <c r="T77" i="61"/>
  <c r="T61" i="61"/>
  <c r="T45" i="61"/>
  <c r="T29" i="61"/>
  <c r="T354" i="61"/>
  <c r="T315" i="61"/>
  <c r="T274" i="61"/>
  <c r="T240" i="61"/>
  <c r="T212" i="61"/>
  <c r="T297" i="61"/>
  <c r="T227" i="61"/>
  <c r="T176" i="61"/>
  <c r="T142" i="61"/>
  <c r="T99" i="61"/>
  <c r="T63" i="61"/>
  <c r="T27" i="61"/>
  <c r="T324" i="61"/>
  <c r="T272" i="61"/>
  <c r="T232" i="61"/>
  <c r="T190" i="61"/>
  <c r="T154" i="61"/>
  <c r="T118" i="61"/>
  <c r="T75" i="61"/>
  <c r="T26" i="61"/>
  <c r="T80" i="61"/>
  <c r="T166" i="61"/>
  <c r="T238" i="61"/>
  <c r="T331" i="61"/>
  <c r="T47" i="61"/>
  <c r="T115" i="61"/>
  <c r="T186" i="61"/>
  <c r="T276" i="61"/>
  <c r="T12" i="61"/>
  <c r="T59" i="61"/>
  <c r="T144" i="61"/>
  <c r="T216" i="61"/>
  <c r="T303" i="61"/>
  <c r="T23" i="61"/>
  <c r="T50" i="61"/>
  <c r="T76" i="61"/>
  <c r="T108" i="61"/>
  <c r="T135" i="61"/>
  <c r="T162" i="61"/>
  <c r="T194" i="61"/>
  <c r="T220" i="61"/>
  <c r="T248" i="61"/>
  <c r="T291" i="61"/>
  <c r="T327" i="61"/>
  <c r="T279" i="61"/>
  <c r="T307" i="61"/>
  <c r="T334" i="61"/>
  <c r="T265" i="61"/>
  <c r="T337" i="61"/>
  <c r="T316" i="61"/>
  <c r="T296" i="61"/>
  <c r="T271" i="61"/>
  <c r="T246" i="61"/>
  <c r="T225" i="61"/>
  <c r="T201" i="61"/>
  <c r="T181" i="61"/>
  <c r="T161" i="61"/>
  <c r="T137" i="61"/>
  <c r="T117" i="61"/>
  <c r="T97" i="61"/>
  <c r="T73" i="61"/>
  <c r="T53" i="61"/>
  <c r="T33" i="61"/>
  <c r="T346" i="61"/>
  <c r="T268" i="61"/>
  <c r="T206" i="61"/>
  <c r="T170" i="61"/>
  <c r="T127" i="61"/>
  <c r="T91" i="61"/>
  <c r="T56" i="61"/>
  <c r="T14" i="61"/>
  <c r="T329" i="61"/>
  <c r="T263" i="61"/>
  <c r="T218" i="61"/>
  <c r="T182" i="61"/>
  <c r="T147" i="61"/>
  <c r="T104" i="61"/>
  <c r="T68" i="61"/>
  <c r="T36" i="61"/>
  <c r="T110" i="61"/>
  <c r="T180" i="61"/>
  <c r="T11" i="61"/>
  <c r="T58" i="61"/>
  <c r="T128" i="61"/>
  <c r="T214" i="61"/>
  <c r="T300" i="61"/>
  <c r="T22" i="61"/>
  <c r="T88" i="61"/>
  <c r="T158" i="61"/>
  <c r="T230" i="61"/>
  <c r="T340" i="61"/>
  <c r="T28" i="61"/>
  <c r="T55" i="61"/>
  <c r="T87" i="61"/>
  <c r="T114" i="61"/>
  <c r="T140" i="61"/>
  <c r="T172" i="61"/>
  <c r="T199" i="61"/>
  <c r="T226" i="61"/>
  <c r="T260" i="61"/>
  <c r="T299" i="61"/>
  <c r="T335" i="61"/>
  <c r="T285" i="61"/>
  <c r="T312" i="61"/>
  <c r="T339" i="61"/>
  <c r="T353" i="61"/>
  <c r="T333" i="61"/>
  <c r="T313" i="61"/>
  <c r="T288" i="61"/>
  <c r="T267" i="61"/>
  <c r="T241" i="61"/>
  <c r="T217" i="61"/>
  <c r="T197" i="61"/>
  <c r="T177" i="61"/>
  <c r="T153" i="61"/>
  <c r="T133" i="61"/>
  <c r="T113" i="61"/>
  <c r="T89" i="61"/>
  <c r="T69" i="61"/>
  <c r="T49" i="61"/>
  <c r="T25" i="61"/>
  <c r="T336" i="61"/>
  <c r="T257" i="61"/>
  <c r="T198" i="61"/>
  <c r="T155" i="61"/>
  <c r="T120" i="61"/>
  <c r="T84" i="61"/>
  <c r="T42" i="61"/>
  <c r="T352" i="61"/>
  <c r="T304" i="61"/>
  <c r="T247" i="61"/>
  <c r="T211" i="61"/>
  <c r="T175" i="61"/>
  <c r="T132" i="61"/>
  <c r="T96" i="61"/>
  <c r="T62" i="61"/>
  <c r="T54" i="61"/>
  <c r="T123" i="61"/>
  <c r="T195" i="61"/>
  <c r="T293" i="61"/>
  <c r="T19" i="61"/>
  <c r="T72" i="61"/>
  <c r="T157" i="61"/>
  <c r="T228" i="61"/>
  <c r="T318" i="61"/>
  <c r="T40" i="61"/>
  <c r="T102" i="61"/>
  <c r="T174" i="61"/>
  <c r="T262" i="61"/>
  <c r="T356" i="61"/>
  <c r="T34" i="61"/>
  <c r="T66" i="61"/>
  <c r="T92" i="61"/>
  <c r="T119" i="61"/>
  <c r="T151" i="61"/>
  <c r="T178" i="61"/>
  <c r="T204" i="61"/>
  <c r="T236" i="61"/>
  <c r="T269" i="61"/>
  <c r="T306" i="61"/>
  <c r="T348" i="61"/>
  <c r="T290" i="61"/>
  <c r="T317" i="61"/>
  <c r="T350" i="61"/>
  <c r="T349" i="61"/>
  <c r="T322" i="61"/>
  <c r="T305" i="61"/>
  <c r="T283" i="61"/>
  <c r="T259" i="61"/>
  <c r="T233" i="61"/>
  <c r="T213" i="61"/>
  <c r="T193" i="61"/>
  <c r="T169" i="61"/>
  <c r="T149" i="61"/>
  <c r="T148" i="61"/>
  <c r="T343" i="61"/>
  <c r="T159" i="61"/>
  <c r="T67" i="61"/>
  <c r="T30" i="61"/>
  <c r="T286" i="61"/>
  <c r="T281" i="61"/>
  <c r="T98" i="61"/>
  <c r="T215" i="61"/>
  <c r="T284" i="61"/>
  <c r="T345" i="61"/>
  <c r="T250" i="61"/>
  <c r="T165" i="61"/>
  <c r="T105" i="61"/>
  <c r="T65" i="61"/>
  <c r="T21" i="61"/>
  <c r="T308" i="61"/>
  <c r="T112" i="61"/>
  <c r="T298" i="61"/>
  <c r="T126" i="61"/>
  <c r="T138" i="61"/>
  <c r="T100" i="61"/>
  <c r="T51" i="61"/>
  <c r="T13" i="61"/>
  <c r="T130" i="61"/>
  <c r="T242" i="61"/>
  <c r="T295" i="61"/>
  <c r="T320" i="61"/>
  <c r="T229" i="61"/>
  <c r="T145" i="61"/>
  <c r="T101" i="61"/>
  <c r="T57" i="61"/>
  <c r="T17" i="61"/>
  <c r="T234" i="61"/>
  <c r="T70" i="61"/>
  <c r="T239" i="61"/>
  <c r="T90" i="61"/>
  <c r="T223" i="61"/>
  <c r="T171" i="61"/>
  <c r="T116" i="61"/>
  <c r="T44" i="61"/>
  <c r="T156" i="61"/>
  <c r="T273" i="61"/>
  <c r="T328" i="61"/>
  <c r="T301" i="61"/>
  <c r="T209" i="61"/>
  <c r="T129" i="61"/>
  <c r="T85" i="61"/>
  <c r="T41" i="61"/>
  <c r="T184" i="61"/>
  <c r="T35" i="61"/>
  <c r="T203" i="61"/>
  <c r="T16" i="61"/>
  <c r="T311" i="61"/>
  <c r="T243" i="61"/>
  <c r="T202" i="61"/>
  <c r="T71" i="61"/>
  <c r="T183" i="61"/>
  <c r="T319" i="61"/>
  <c r="T355" i="61"/>
  <c r="T280" i="61"/>
  <c r="T185" i="61"/>
  <c r="T121" i="61"/>
  <c r="T81" i="61"/>
  <c r="T37" i="61"/>
  <c r="C42" i="88" l="1"/>
  <c r="K13" i="81" l="1"/>
  <c r="R218" i="78"/>
  <c r="R214" i="78"/>
  <c r="R210" i="78"/>
  <c r="R206" i="78"/>
  <c r="R202" i="78"/>
  <c r="R198" i="78"/>
  <c r="R194" i="78"/>
  <c r="R190" i="78"/>
  <c r="R186" i="78"/>
  <c r="R182" i="78"/>
  <c r="R178" i="78"/>
  <c r="R174" i="78"/>
  <c r="R170" i="78"/>
  <c r="R166" i="78"/>
  <c r="R162" i="78"/>
  <c r="R158" i="78"/>
  <c r="R154" i="78"/>
  <c r="R150" i="78"/>
  <c r="R146" i="78"/>
  <c r="R142" i="78"/>
  <c r="R133" i="78"/>
  <c r="R123" i="78"/>
  <c r="R107" i="78"/>
  <c r="R95" i="78"/>
  <c r="R87" i="78"/>
  <c r="R71" i="78"/>
  <c r="R54" i="78"/>
  <c r="R40" i="78"/>
  <c r="R27" i="78"/>
  <c r="R15" i="78"/>
  <c r="R66" i="78"/>
  <c r="R49" i="78"/>
  <c r="R35" i="78"/>
  <c r="R26" i="78"/>
  <c r="R217" i="78"/>
  <c r="R213" i="78"/>
  <c r="R209" i="78"/>
  <c r="R205" i="78"/>
  <c r="R201" i="78"/>
  <c r="R197" i="78"/>
  <c r="R193" i="78"/>
  <c r="R189" i="78"/>
  <c r="R185" i="78"/>
  <c r="R181" i="78"/>
  <c r="R177" i="78"/>
  <c r="R173" i="78"/>
  <c r="R169" i="78"/>
  <c r="R165" i="78"/>
  <c r="R161" i="78"/>
  <c r="R157" i="78"/>
  <c r="R153" i="78"/>
  <c r="R149" i="78"/>
  <c r="R145" i="78"/>
  <c r="R141" i="78"/>
  <c r="R137" i="78"/>
  <c r="R132" i="78"/>
  <c r="R47" i="78"/>
  <c r="R126" i="78"/>
  <c r="R122" i="78"/>
  <c r="R118" i="78"/>
  <c r="R114" i="78"/>
  <c r="R110" i="78"/>
  <c r="R106" i="78"/>
  <c r="R102" i="78"/>
  <c r="R98" i="78"/>
  <c r="R94" i="78"/>
  <c r="R90" i="78"/>
  <c r="R86" i="78"/>
  <c r="R82" i="78"/>
  <c r="R78" i="78"/>
  <c r="R70" i="78"/>
  <c r="R57" i="78"/>
  <c r="R43" i="78"/>
  <c r="R22" i="78"/>
  <c r="R219" i="78"/>
  <c r="R215" i="78"/>
  <c r="R211" i="78"/>
  <c r="R207" i="78"/>
  <c r="R203" i="78"/>
  <c r="R199" i="78"/>
  <c r="R195" i="78"/>
  <c r="R191" i="78"/>
  <c r="R187" i="78"/>
  <c r="R183" i="78"/>
  <c r="R179" i="78"/>
  <c r="R175" i="78"/>
  <c r="R171" i="78"/>
  <c r="R167" i="78"/>
  <c r="R163" i="78"/>
  <c r="R159" i="78"/>
  <c r="R155" i="78"/>
  <c r="R151" i="78"/>
  <c r="R147" i="78"/>
  <c r="R143" i="78"/>
  <c r="R139" i="78"/>
  <c r="R62" i="78"/>
  <c r="R130" i="78"/>
  <c r="R128" i="78"/>
  <c r="R124" i="78"/>
  <c r="R120" i="78"/>
  <c r="R116" i="78"/>
  <c r="R112" i="78"/>
  <c r="R108" i="78"/>
  <c r="R104" i="78"/>
  <c r="R100" i="78"/>
  <c r="R96" i="78"/>
  <c r="R92" i="78"/>
  <c r="R88" i="78"/>
  <c r="R84" i="78"/>
  <c r="R80" i="78"/>
  <c r="R76" i="78"/>
  <c r="R72" i="78"/>
  <c r="R68" i="78"/>
  <c r="R64" i="78"/>
  <c r="R59" i="78"/>
  <c r="R55" i="78"/>
  <c r="R51" i="78"/>
  <c r="R45" i="78"/>
  <c r="R41" i="78"/>
  <c r="R37" i="78"/>
  <c r="R33" i="78"/>
  <c r="R28" i="78"/>
  <c r="R24" i="78"/>
  <c r="R20" i="78"/>
  <c r="R16" i="78"/>
  <c r="R12" i="78"/>
  <c r="R138" i="78"/>
  <c r="R48" i="78"/>
  <c r="R127" i="78"/>
  <c r="R119" i="78"/>
  <c r="R115" i="78"/>
  <c r="R111" i="78"/>
  <c r="R103" i="78"/>
  <c r="R99" i="78"/>
  <c r="R91" i="78"/>
  <c r="R83" i="78"/>
  <c r="R79" i="78"/>
  <c r="R75" i="78"/>
  <c r="R67" i="78"/>
  <c r="R63" i="78"/>
  <c r="R58" i="78"/>
  <c r="R50" i="78"/>
  <c r="R44" i="78"/>
  <c r="R36" i="78"/>
  <c r="R31" i="78"/>
  <c r="R23" i="78"/>
  <c r="R19" i="78"/>
  <c r="R11" i="78"/>
  <c r="R74" i="78"/>
  <c r="R61" i="78"/>
  <c r="R53" i="78"/>
  <c r="R39" i="78"/>
  <c r="R30" i="78"/>
  <c r="R212" i="78"/>
  <c r="R196" i="78"/>
  <c r="R180" i="78"/>
  <c r="R164" i="78"/>
  <c r="R148" i="78"/>
  <c r="R131" i="78"/>
  <c r="R117" i="78"/>
  <c r="R101" i="78"/>
  <c r="R85" i="78"/>
  <c r="R69" i="78"/>
  <c r="R52" i="78"/>
  <c r="R34" i="78"/>
  <c r="R18" i="78"/>
  <c r="R10" i="78"/>
  <c r="R192" i="78"/>
  <c r="R176" i="78"/>
  <c r="R160" i="78"/>
  <c r="R144" i="78"/>
  <c r="R113" i="78"/>
  <c r="R97" i="78"/>
  <c r="R65" i="78"/>
  <c r="R29" i="78"/>
  <c r="R220" i="78"/>
  <c r="R140" i="78"/>
  <c r="R109" i="78"/>
  <c r="R77" i="78"/>
  <c r="R25" i="78"/>
  <c r="R208" i="78"/>
  <c r="R129" i="78"/>
  <c r="R81" i="78"/>
  <c r="R46" i="78"/>
  <c r="R17" i="78"/>
  <c r="R188" i="78"/>
  <c r="R156" i="78"/>
  <c r="R125" i="78"/>
  <c r="R60" i="78"/>
  <c r="R216" i="78"/>
  <c r="R200" i="78"/>
  <c r="R184" i="78"/>
  <c r="R168" i="78"/>
  <c r="R152" i="78"/>
  <c r="R136" i="78"/>
  <c r="R121" i="78"/>
  <c r="R105" i="78"/>
  <c r="R89" i="78"/>
  <c r="R73" i="78"/>
  <c r="R56" i="78"/>
  <c r="R38" i="78"/>
  <c r="R21" i="78"/>
  <c r="R13" i="78"/>
  <c r="R204" i="78"/>
  <c r="R172" i="78"/>
  <c r="R93" i="78"/>
  <c r="R42" i="78"/>
  <c r="R14" i="78"/>
  <c r="K10" i="81"/>
  <c r="K12" i="81"/>
  <c r="K11" i="81"/>
  <c r="K69" i="76"/>
  <c r="K64" i="76"/>
  <c r="K59" i="76"/>
  <c r="K55" i="76"/>
  <c r="K51" i="76"/>
  <c r="K47" i="76"/>
  <c r="K42" i="76"/>
  <c r="K39" i="76"/>
  <c r="K35" i="76"/>
  <c r="K32" i="76"/>
  <c r="K28" i="76"/>
  <c r="K24" i="76"/>
  <c r="K20" i="76"/>
  <c r="K16" i="76"/>
  <c r="K12" i="76"/>
  <c r="S30" i="71"/>
  <c r="S25" i="71"/>
  <c r="S21" i="71"/>
  <c r="S16" i="71"/>
  <c r="S12" i="71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O30" i="64"/>
  <c r="O26" i="64"/>
  <c r="O22" i="64"/>
  <c r="O18" i="64"/>
  <c r="O14" i="64"/>
  <c r="N33" i="63"/>
  <c r="N29" i="63"/>
  <c r="N24" i="63"/>
  <c r="N20" i="63"/>
  <c r="N16" i="63"/>
  <c r="N12" i="63"/>
  <c r="O11" i="64"/>
  <c r="N25" i="63"/>
  <c r="K68" i="76"/>
  <c r="K63" i="76"/>
  <c r="K58" i="76"/>
  <c r="K54" i="76"/>
  <c r="K50" i="76"/>
  <c r="K46" i="76"/>
  <c r="K38" i="76"/>
  <c r="K31" i="76"/>
  <c r="K27" i="76"/>
  <c r="K23" i="76"/>
  <c r="K19" i="76"/>
  <c r="K15" i="76"/>
  <c r="K11" i="76"/>
  <c r="S29" i="71"/>
  <c r="S24" i="71"/>
  <c r="S20" i="71"/>
  <c r="S15" i="71"/>
  <c r="S11" i="71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O34" i="64"/>
  <c r="O29" i="64"/>
  <c r="O25" i="64"/>
  <c r="O21" i="64"/>
  <c r="O17" i="64"/>
  <c r="O13" i="64"/>
  <c r="N32" i="63"/>
  <c r="N27" i="63"/>
  <c r="N23" i="63"/>
  <c r="N19" i="63"/>
  <c r="N15" i="63"/>
  <c r="N11" i="63"/>
  <c r="O23" i="64"/>
  <c r="O15" i="64"/>
  <c r="N34" i="63"/>
  <c r="N17" i="63"/>
  <c r="K67" i="76"/>
  <c r="K61" i="76"/>
  <c r="K57" i="76"/>
  <c r="K53" i="76"/>
  <c r="K49" i="76"/>
  <c r="K45" i="76"/>
  <c r="K41" i="76"/>
  <c r="K37" i="76"/>
  <c r="K34" i="76"/>
  <c r="K30" i="76"/>
  <c r="K26" i="76"/>
  <c r="K22" i="76"/>
  <c r="K18" i="76"/>
  <c r="K14" i="76"/>
  <c r="S28" i="71"/>
  <c r="S23" i="71"/>
  <c r="S18" i="71"/>
  <c r="S14" i="71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O33" i="64"/>
  <c r="O28" i="64"/>
  <c r="O24" i="64"/>
  <c r="O20" i="64"/>
  <c r="O16" i="64"/>
  <c r="O12" i="64"/>
  <c r="N31" i="63"/>
  <c r="N26" i="63"/>
  <c r="N22" i="63"/>
  <c r="N18" i="63"/>
  <c r="N14" i="63"/>
  <c r="O27" i="64"/>
  <c r="O19" i="64"/>
  <c r="N30" i="63"/>
  <c r="N21" i="63"/>
  <c r="N13" i="63"/>
  <c r="K65" i="76"/>
  <c r="K60" i="76"/>
  <c r="K56" i="76"/>
  <c r="K52" i="76"/>
  <c r="K48" i="76"/>
  <c r="K43" i="76"/>
  <c r="K40" i="76"/>
  <c r="K36" i="76"/>
  <c r="K33" i="76"/>
  <c r="K29" i="76"/>
  <c r="K25" i="76"/>
  <c r="K21" i="76"/>
  <c r="K17" i="76"/>
  <c r="K13" i="76"/>
  <c r="S26" i="71"/>
  <c r="S22" i="71"/>
  <c r="S17" i="71"/>
  <c r="S13" i="71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O31" i="64"/>
  <c r="D33" i="88"/>
  <c r="D26" i="88"/>
  <c r="D18" i="88"/>
  <c r="L12" i="58"/>
  <c r="L24" i="58"/>
  <c r="L28" i="58"/>
  <c r="L17" i="58"/>
  <c r="U352" i="61"/>
  <c r="U336" i="61"/>
  <c r="U319" i="61"/>
  <c r="U304" i="61"/>
  <c r="U287" i="61"/>
  <c r="U277" i="61"/>
  <c r="U249" i="61"/>
  <c r="U232" i="61"/>
  <c r="U216" i="61"/>
  <c r="U200" i="61"/>
  <c r="U184" i="61"/>
  <c r="U168" i="61"/>
  <c r="U152" i="61"/>
  <c r="U136" i="61"/>
  <c r="U120" i="61"/>
  <c r="U104" i="61"/>
  <c r="U88" i="61"/>
  <c r="U72" i="61"/>
  <c r="U56" i="61"/>
  <c r="U40" i="61"/>
  <c r="U24" i="61"/>
  <c r="U355" i="61"/>
  <c r="U339" i="61"/>
  <c r="U323" i="61"/>
  <c r="U307" i="61"/>
  <c r="U290" i="61"/>
  <c r="U279" i="61"/>
  <c r="U253" i="61"/>
  <c r="U235" i="61"/>
  <c r="U219" i="61"/>
  <c r="U203" i="61"/>
  <c r="U187" i="61"/>
  <c r="U171" i="61"/>
  <c r="U155" i="61"/>
  <c r="U139" i="61"/>
  <c r="U123" i="61"/>
  <c r="U107" i="61"/>
  <c r="U91" i="61"/>
  <c r="U75" i="61"/>
  <c r="U59" i="61"/>
  <c r="U43" i="61"/>
  <c r="U27" i="61"/>
  <c r="U11" i="61"/>
  <c r="R47" i="59"/>
  <c r="R30" i="59"/>
  <c r="R13" i="59"/>
  <c r="U333" i="61"/>
  <c r="U301" i="61"/>
  <c r="U267" i="61"/>
  <c r="U229" i="61"/>
  <c r="U197" i="61"/>
  <c r="U165" i="61"/>
  <c r="U109" i="61"/>
  <c r="U346" i="61"/>
  <c r="U314" i="61"/>
  <c r="U276" i="61"/>
  <c r="U242" i="61"/>
  <c r="U210" i="61"/>
  <c r="U178" i="61"/>
  <c r="U146" i="61"/>
  <c r="U114" i="61"/>
  <c r="U82" i="61"/>
  <c r="U50" i="61"/>
  <c r="U18" i="61"/>
  <c r="R48" i="59"/>
  <c r="R24" i="59"/>
  <c r="U353" i="61"/>
  <c r="U320" i="61"/>
  <c r="U288" i="61"/>
  <c r="U250" i="61"/>
  <c r="U217" i="61"/>
  <c r="U185" i="61"/>
  <c r="U153" i="61"/>
  <c r="U121" i="61"/>
  <c r="U89" i="61"/>
  <c r="U57" i="61"/>
  <c r="U25" i="61"/>
  <c r="R46" i="59"/>
  <c r="R23" i="59"/>
  <c r="U350" i="61"/>
  <c r="U317" i="61"/>
  <c r="U285" i="61"/>
  <c r="U247" i="61"/>
  <c r="U214" i="61"/>
  <c r="U182" i="61"/>
  <c r="U150" i="61"/>
  <c r="U118" i="61"/>
  <c r="U86" i="61"/>
  <c r="U54" i="61"/>
  <c r="U22" i="61"/>
  <c r="R45" i="59"/>
  <c r="R22" i="59"/>
  <c r="U125" i="61"/>
  <c r="U77" i="61"/>
  <c r="U37" i="61"/>
  <c r="R55" i="59"/>
  <c r="R20" i="59"/>
  <c r="L21" i="58"/>
  <c r="D42" i="88"/>
  <c r="L16" i="58"/>
  <c r="D11" i="88"/>
  <c r="L15" i="58"/>
  <c r="D24" i="88"/>
  <c r="D17" i="88"/>
  <c r="D15" i="88"/>
  <c r="D38" i="88"/>
  <c r="U348" i="61"/>
  <c r="U332" i="61"/>
  <c r="U315" i="61"/>
  <c r="U300" i="61"/>
  <c r="U282" i="61"/>
  <c r="U263" i="61"/>
  <c r="U245" i="61"/>
  <c r="U228" i="61"/>
  <c r="U212" i="61"/>
  <c r="U196" i="61"/>
  <c r="U180" i="61"/>
  <c r="U164" i="61"/>
  <c r="U148" i="61"/>
  <c r="U132" i="61"/>
  <c r="U116" i="61"/>
  <c r="U100" i="61"/>
  <c r="U84" i="61"/>
  <c r="U68" i="61"/>
  <c r="U52" i="61"/>
  <c r="U36" i="61"/>
  <c r="U20" i="61"/>
  <c r="U351" i="61"/>
  <c r="U335" i="61"/>
  <c r="U318" i="61"/>
  <c r="U303" i="61"/>
  <c r="U298" i="61"/>
  <c r="U269" i="61"/>
  <c r="U248" i="61"/>
  <c r="U231" i="61"/>
  <c r="U215" i="61"/>
  <c r="U199" i="61"/>
  <c r="U183" i="61"/>
  <c r="U167" i="61"/>
  <c r="U151" i="61"/>
  <c r="U135" i="61"/>
  <c r="U119" i="61"/>
  <c r="U103" i="61"/>
  <c r="U87" i="61"/>
  <c r="U71" i="61"/>
  <c r="U55" i="61"/>
  <c r="U39" i="61"/>
  <c r="U23" i="61"/>
  <c r="R60" i="59"/>
  <c r="R43" i="59"/>
  <c r="R25" i="59"/>
  <c r="U264" i="61"/>
  <c r="U325" i="61"/>
  <c r="U292" i="61"/>
  <c r="U255" i="61"/>
  <c r="U221" i="61"/>
  <c r="U189" i="61"/>
  <c r="U85" i="61"/>
  <c r="U338" i="61"/>
  <c r="U306" i="61"/>
  <c r="U278" i="61"/>
  <c r="U234" i="61"/>
  <c r="U202" i="61"/>
  <c r="U170" i="61"/>
  <c r="U138" i="61"/>
  <c r="U106" i="61"/>
  <c r="U74" i="61"/>
  <c r="U42" i="61"/>
  <c r="U12" i="61"/>
  <c r="R42" i="59"/>
  <c r="R19" i="59"/>
  <c r="U345" i="61"/>
  <c r="U313" i="61"/>
  <c r="U280" i="61"/>
  <c r="U241" i="61"/>
  <c r="U209" i="61"/>
  <c r="U177" i="61"/>
  <c r="U145" i="61"/>
  <c r="U113" i="61"/>
  <c r="U81" i="61"/>
  <c r="U49" i="61"/>
  <c r="U17" i="61"/>
  <c r="R41" i="59"/>
  <c r="R18" i="59"/>
  <c r="U342" i="61"/>
  <c r="U310" i="61"/>
  <c r="U273" i="61"/>
  <c r="U238" i="61"/>
  <c r="U206" i="61"/>
  <c r="U174" i="61"/>
  <c r="U142" i="61"/>
  <c r="U110" i="61"/>
  <c r="U78" i="61"/>
  <c r="U46" i="61"/>
  <c r="U14" i="61"/>
  <c r="R40" i="59"/>
  <c r="R16" i="59"/>
  <c r="U117" i="61"/>
  <c r="U69" i="61"/>
  <c r="U29" i="61"/>
  <c r="R49" i="59"/>
  <c r="R38" i="59"/>
  <c r="D12" i="88"/>
  <c r="L22" i="58"/>
  <c r="D23" i="88"/>
  <c r="L31" i="58"/>
  <c r="L14" i="58"/>
  <c r="L18" i="58"/>
  <c r="L30" i="58"/>
  <c r="U266" i="61"/>
  <c r="U344" i="61"/>
  <c r="U328" i="61"/>
  <c r="U312" i="61"/>
  <c r="U295" i="61"/>
  <c r="U275" i="61"/>
  <c r="U258" i="61"/>
  <c r="U240" i="61"/>
  <c r="U224" i="61"/>
  <c r="U208" i="61"/>
  <c r="U192" i="61"/>
  <c r="U176" i="61"/>
  <c r="U159" i="61"/>
  <c r="U144" i="61"/>
  <c r="U128" i="61"/>
  <c r="U112" i="61"/>
  <c r="U96" i="61"/>
  <c r="U80" i="61"/>
  <c r="U64" i="61"/>
  <c r="U48" i="61"/>
  <c r="U32" i="61"/>
  <c r="U16" i="61"/>
  <c r="U347" i="61"/>
  <c r="U331" i="61"/>
  <c r="U329" i="61"/>
  <c r="U299" i="61"/>
  <c r="U281" i="61"/>
  <c r="U262" i="61"/>
  <c r="U243" i="61"/>
  <c r="U227" i="61"/>
  <c r="U211" i="61"/>
  <c r="U195" i="61"/>
  <c r="U179" i="61"/>
  <c r="U163" i="61"/>
  <c r="U147" i="61"/>
  <c r="U131" i="61"/>
  <c r="U115" i="61"/>
  <c r="U99" i="61"/>
  <c r="U83" i="61"/>
  <c r="U67" i="61"/>
  <c r="U51" i="61"/>
  <c r="U35" i="61"/>
  <c r="U19" i="61"/>
  <c r="R56" i="59"/>
  <c r="R39" i="59"/>
  <c r="R21" i="59"/>
  <c r="U349" i="61"/>
  <c r="U316" i="61"/>
  <c r="U283" i="61"/>
  <c r="U246" i="61"/>
  <c r="U213" i="61"/>
  <c r="U181" i="61"/>
  <c r="U149" i="61"/>
  <c r="U45" i="61"/>
  <c r="U330" i="61"/>
  <c r="U297" i="61"/>
  <c r="U260" i="61"/>
  <c r="U226" i="61"/>
  <c r="U194" i="61"/>
  <c r="U162" i="61"/>
  <c r="U130" i="61"/>
  <c r="U98" i="61"/>
  <c r="U66" i="61"/>
  <c r="U34" i="61"/>
  <c r="R59" i="59"/>
  <c r="R37" i="59"/>
  <c r="R14" i="59"/>
  <c r="U337" i="61"/>
  <c r="U305" i="61"/>
  <c r="U271" i="61"/>
  <c r="U233" i="61"/>
  <c r="U201" i="61"/>
  <c r="U169" i="61"/>
  <c r="U137" i="61"/>
  <c r="U105" i="61"/>
  <c r="U73" i="61"/>
  <c r="U41" i="61"/>
  <c r="R58" i="59"/>
  <c r="R35" i="59"/>
  <c r="R12" i="59"/>
  <c r="U334" i="61"/>
  <c r="U302" i="61"/>
  <c r="U268" i="61"/>
  <c r="U230" i="61"/>
  <c r="U198" i="61"/>
  <c r="U166" i="61"/>
  <c r="U134" i="61"/>
  <c r="U102" i="61"/>
  <c r="U70" i="61"/>
  <c r="U38" i="61"/>
  <c r="R57" i="59"/>
  <c r="R33" i="59"/>
  <c r="R11" i="59"/>
  <c r="U101" i="61"/>
  <c r="U61" i="61"/>
  <c r="U21" i="61"/>
  <c r="R27" i="59"/>
  <c r="R15" i="59"/>
  <c r="L11" i="58"/>
  <c r="L25" i="58"/>
  <c r="L10" i="58"/>
  <c r="L13" i="58"/>
  <c r="L20" i="58"/>
  <c r="L23" i="58"/>
  <c r="D31" i="88"/>
  <c r="U284" i="61"/>
  <c r="U340" i="61"/>
  <c r="U324" i="61"/>
  <c r="U308" i="61"/>
  <c r="U291" i="61"/>
  <c r="U272" i="61"/>
  <c r="U254" i="61"/>
  <c r="U236" i="61"/>
  <c r="U220" i="61"/>
  <c r="U204" i="61"/>
  <c r="U188" i="61"/>
  <c r="U172" i="61"/>
  <c r="U156" i="61"/>
  <c r="U140" i="61"/>
  <c r="U124" i="61"/>
  <c r="U108" i="61"/>
  <c r="U92" i="61"/>
  <c r="U76" i="61"/>
  <c r="U60" i="61"/>
  <c r="U44" i="61"/>
  <c r="U28" i="61"/>
  <c r="U311" i="61"/>
  <c r="U239" i="61"/>
  <c r="U175" i="61"/>
  <c r="U111" i="61"/>
  <c r="U47" i="61"/>
  <c r="R34" i="59"/>
  <c r="U270" i="61"/>
  <c r="U133" i="61"/>
  <c r="U251" i="61"/>
  <c r="U122" i="61"/>
  <c r="R53" i="59"/>
  <c r="U296" i="61"/>
  <c r="U161" i="61"/>
  <c r="U33" i="61"/>
  <c r="U326" i="61"/>
  <c r="U190" i="61"/>
  <c r="U62" i="61"/>
  <c r="U141" i="61"/>
  <c r="R44" i="59"/>
  <c r="D37" i="88"/>
  <c r="U356" i="61"/>
  <c r="U294" i="61"/>
  <c r="U223" i="61"/>
  <c r="U158" i="61"/>
  <c r="U95" i="61"/>
  <c r="U31" i="61"/>
  <c r="R17" i="59"/>
  <c r="U237" i="61"/>
  <c r="U354" i="61"/>
  <c r="U218" i="61"/>
  <c r="U90" i="61"/>
  <c r="R31" i="59"/>
  <c r="U259" i="61"/>
  <c r="U129" i="61"/>
  <c r="R52" i="59"/>
  <c r="U293" i="61"/>
  <c r="U157" i="61"/>
  <c r="U30" i="61"/>
  <c r="U93" i="61"/>
  <c r="R32" i="59"/>
  <c r="L26" i="58"/>
  <c r="U343" i="61"/>
  <c r="U274" i="61"/>
  <c r="U207" i="61"/>
  <c r="U143" i="61"/>
  <c r="U79" i="61"/>
  <c r="U15" i="61"/>
  <c r="U341" i="61"/>
  <c r="U205" i="61"/>
  <c r="U321" i="61"/>
  <c r="U186" i="61"/>
  <c r="U58" i="61"/>
  <c r="U265" i="61"/>
  <c r="U225" i="61"/>
  <c r="U97" i="61"/>
  <c r="R29" i="59"/>
  <c r="U256" i="61"/>
  <c r="U126" i="61"/>
  <c r="R50" i="59"/>
  <c r="U53" i="61"/>
  <c r="D13" i="88"/>
  <c r="L29" i="58"/>
  <c r="U327" i="61"/>
  <c r="U257" i="61"/>
  <c r="U191" i="61"/>
  <c r="U127" i="61"/>
  <c r="U63" i="61"/>
  <c r="R51" i="59"/>
  <c r="U309" i="61"/>
  <c r="U173" i="61"/>
  <c r="U289" i="61"/>
  <c r="U154" i="61"/>
  <c r="U26" i="61"/>
  <c r="U322" i="61"/>
  <c r="U193" i="61"/>
  <c r="U65" i="61"/>
  <c r="U286" i="61"/>
  <c r="U222" i="61"/>
  <c r="U94" i="61"/>
  <c r="R28" i="59"/>
  <c r="U13" i="61"/>
  <c r="L27" i="5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9">
    <s v="Migdal Hashkaot Neches Boded"/>
    <s v="{[Time].[Hie Time].[Yom].&amp;[20200630]}"/>
    <s v="{[Medida].[Medida].&amp;[2]}"/>
    <s v="{[Keren].[Keren].[All]}"/>
    <s v="{[Cheshbon KM].[Hie Peilut].[Chevra].&amp;[383]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3" si="28">
        <n x="1" s="1"/>
        <n x="26"/>
        <n x="27"/>
      </t>
    </mdx>
    <mdx n="0" f="v">
      <t c="3" si="28">
        <n x="1" s="1"/>
        <n x="29"/>
        <n x="27"/>
      </t>
    </mdx>
    <mdx n="0" f="v">
      <t c="3" si="28">
        <n x="1" s="1"/>
        <n x="30"/>
        <n x="27"/>
      </t>
    </mdx>
    <mdx n="0" f="v">
      <t c="3" si="28">
        <n x="1" s="1"/>
        <n x="31"/>
        <n x="27"/>
      </t>
    </mdx>
    <mdx n="0" f="v">
      <t c="3" si="28">
        <n x="1" s="1"/>
        <n x="32"/>
        <n x="27"/>
      </t>
    </mdx>
    <mdx n="0" f="v">
      <t c="3" si="28">
        <n x="1" s="1"/>
        <n x="33"/>
        <n x="27"/>
      </t>
    </mdx>
    <mdx n="0" f="v">
      <t c="3" si="28">
        <n x="1" s="1"/>
        <n x="34"/>
        <n x="27"/>
      </t>
    </mdx>
    <mdx n="0" f="v">
      <t c="3" si="28">
        <n x="1" s="1"/>
        <n x="35"/>
        <n x="27"/>
      </t>
    </mdx>
    <mdx n="0" f="v">
      <t c="3" si="28">
        <n x="1" s="1"/>
        <n x="36"/>
        <n x="27"/>
      </t>
    </mdx>
    <mdx n="0" f="v">
      <t c="3" si="28">
        <n x="1" s="1"/>
        <n x="37"/>
        <n x="27"/>
      </t>
    </mdx>
    <mdx n="0" f="v">
      <t c="3" si="28">
        <n x="1" s="1"/>
        <n x="38"/>
        <n x="27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<sst xmlns="http://schemas.openxmlformats.org/spreadsheetml/2006/main" count="6720" uniqueCount="1619">
  <si>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</si>
  <si>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</si>
  <si>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</si>
  <si>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</si>
  <si>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</si>
  <si>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</si>
  <si>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</si>
  <si>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</si>
  <si>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</si>
  <si>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</si>
  <si>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</si>
  <si>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</si>
  <si>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</si>
  <si>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</si>
  <si>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</si>
  <si>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</si>
  <si>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</si>
  <si>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</si>
  <si>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</si>
  <si>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</si>
  <si>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</si>
  <si>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</si>
  <si>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</si>
  <si>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</si>
  <si>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</si>
  <si>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</si>
  <si>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</si>
  <si>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</si>
  <si>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</si>
  <si>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</si>
  <si>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</si>
  <si>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</si>
  <si>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</si>
  <si>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</si>
  <si>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</si>
  <si>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</si>
  <si>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</si>
  <si>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</si>
  <si>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</si>
  <si>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</si>
  <si>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</si>
  <si>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</si>
  <si>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</si>
  <si>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</si>
  <si>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</si>
  <si>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</si>
  <si>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</si>
  <si>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</si>
  <si>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</si>
  <si>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</si>
  <si>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</si>
  <si>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</si>
  <si>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</si>
  <si>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</si>
  <si>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</si>
  <si>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</si>
  <si>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</si>
  <si>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</si>
  <si>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</si>
  <si>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</si>
  <si>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</si>
  <si>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</si>
  <si>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</si>
  <si>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</si>
  <si>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</si>
  <si>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</si>
  <si>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</si>
  <si>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</si>
  <si>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</si>
  <si>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</si>
  <si>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</si>
  <si>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</si>
  <si>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</si>
  <si>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</si>
  <si>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</si>
  <si>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</si>
  <si>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</si>
  <si>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</si>
  <si>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</si>
  <si>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</si>
  <si>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</si>
  <si>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</si>
  <si>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</si>
  <si>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</si>
  <si>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</si>
  <si>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</si>
  <si>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</si>
  <si>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</si>
  <si>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</si>
  <si>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</si>
  <si>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</si>
  <si>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</si>
  <si>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</si>
  <si>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</si>
  <si>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</si>
  <si>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</si>
  <si>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</si>
  <si>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</si>
  <si>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</si>
  <si>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</si>
  <si>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</si>
  <si>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</si>
  <si>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</si>
  <si>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</si>
  <si>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</si>
  <si>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</si>
  <si>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</si>
  <si>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</si>
  <si>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</si>
  <si>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</si>
  <si>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</si>
  <si>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</si>
  <si>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</si>
  <si>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</si>
  <si>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</si>
  <si>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</si>
  <si>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</si>
  <si>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</si>
  <si>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</si>
  <si>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</si>
  <si>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</si>
  <si>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</si>
  <si>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</si>
  <si>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</si>
  <si>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</si>
  <si>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</si>
  <si>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</si>
  <si>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</si>
  <si>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</si>
  <si>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</si>
  <si>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</si>
  <si>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</si>
  <si>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</si>
  <si>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</si>
  <si>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</si>
  <si>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</si>
  <si>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</si>
  <si>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</si>
  <si>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</si>
  <si>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</si>
  <si>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</si>
  <si>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</si>
  <si>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</si>
  <si>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</si>
  <si>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</si>
  <si>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</si>
  <si>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</si>
  <si>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</si>
  <si>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</si>
  <si>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</si>
  <si>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</si>
  <si>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</si>
  <si>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</si>
  <si>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</si>
  <si>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</si>
  <si>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</si>
  <si>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</si>
  <si>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</si>
  <si>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</si>
  <si>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</si>
  <si>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</si>
  <si>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</si>
  <si>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</si>
  <si>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</si>
  <si>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</si>
  <si>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</si>
  <si>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</si>
  <si>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</si>
  <si>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</si>
  <si>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</si>
  <si>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</si>
  <si>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</si>
  <si>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</si>
  <si>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</si>
  <si>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</si>
  <si>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</si>
  <si>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</si>
  <si>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</si>
  <si>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</si>
  <si>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</si>
  <si>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</si>
  <si>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</si>
  <si>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</si>
  <si>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</si>
  <si>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</si>
  <si>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</si>
  <si>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</si>
  <si>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</si>
  <si>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</si>
  <si>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</si>
  <si>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</si>
  <si>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</si>
  <si>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</si>
  <si>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</si>
  <si>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</si>
  <si>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</si>
  <si>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</si>
  <si>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</si>
  <si>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</si>
  <si>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</si>
  <si>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</si>
  <si>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</si>
  <si>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</si>
  <si>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</si>
  <si>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</si>
  <si>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</si>
  <si>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</si>
  <si>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</si>
  <si>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</si>
  <si>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</si>
  <si>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</si>
  <si>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</si>
  <si>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</si>
  <si>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</si>
  <si>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</si>
  <si>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</si>
  <si>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</si>
  <si>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</si>
  <si>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</si>
  <si>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</si>
  <si>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</si>
  <si>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</si>
  <si>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</si>
  <si>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</si>
  <si>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</si>
  <si>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</si>
  <si>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</si>
  <si>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</si>
  <si>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</si>
  <si>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</si>
  <si>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</si>
  <si>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</si>
  <si>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</si>
  <si>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</si>
  <si>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</si>
  <si>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</si>
  <si>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</si>
  <si>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</si>
  <si>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</si>
  <si>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</si>
  <si>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</si>
  <si>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</si>
  <si>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</si>
  <si>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</si>
  <si>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</si>
  <si>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</si>
  <si>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</si>
  <si>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</si>
  <si>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30/06/2020</t>
  </si>
  <si>
    <t>מגדל מקפת קרנות פנסיה וקופות גמל בע"מ</t>
  </si>
  <si>
    <t>מגדל מקפת אישית (מספר אוצר 162)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</si>
  <si>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</si>
  <si>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</si>
  <si>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</si>
  <si>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</si>
  <si>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</si>
  <si>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</si>
  <si>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</si>
  <si>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</si>
  <si>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</si>
  <si>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</si>
  <si>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</si>
  <si>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</si>
  <si>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</si>
  <si>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</si>
  <si>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</si>
  <si>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</si>
  <si>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</si>
  <si>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</si>
  <si>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</si>
  <si>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</si>
  <si>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</si>
  <si>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</si>
  <si>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</si>
  <si>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</si>
  <si>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</si>
  <si>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</si>
  <si>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</si>
  <si>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</si>
  <si>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</si>
  <si>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</si>
  <si>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</si>
  <si>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</si>
  <si>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</si>
  <si>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</si>
  <si>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</si>
  <si>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</si>
  <si>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</si>
  <si>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</si>
  <si>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</si>
  <si>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</si>
  <si>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</si>
  <si>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</si>
  <si>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</si>
  <si>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</si>
  <si>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</si>
  <si>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</si>
  <si>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</si>
  <si>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</si>
  <si>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</si>
  <si>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</si>
  <si>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</si>
  <si>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</si>
  <si>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</si>
  <si>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</si>
  <si>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</si>
  <si>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</si>
  <si>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</si>
  <si>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</si>
  <si>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</si>
  <si>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</si>
  <si>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</si>
  <si>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</si>
  <si>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</si>
  <si>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</si>
  <si>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</si>
  <si>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</si>
  <si>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</si>
  <si>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</si>
  <si>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</si>
  <si>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</si>
  <si>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</si>
  <si>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</si>
  <si>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</si>
  <si>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</si>
  <si>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</si>
  <si>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</si>
  <si>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</si>
  <si>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</si>
  <si>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</si>
  <si>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</si>
  <si>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</si>
  <si>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</si>
  <si>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</si>
  <si>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</si>
  <si>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</si>
  <si>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</si>
  <si>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</si>
  <si>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</si>
  <si>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</si>
  <si>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</si>
  <si>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</si>
  <si>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</si>
  <si>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</si>
  <si>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</si>
  <si>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</si>
  <si>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</si>
  <si>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</si>
  <si>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</si>
  <si>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</si>
  <si>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</si>
  <si>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</si>
  <si>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</si>
  <si>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</si>
  <si>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</si>
  <si>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</si>
  <si>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</si>
  <si>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</si>
  <si>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</si>
  <si>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</si>
  <si>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</si>
  <si>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</si>
  <si>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</si>
  <si>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</si>
  <si>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</si>
  <si>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</si>
  <si>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</si>
  <si>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</si>
  <si>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</si>
  <si>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</si>
  <si>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</si>
  <si>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</si>
  <si>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</si>
  <si>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</si>
  <si>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</si>
  <si>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</si>
  <si>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</si>
  <si>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</si>
  <si>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</si>
  <si>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</si>
  <si>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</si>
  <si>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</si>
  <si>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</si>
  <si>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</si>
  <si>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</si>
  <si>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</si>
  <si>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</si>
  <si>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</si>
  <si>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</si>
  <si>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</si>
  <si>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</si>
  <si>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</si>
  <si>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</si>
  <si>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</si>
  <si>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</si>
  <si>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</si>
  <si>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</si>
  <si>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</si>
  <si>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</si>
  <si>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</si>
  <si>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</si>
  <si>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</si>
  <si>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</si>
  <si>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</si>
  <si>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</si>
  <si>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</si>
  <si>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</si>
  <si>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</si>
  <si>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</si>
  <si>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</si>
  <si>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</si>
  <si>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</si>
  <si>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</si>
  <si>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</si>
  <si>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</si>
  <si>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</si>
  <si>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</si>
  <si>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</si>
  <si>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</si>
  <si>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</si>
  <si>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</si>
  <si>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</si>
  <si>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</si>
  <si>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</si>
  <si>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</si>
  <si>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</si>
  <si>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</si>
  <si>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</si>
  <si>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</si>
  <si>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</si>
  <si>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</si>
  <si>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</si>
  <si>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</si>
  <si>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</si>
  <si>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</si>
  <si>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</si>
  <si>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</si>
  <si>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</si>
  <si>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</si>
  <si>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</si>
  <si>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</si>
  <si>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</si>
  <si>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</si>
  <si>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</si>
  <si>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</si>
  <si>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</si>
  <si>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</si>
  <si>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</si>
  <si>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</si>
  <si>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</si>
  <si>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</si>
  <si>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</si>
  <si>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</si>
  <si>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</si>
  <si>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</si>
  <si>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</si>
  <si>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</si>
  <si>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</si>
  <si>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</si>
  <si>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</si>
  <si>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</si>
  <si>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</si>
  <si>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</si>
  <si>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</si>
  <si>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</si>
  <si>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</si>
  <si>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</si>
  <si>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</si>
  <si>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</si>
  <si>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</si>
  <si>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</si>
  <si>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</si>
  <si>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</si>
  <si>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</si>
  <si>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</si>
  <si>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</si>
  <si>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</si>
  <si>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</si>
  <si>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</si>
  <si>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</si>
  <si>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</si>
  <si>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</si>
  <si>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</si>
  <si>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</si>
  <si>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</si>
  <si>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</si>
  <si>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</si>
  <si>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</si>
  <si>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</si>
  <si>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</si>
  <si>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</si>
  <si>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</si>
  <si>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</si>
  <si>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</si>
  <si>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</si>
  <si>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</si>
  <si>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</si>
  <si>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</si>
  <si>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</si>
  <si>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</si>
  <si>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</si>
  <si>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</si>
  <si>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</si>
  <si>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</si>
  <si>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</si>
  <si>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</si>
  <si>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</si>
  <si>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</si>
  <si>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</si>
  <si>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</si>
  <si>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</si>
  <si>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</si>
  <si>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</si>
  <si>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</si>
  <si>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</si>
  <si>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</si>
  <si>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</si>
  <si>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</si>
  <si>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</si>
  <si>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</si>
  <si>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</si>
  <si>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</si>
  <si>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</si>
  <si>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</si>
  <si>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</si>
  <si>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</si>
  <si>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</si>
  <si>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</si>
  <si>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</si>
  <si>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</si>
  <si>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</si>
  <si>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</si>
  <si>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</si>
  <si>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</si>
  <si>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</si>
  <si>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</si>
  <si>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</si>
  <si>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</si>
  <si>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</si>
  <si>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</si>
  <si>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</si>
  <si>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</si>
  <si>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</si>
  <si>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</si>
  <si>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</si>
  <si>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</si>
  <si>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</si>
  <si>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</si>
  <si>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</si>
  <si>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</si>
  <si>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</si>
  <si>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</si>
  <si>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</si>
  <si>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</si>
  <si>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</si>
  <si>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</si>
  <si>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</si>
  <si>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</si>
  <si>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</si>
  <si>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</si>
  <si>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</si>
  <si>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</si>
  <si>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</si>
  <si>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</si>
  <si>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</si>
  <si>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</si>
  <si>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</si>
  <si>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</si>
  <si>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</si>
  <si>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</si>
  <si>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</si>
  <si>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</si>
  <si>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</si>
  <si>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</si>
  <si>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</si>
  <si>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</si>
  <si>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</si>
  <si>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</si>
  <si>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</si>
  <si>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</si>
  <si>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</si>
  <si>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</si>
  <si>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</si>
  <si>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</si>
  <si>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</si>
  <si>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</si>
  <si>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</si>
  <si>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</si>
  <si>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</si>
  <si>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</si>
  <si>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</si>
  <si>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</si>
  <si>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</si>
  <si>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</si>
  <si>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</si>
  <si>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</si>
  <si>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</si>
  <si>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</si>
  <si>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</si>
  <si>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</si>
  <si>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</si>
  <si>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</si>
  <si>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</si>
  <si>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</si>
  <si>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</si>
  <si>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</si>
  <si>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</si>
  <si>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</si>
  <si>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</si>
  <si>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</si>
  <si>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</si>
  <si>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</si>
  <si>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</si>
  <si>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</si>
  <si>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</si>
  <si>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</si>
  <si>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</si>
  <si>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</si>
  <si>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</si>
  <si>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</si>
  <si>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</si>
  <si>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</si>
  <si>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</si>
  <si>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</si>
  <si>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</si>
  <si>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</si>
  <si>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</si>
  <si>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</si>
  <si>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</si>
  <si>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</si>
  <si>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</si>
  <si>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</si>
  <si>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</si>
  <si>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</si>
  <si>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</si>
  <si>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</si>
  <si>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</si>
  <si>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</si>
  <si>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</si>
  <si>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</si>
  <si>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</si>
  <si>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</si>
  <si>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</si>
  <si>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</si>
  <si>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</si>
  <si>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</si>
  <si>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</si>
  <si>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</si>
  <si>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</si>
  <si>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</si>
  <si>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</si>
  <si>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</si>
  <si>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</si>
  <si>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</si>
  <si>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</si>
  <si>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</si>
  <si>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</si>
  <si>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</si>
  <si>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</si>
  <si>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</si>
  <si>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</si>
  <si>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</si>
  <si>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</si>
  <si>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</si>
  <si>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</si>
  <si>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</si>
  <si>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</si>
  <si>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</si>
  <si>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</si>
  <si>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</si>
  <si>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</si>
  <si>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</si>
  <si>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</si>
  <si>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</si>
  <si>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</si>
  <si>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</si>
  <si>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</si>
  <si>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</si>
  <si>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</si>
  <si>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</si>
  <si>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</si>
  <si>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</si>
  <si>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</si>
  <si>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</si>
  <si>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</si>
  <si>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</si>
  <si>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</si>
  <si>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</si>
  <si>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</si>
  <si>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</si>
  <si>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</si>
  <si>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</si>
  <si>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</si>
  <si>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</si>
  <si>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</si>
  <si>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</si>
  <si>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</si>
  <si>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</si>
  <si>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</si>
  <si>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</si>
  <si>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</si>
  <si>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</si>
  <si>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</si>
  <si>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</si>
  <si>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</si>
  <si>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</si>
  <si>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</si>
  <si>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</si>
  <si>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</si>
  <si>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</si>
  <si>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</si>
  <si>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</si>
  <si>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</si>
  <si>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</si>
  <si>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</si>
  <si>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</si>
  <si>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</si>
  <si>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</si>
  <si>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</si>
  <si>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</si>
  <si>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</si>
  <si>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</si>
  <si>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</si>
  <si>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</si>
  <si>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</si>
  <si>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</si>
  <si>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</si>
  <si>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</si>
  <si>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</si>
  <si>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</si>
  <si>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</si>
  <si>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</si>
  <si>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</si>
  <si>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</si>
  <si>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</si>
  <si>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</si>
  <si>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</si>
  <si>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</si>
  <si>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</si>
  <si>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</si>
  <si>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</si>
  <si>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</si>
  <si>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</si>
  <si>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</si>
  <si>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</si>
  <si>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</si>
  <si>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</si>
  <si>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</si>
  <si>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</si>
  <si>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</si>
  <si>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</si>
  <si>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</si>
  <si>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</si>
  <si>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</si>
  <si>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</si>
  <si>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</si>
  <si>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</si>
  <si>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</si>
  <si>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</si>
  <si>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</si>
  <si>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</si>
  <si>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</si>
  <si>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</si>
  <si>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</si>
  <si>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</si>
  <si>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</si>
  <si>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</si>
  <si>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</si>
  <si>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</si>
  <si>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</si>
  <si>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</si>
  <si>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</si>
  <si>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</si>
  <si>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</si>
  <si>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</si>
  <si>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</si>
  <si>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</si>
  <si>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</si>
  <si>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</si>
  <si>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</si>
  <si>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</si>
  <si>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</si>
  <si>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</si>
  <si>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</si>
  <si>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</si>
  <si>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</si>
  <si>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</si>
  <si>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</si>
  <si>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</si>
  <si>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</si>
  <si>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</si>
  <si>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</si>
  <si>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</si>
  <si>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</si>
  <si>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</si>
  <si>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</si>
  <si>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</si>
  <si>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</si>
  <si>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</si>
  <si>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</si>
  <si>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</si>
  <si>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</si>
  <si>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</si>
  <si>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</si>
  <si>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</si>
  <si>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</si>
  <si>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</si>
  <si>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</si>
  <si>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</si>
  <si>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</si>
  <si>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</si>
  <si>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</si>
  <si>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</si>
  <si>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</si>
  <si>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</si>
  <si>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</si>
  <si>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</si>
  <si>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</si>
  <si>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</si>
  <si>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</si>
  <si>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</si>
  <si>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</si>
  <si>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</si>
  <si>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</si>
  <si>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</si>
  <si>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</si>
  <si>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</si>
  <si>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</si>
  <si>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</si>
  <si>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</si>
  <si>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</si>
  <si>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</si>
  <si>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</si>
  <si>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</si>
  <si>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</si>
  <si>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</si>
  <si>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</si>
  <si>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</si>
  <si>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</si>
  <si>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</si>
  <si>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</si>
  <si>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</si>
  <si>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</si>
  <si>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</si>
  <si>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</si>
  <si>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</si>
  <si>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</si>
  <si>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</si>
  <si>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</si>
  <si>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</si>
  <si>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</si>
  <si>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</si>
  <si>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</si>
  <si>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</si>
  <si>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</si>
  <si>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</si>
  <si>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</si>
  <si>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</si>
  <si>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</si>
  <si>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</si>
  <si>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</si>
  <si>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</si>
  <si>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</si>
  <si>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</si>
  <si>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</si>
  <si>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</si>
  <si>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</si>
  <si>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</si>
  <si>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</si>
  <si>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</si>
  <si>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</si>
  <si>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</si>
  <si>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</si>
  <si>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</si>
  <si>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</si>
  <si>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</si>
  <si>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</si>
  <si>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</si>
  <si>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</si>
  <si>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</si>
  <si>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</si>
  <si>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</si>
  <si>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</si>
  <si>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</si>
  <si>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</si>
  <si>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</si>
  <si>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</si>
  <si>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</si>
  <si>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</si>
  <si>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</si>
  <si>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</si>
  <si>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</si>
  <si>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</si>
  <si>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</si>
  <si>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</si>
  <si>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</si>
  <si>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</si>
  <si>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</si>
  <si>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</si>
  <si>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</si>
  <si>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</si>
  <si>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</si>
  <si>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</si>
  <si>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</si>
  <si>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</si>
  <si>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</si>
  <si>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</si>
  <si>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</si>
  <si>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</si>
  <si>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</si>
  <si>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</si>
  <si>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</si>
  <si>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</si>
  <si>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</si>
  <si>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</si>
  <si>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</si>
  <si>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</si>
  <si>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</si>
  <si>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</si>
  <si>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</si>
  <si>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</si>
  <si>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</si>
  <si>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</si>
  <si>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</si>
  <si>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</si>
  <si>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</si>
  <si>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</si>
  <si>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</si>
  <si>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</si>
  <si>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</si>
  <si>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</si>
  <si>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</si>
  <si>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</si>
  <si>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</si>
  <si>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</si>
  <si>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</si>
  <si>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</si>
  <si>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</si>
  <si>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</si>
  <si>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</si>
  <si>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</si>
  <si>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</si>
  <si>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</si>
  <si>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</si>
  <si>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</si>
  <si>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</si>
  <si>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</si>
  <si>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</si>
  <si>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</si>
  <si>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</si>
  <si>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</si>
  <si>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</si>
  <si>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</si>
  <si>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</si>
  <si>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</si>
  <si>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</si>
  <si>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</si>
  <si>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</si>
  <si>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</si>
  <si>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</si>
  <si>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</si>
  <si>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</si>
  <si>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</si>
  <si>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</si>
  <si>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</si>
  <si>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</si>
  <si>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</si>
  <si>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</si>
  <si>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</si>
  <si>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</si>
  <si>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</si>
  <si>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</si>
  <si>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</si>
  <si>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</si>
  <si>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</si>
  <si>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</si>
  <si>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</si>
  <si>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</si>
  <si>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</si>
  <si>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</si>
  <si>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</si>
  <si>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</si>
  <si>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</si>
  <si>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</si>
  <si>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</si>
  <si>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</si>
  <si>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</si>
  <si>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</si>
  <si>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</si>
  <si>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</si>
  <si>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</si>
  <si>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</si>
  <si>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</si>
  <si>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</si>
  <si>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</si>
  <si>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</si>
  <si>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</si>
  <si>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</si>
  <si>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</si>
  <si>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</si>
  <si>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</si>
  <si>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</si>
  <si>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</si>
  <si>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</si>
  <si>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</si>
  <si>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</si>
  <si>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</si>
  <si>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</si>
  <si>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</si>
  <si>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</si>
  <si>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</si>
  <si>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</si>
  <si>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</si>
  <si>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</si>
  <si>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</si>
  <si>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</si>
  <si>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</si>
  <si>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</si>
  <si>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</si>
  <si>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</si>
  <si>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</si>
  <si>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</si>
  <si>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</si>
  <si>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</si>
  <si>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</si>
  <si>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</si>
  <si>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</si>
  <si>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</si>
  <si>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</si>
  <si>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</si>
  <si>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</si>
  <si>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</si>
  <si>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</si>
  <si>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</si>
  <si>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</si>
  <si>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</si>
  <si>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</si>
  <si>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</si>
  <si>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</si>
  <si>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</si>
  <si>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</si>
  <si>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</si>
  <si>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</si>
  <si>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</si>
  <si>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</si>
  <si>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</si>
  <si>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</si>
  <si>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</si>
  <si>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</si>
  <si>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</si>
  <si>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</si>
  <si>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</si>
  <si>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</si>
  <si>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</si>
  <si>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</si>
  <si>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</si>
  <si>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</si>
  <si>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</si>
  <si>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</si>
  <si>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</si>
  <si>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</si>
  <si>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</si>
  <si>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</si>
  <si>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</si>
  <si>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</si>
  <si>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</si>
  <si>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</si>
  <si>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</si>
  <si>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</si>
  <si>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</si>
  <si>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</si>
  <si>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</si>
  <si>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</si>
  <si>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</si>
  <si>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</si>
  <si>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</si>
  <si>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</si>
  <si>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</si>
  <si>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</si>
  <si>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</si>
  <si>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</si>
  <si>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</si>
  <si>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</si>
  <si>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</si>
  <si>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</si>
  <si>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</si>
  <si>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</si>
  <si>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</si>
  <si>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</si>
  <si>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</si>
  <si>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</si>
  <si>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</si>
  <si>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</si>
  <si>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</si>
  <si>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</si>
  <si>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</si>
  <si>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</si>
  <si>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</si>
  <si>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</si>
  <si>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</si>
  <si>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</si>
  <si>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</si>
  <si>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</si>
  <si>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</si>
  <si>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</si>
  <si>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</si>
  <si>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</si>
  <si>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</si>
  <si>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</si>
  <si>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</si>
  <si>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</si>
  <si>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</si>
  <si>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</si>
  <si>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</si>
  <si>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</si>
  <si>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</si>
  <si>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</si>
  <si>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</si>
  <si>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</si>
  <si>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</si>
  <si>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</si>
  <si>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</si>
  <si>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</si>
  <si>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</si>
  <si>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</si>
  <si>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</si>
  <si>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</si>
  <si>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</si>
  <si>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</si>
  <si>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</si>
  <si>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</si>
  <si>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</si>
  <si>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</si>
  <si>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</si>
  <si>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</si>
  <si>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</si>
  <si>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</si>
  <si>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</si>
  <si>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</si>
  <si>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</si>
  <si>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</si>
  <si>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</si>
  <si>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</si>
  <si>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</si>
  <si>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</si>
  <si>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</si>
  <si>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</si>
  <si>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</si>
  <si>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</si>
  <si>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</si>
  <si>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</si>
  <si>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הראל סל תלבונד 40</t>
  </si>
  <si>
    <t>1150499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</si>
  <si>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</si>
  <si>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</si>
  <si>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</si>
  <si>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</si>
  <si>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</si>
  <si>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</si>
  <si>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</si>
  <si>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</si>
  <si>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</si>
  <si>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</si>
  <si>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</si>
  <si>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</si>
  <si>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</si>
  <si>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</si>
  <si>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</si>
  <si>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510938608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</si>
  <si>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</si>
  <si>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</si>
  <si>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</si>
  <si>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</si>
  <si>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</si>
  <si>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</si>
  <si>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</si>
  <si>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</si>
  <si>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513534974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</si>
  <si>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</si>
  <si>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</si>
  <si>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</si>
  <si>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</si>
  <si>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</si>
  <si>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</si>
  <si>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</si>
  <si>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</si>
  <si>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</si>
  <si>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</si>
  <si>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</si>
  <si>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</si>
  <si>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</si>
  <si>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</si>
  <si>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</si>
  <si>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</si>
  <si>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</si>
  <si>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</si>
  <si>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</si>
  <si>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</si>
  <si>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</si>
  <si>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</si>
  <si>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</si>
  <si>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</si>
  <si>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</si>
  <si>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</si>
  <si>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</si>
  <si>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</si>
  <si>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</si>
  <si>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</si>
  <si>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</si>
  <si>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</si>
  <si>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</si>
  <si>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</si>
  <si>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</si>
  <si>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</si>
  <si>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</si>
  <si>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</si>
  <si>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</si>
  <si>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</si>
  <si>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</si>
  <si>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</si>
  <si>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</si>
  <si>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</si>
  <si>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</si>
  <si>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</si>
  <si>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</si>
  <si>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</si>
  <si>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</si>
  <si>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</si>
  <si>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</si>
  <si>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</si>
  <si>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</si>
  <si>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</si>
  <si>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</si>
  <si>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</si>
  <si>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</si>
  <si>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</si>
  <si>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</si>
  <si>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</si>
  <si>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</si>
  <si>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</si>
  <si>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</si>
  <si>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</si>
  <si>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</si>
  <si>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</si>
  <si>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</si>
  <si>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</si>
  <si>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</si>
  <si>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</si>
  <si>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</si>
  <si>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</si>
  <si>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</si>
  <si>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</si>
  <si>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</si>
  <si>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</si>
  <si>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</si>
  <si>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</si>
  <si>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</si>
  <si>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</si>
  <si>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</si>
  <si>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</si>
  <si>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</si>
  <si>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</si>
  <si>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</si>
  <si>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</si>
  <si>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</si>
  <si>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</si>
  <si>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</si>
  <si>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</si>
  <si>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</si>
  <si>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</si>
  <si>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</si>
  <si>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</si>
  <si>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</si>
  <si>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</si>
  <si>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</si>
  <si>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</si>
  <si>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</si>
  <si>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</si>
  <si>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</si>
  <si>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</si>
  <si>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</si>
  <si>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</si>
  <si>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</si>
  <si>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</si>
  <si>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</si>
  <si>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</si>
  <si>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</si>
  <si>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</si>
  <si>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</si>
  <si>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</si>
  <si>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</si>
  <si>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</si>
  <si>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</si>
  <si>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</si>
  <si>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</si>
  <si>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</si>
  <si>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</si>
  <si>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</si>
  <si>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</si>
  <si>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</si>
  <si>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</si>
  <si>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</si>
  <si>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</si>
  <si>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</si>
  <si>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</si>
  <si>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</si>
  <si>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</si>
  <si>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</si>
  <si>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</si>
  <si>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</si>
  <si>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</si>
  <si>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</si>
  <si>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</si>
  <si>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</si>
  <si>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</si>
  <si>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</si>
  <si>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</si>
  <si>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</si>
  <si>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</si>
  <si>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</si>
  <si>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</si>
  <si>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</si>
  <si>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</si>
  <si>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</si>
  <si>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</si>
  <si>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</si>
  <si>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</si>
  <si>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</si>
  <si>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</si>
  <si>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</si>
  <si>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</si>
  <si>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</si>
  <si>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</si>
  <si>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</si>
  <si>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</si>
  <si>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</si>
  <si>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</si>
  <si>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</si>
  <si>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</si>
  <si>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</si>
  <si>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</si>
  <si>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</si>
  <si>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</si>
  <si>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</si>
  <si>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8860</t>
  </si>
  <si>
    <t>88600000</t>
  </si>
  <si>
    <t>ערד 8863</t>
  </si>
  <si>
    <t>88630000</t>
  </si>
  <si>
    <t>ערד 8865</t>
  </si>
  <si>
    <t>88650000</t>
  </si>
  <si>
    <t>ערד 8866</t>
  </si>
  <si>
    <t>88660000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</si>
  <si>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</si>
  <si>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</si>
  <si>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</si>
  <si>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</si>
  <si>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</si>
  <si>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</si>
  <si>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</si>
  <si>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</si>
  <si>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</si>
  <si>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</si>
  <si>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</si>
  <si>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</si>
  <si>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8880</t>
  </si>
  <si>
    <t>88800000</t>
  </si>
  <si>
    <t>ערד 8881</t>
  </si>
  <si>
    <t>88810000</t>
  </si>
  <si>
    <t>ערד 8883</t>
  </si>
  <si>
    <t>88830000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</si>
  <si>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</si>
  <si>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</si>
  <si>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</si>
  <si>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</si>
  <si>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</si>
  <si>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</si>
  <si>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</si>
  <si>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</si>
  <si>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</si>
  <si>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</si>
  <si>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</si>
  <si>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</si>
  <si>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</si>
  <si>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</si>
  <si>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</si>
  <si>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</si>
  <si>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</si>
  <si>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</si>
  <si>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</si>
  <si>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</si>
  <si>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</si>
  <si>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</si>
  <si>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</si>
  <si>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</si>
  <si>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</si>
  <si>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</si>
  <si>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</si>
  <si>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</si>
  <si>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</si>
  <si>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</si>
  <si>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</si>
  <si>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</si>
  <si>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</si>
  <si>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</si>
  <si>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</si>
  <si>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</si>
  <si>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</si>
  <si>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</si>
  <si>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</si>
  <si>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</si>
  <si>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</si>
  <si>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</si>
  <si>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</si>
  <si>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</si>
  <si>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</si>
  <si>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</si>
  <si>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520036716</t>
  </si>
  <si>
    <t>אורמת אגח 3*</t>
  </si>
  <si>
    <t>1139179</t>
  </si>
  <si>
    <t>₪ / מט"ח</t>
  </si>
  <si>
    <t>+ILS/-USD 3.3967 10-03-21 (10) -428</t>
  </si>
  <si>
    <t>10000077</t>
  </si>
  <si>
    <t>+ILS/-USD 3.399 30-11-20 (10) -410</t>
  </si>
  <si>
    <t>10000073</t>
  </si>
  <si>
    <t>+ILS/-USD 3.4045 03-03-21 (12) -505</t>
  </si>
  <si>
    <t>10000006</t>
  </si>
  <si>
    <t>+ILS/-USD 3.414 17-03-21 (10) -440</t>
  </si>
  <si>
    <t>10000079</t>
  </si>
  <si>
    <t>+ILS/-USD 3.4172 15-03-21 (10) -453</t>
  </si>
  <si>
    <t>10000083</t>
  </si>
  <si>
    <t>+ILS/-USD 3.418 08-03-21 (10) -445</t>
  </si>
  <si>
    <t>10000081</t>
  </si>
  <si>
    <t>+ILS/-USD 3.43256 24-09-20 (93) -77</t>
  </si>
  <si>
    <t>10000141</t>
  </si>
  <si>
    <t>+ILS/-USD 3.4424 16-09-20 (10) -76</t>
  </si>
  <si>
    <t>10000245</t>
  </si>
  <si>
    <t>+ILS/-USD 3.4457 18-11-20 (20) -143</t>
  </si>
  <si>
    <t>10000025</t>
  </si>
  <si>
    <t>+ILS/-USD 3.4506 19-11-20 (20) -144</t>
  </si>
  <si>
    <t>10000027</t>
  </si>
  <si>
    <t>+ILS/-USD 3.452 10-11-20 (10) -800</t>
  </si>
  <si>
    <t>10000195</t>
  </si>
  <si>
    <t>+ILS/-USD 3.4691 22-07-20 (10) -39</t>
  </si>
  <si>
    <t>10000134</t>
  </si>
  <si>
    <t>+ILS/-USD 3.4698 11-08-20 (20) -52</t>
  </si>
  <si>
    <t>10000132</t>
  </si>
  <si>
    <t>+ILS/-USD 3.4931 06-08-20 (20) -49</t>
  </si>
  <si>
    <t>10000128</t>
  </si>
  <si>
    <t>+ILS/-USD 3.4952 18-09-20 (12) -128</t>
  </si>
  <si>
    <t>10000019</t>
  </si>
  <si>
    <t>+ILS/-USD 3.5021 10-11-20 (10) -904</t>
  </si>
  <si>
    <t>10000188</t>
  </si>
  <si>
    <t>+ILS/-USD 3.503 11-09-20 (12) -124</t>
  </si>
  <si>
    <t>10000119</t>
  </si>
  <si>
    <t>+ILS/-USD 3.5049 01-07-20 (20) -51</t>
  </si>
  <si>
    <t>10000016</t>
  </si>
  <si>
    <t>+ILS/-USD 3.5086 28-07-20 (20) -64</t>
  </si>
  <si>
    <t>10000021</t>
  </si>
  <si>
    <t>+ILS/-USD 3.50884 07-07-20 (93) -81</t>
  </si>
  <si>
    <t>10000106</t>
  </si>
  <si>
    <t>+ILS/-USD 3.51 01-07-20 (12) -54</t>
  </si>
  <si>
    <t>10000018</t>
  </si>
  <si>
    <t>+ILS/-USD 3.51765 15-03-21 (12) -418.5</t>
  </si>
  <si>
    <t>10000103</t>
  </si>
  <si>
    <t>+ILS/-USD 3.5185 25-03-21 (10) -535</t>
  </si>
  <si>
    <t>10000231</t>
  </si>
  <si>
    <t>+ILS/-USD 3.523 03-08-20 (20) -63</t>
  </si>
  <si>
    <t>10000023</t>
  </si>
  <si>
    <t>+ILS/-USD 3.533 22-07-20 (12) -59</t>
  </si>
  <si>
    <t>10000126</t>
  </si>
  <si>
    <t>+ILS/-USD 3.5347 14-07-20 (12) -53</t>
  </si>
  <si>
    <t>10000121</t>
  </si>
  <si>
    <t>+ILS/-USD 3.593 06-07-20 (12) -184</t>
  </si>
  <si>
    <t>10000099</t>
  </si>
  <si>
    <t>+ILS/-USD 3.82 02-07-20 (20) -450</t>
  </si>
  <si>
    <t>10000011</t>
  </si>
  <si>
    <t>פורוורד ש"ח-מט"ח</t>
  </si>
  <si>
    <t>10000026</t>
  </si>
  <si>
    <t>10000024</t>
  </si>
  <si>
    <t>+EUR/-USD 1.1152 22-09-20 (20) +74</t>
  </si>
  <si>
    <t>10000090</t>
  </si>
  <si>
    <t>+GBP/-USD 1.2332 28-09-20 (10) +7</t>
  </si>
  <si>
    <t>10000242</t>
  </si>
  <si>
    <t>+GBP/-USD 1.25707 06-07-20 (20) +2.7</t>
  </si>
  <si>
    <t>10000135</t>
  </si>
  <si>
    <t>10000136</t>
  </si>
  <si>
    <t>+USD/-AUD 0.68741 10-12-20 (10) +0.1</t>
  </si>
  <si>
    <t>10000247</t>
  </si>
  <si>
    <t>+USD/-EUR 1.08483 27-07-20 (10) +25.3</t>
  </si>
  <si>
    <t>10000237</t>
  </si>
  <si>
    <t>+USD/-EUR 1.0871 03-09-20 (12) +31</t>
  </si>
  <si>
    <t>10000108</t>
  </si>
  <si>
    <t>+USD/-EUR 1.09197 27-07-20 (10) +55.7</t>
  </si>
  <si>
    <t>10000229</t>
  </si>
  <si>
    <t>+USD/-EUR 1.09445 05-10-20 (10) +53.5</t>
  </si>
  <si>
    <t>10000234</t>
  </si>
  <si>
    <t>+USD/-EUR 1.09994 05-10-20 (10) +31.4</t>
  </si>
  <si>
    <t>10000243</t>
  </si>
  <si>
    <t>+USD/-EUR 1.1256 22-09-20 (20) +91</t>
  </si>
  <si>
    <t>10000075</t>
  </si>
  <si>
    <t>+USD/-GBP 1.1791 06-07-20 (20) +18</t>
  </si>
  <si>
    <t>10000087</t>
  </si>
  <si>
    <t>+USD/-GBP 1.2117 09-11-20 (10) +7</t>
  </si>
  <si>
    <t>10000124</t>
  </si>
  <si>
    <t>+USD/-GBP 1.23765 28-09-20 (10) +6.5</t>
  </si>
  <si>
    <t>10000241</t>
  </si>
  <si>
    <t>+USD/-GBP 1.3073 06-07-20 (12) +68</t>
  </si>
  <si>
    <t>10000065</t>
  </si>
  <si>
    <t>+USD/-GBP 1.3078 06-07-20 (20) +68</t>
  </si>
  <si>
    <t>10000067</t>
  </si>
  <si>
    <t>IRS</t>
  </si>
  <si>
    <t>10000002</t>
  </si>
  <si>
    <t>10000005</t>
  </si>
  <si>
    <t>TRS</t>
  </si>
  <si>
    <t>10000114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</si>
  <si>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</si>
  <si>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</si>
  <si>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</si>
  <si>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</si>
  <si>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</si>
  <si>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</si>
  <si>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</si>
  <si>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</si>
  <si>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</si>
  <si>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</si>
  <si>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</si>
  <si>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</si>
  <si>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</si>
  <si>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</si>
  <si>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</si>
  <si>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</si>
  <si>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</si>
  <si>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32012000</t>
  </si>
  <si>
    <t>30312000</t>
  </si>
  <si>
    <t>30210000</t>
  </si>
  <si>
    <t>33810000</t>
  </si>
  <si>
    <t>34010000</t>
  </si>
  <si>
    <t>32010000</t>
  </si>
  <si>
    <t>34510000</t>
  </si>
  <si>
    <t>34610000</t>
  </si>
  <si>
    <t>32020000</t>
  </si>
  <si>
    <t>34020000</t>
  </si>
  <si>
    <t>30326000</t>
  </si>
  <si>
    <t>דירוג פנימי</t>
  </si>
  <si>
    <t>כן</t>
  </si>
  <si>
    <t>לא</t>
  </si>
  <si>
    <t>תשתיות</t>
  </si>
  <si>
    <t>AA-</t>
  </si>
  <si>
    <t>ilBBB+</t>
  </si>
  <si>
    <t>Other</t>
  </si>
  <si>
    <t>קרדן אן.וי אגח ב חש 2/18</t>
  </si>
  <si>
    <t>1143270</t>
  </si>
  <si>
    <t>A3</t>
  </si>
  <si>
    <t>B-</t>
  </si>
  <si>
    <t>סה"כ יתרות התחייבות להשקעה</t>
  </si>
  <si>
    <t>סה"כ בישראל</t>
  </si>
  <si>
    <t>סה"כ בחו"ל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</si>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</sst>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">
    <xf numFmtId="0" fontId="0" fillId="0" borderId="0"/>
    <xf numFmtId="164" fontId="2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8" fillId="0" borderId="0"/>
    <xf numFmtId="0" fontId="24" fillId="0" borderId="0"/>
    <xf numFmtId="0" fontId="3" fillId="0" borderId="0"/>
    <xf numFmtId="9" fontId="24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49" fontId="16" fillId="2" borderId="10" xfId="7" applyNumberFormat="1" applyFont="1" applyFill="1" applyBorder="1" applyAlignment="1">
      <alignment horizontal="center" vertical="center" wrapText="1" readingOrder="2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1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3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8" fillId="0" borderId="0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2"/>
    </xf>
    <xf numFmtId="0" fontId="28" fillId="0" borderId="24" xfId="0" applyFont="1" applyFill="1" applyBorder="1" applyAlignment="1">
      <alignment horizontal="right" indent="3"/>
    </xf>
    <xf numFmtId="0" fontId="28" fillId="0" borderId="24" xfId="0" applyFont="1" applyFill="1" applyBorder="1" applyAlignment="1">
      <alignment horizontal="right" indent="2"/>
    </xf>
    <xf numFmtId="0" fontId="28" fillId="0" borderId="25" xfId="0" applyFont="1" applyFill="1" applyBorder="1" applyAlignment="1">
      <alignment horizontal="right" indent="2"/>
    </xf>
    <xf numFmtId="0" fontId="28" fillId="0" borderId="26" xfId="0" applyNumberFormat="1" applyFont="1" applyFill="1" applyBorder="1" applyAlignment="1">
      <alignment horizontal="right"/>
    </xf>
    <xf numFmtId="2" fontId="28" fillId="0" borderId="26" xfId="0" applyNumberFormat="1" applyFont="1" applyFill="1" applyBorder="1" applyAlignment="1">
      <alignment horizontal="right"/>
    </xf>
    <xf numFmtId="10" fontId="28" fillId="0" borderId="26" xfId="0" applyNumberFormat="1" applyFont="1" applyFill="1" applyBorder="1" applyAlignment="1">
      <alignment horizontal="right"/>
    </xf>
    <xf numFmtId="4" fontId="28" fillId="0" borderId="26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27" xfId="13" applyFont="1" applyBorder="1" applyAlignment="1">
      <alignment horizontal="right"/>
    </xf>
    <xf numFmtId="10" fontId="7" fillId="0" borderId="27" xfId="14" applyNumberFormat="1" applyFont="1" applyBorder="1" applyAlignment="1">
      <alignment horizontal="center"/>
    </xf>
    <xf numFmtId="2" fontId="7" fillId="0" borderId="27" xfId="7" applyNumberFormat="1" applyFont="1" applyBorder="1" applyAlignment="1">
      <alignment horizontal="right"/>
    </xf>
    <xf numFmtId="168" fontId="7" fillId="0" borderId="27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/>
    <xf numFmtId="10" fontId="6" fillId="0" borderId="0" xfId="14" applyNumberFormat="1" applyFont="1" applyAlignment="1">
      <alignment horizontal="center"/>
    </xf>
    <xf numFmtId="10" fontId="31" fillId="0" borderId="0" xfId="14" applyNumberFormat="1" applyFont="1"/>
    <xf numFmtId="10" fontId="28" fillId="0" borderId="0" xfId="14" applyNumberFormat="1" applyFont="1" applyFill="1" applyBorder="1" applyAlignment="1">
      <alignment horizontal="right"/>
    </xf>
    <xf numFmtId="0" fontId="28" fillId="0" borderId="0" xfId="15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14" fontId="27" fillId="0" borderId="0" xfId="0" applyNumberFormat="1" applyFont="1" applyFill="1" applyBorder="1" applyAlignment="1">
      <alignment horizontal="right"/>
    </xf>
    <xf numFmtId="4" fontId="28" fillId="0" borderId="0" xfId="15" applyNumberFormat="1" applyFont="1" applyFill="1" applyBorder="1" applyAlignment="1">
      <alignment horizontal="right"/>
    </xf>
    <xf numFmtId="4" fontId="28" fillId="0" borderId="0" xfId="19" applyNumberFormat="1" applyFont="1" applyFill="1" applyBorder="1" applyAlignment="1">
      <alignment horizontal="right"/>
    </xf>
    <xf numFmtId="0" fontId="9" fillId="2" borderId="14" xfId="7" applyFont="1" applyFill="1" applyBorder="1" applyAlignment="1">
      <alignment horizontal="center" vertical="center" wrapText="1"/>
    </xf>
    <xf numFmtId="0" fontId="9" fillId="2" borderId="15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9" fillId="2" borderId="20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8" fillId="0" borderId="17" xfId="0" applyFont="1" applyBorder="1" applyAlignment="1">
      <alignment horizontal="center" readingOrder="2"/>
    </xf>
    <xf numFmtId="0" fontId="18" fillId="0" borderId="13" xfId="0" applyFont="1" applyBorder="1" applyAlignment="1">
      <alignment horizontal="center" readingOrder="2"/>
    </xf>
    <xf numFmtId="0" fontId="22" fillId="2" borderId="18" xfId="0" applyFont="1" applyFill="1" applyBorder="1" applyAlignment="1">
      <alignment horizontal="center" vertical="center" wrapText="1" readingOrder="2"/>
    </xf>
    <xf numFmtId="0" fontId="18" fillId="0" borderId="19" xfId="0" applyFont="1" applyBorder="1" applyAlignment="1">
      <alignment horizontal="center" readingOrder="2"/>
    </xf>
    <xf numFmtId="0" fontId="18" fillId="0" borderId="20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22" fillId="2" borderId="20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35">
    <cellStyle name="Comma" xfId="13" builtinId="3"/>
    <cellStyle name="Comma 2" xfId="1"/>
    <cellStyle name="Comma 2 2" xfId="17"/>
    <cellStyle name="Comma 2 2 2" xfId="31"/>
    <cellStyle name="Comma 2 3" xfId="26"/>
    <cellStyle name="Comma 3" xfId="22"/>
    <cellStyle name="Currency [0] _1" xfId="2"/>
    <cellStyle name="Hyperlink 2" xfId="3"/>
    <cellStyle name="Normal" xfId="0" builtinId="0"/>
    <cellStyle name="Normal 11" xfId="4"/>
    <cellStyle name="Normal 11 2" xfId="18"/>
    <cellStyle name="Normal 11 2 2" xfId="32"/>
    <cellStyle name="Normal 11 3" xfId="27"/>
    <cellStyle name="Normal 2" xfId="5"/>
    <cellStyle name="Normal 2 2" xfId="19"/>
    <cellStyle name="Normal 3" xfId="6"/>
    <cellStyle name="Normal 3 2" xfId="20"/>
    <cellStyle name="Normal 3 2 2" xfId="33"/>
    <cellStyle name="Normal 3 3" xfId="28"/>
    <cellStyle name="Normal 4" xfId="12"/>
    <cellStyle name="Normal 5" xfId="15"/>
    <cellStyle name="Normal 5 2" xfId="24"/>
    <cellStyle name="Normal 6" xfId="16"/>
    <cellStyle name="Normal 6 2" xfId="30"/>
    <cellStyle name="Normal 7" xfId="25"/>
    <cellStyle name="Normal_2007-16618" xfId="7"/>
    <cellStyle name="Percent" xfId="14" builtinId="5"/>
    <cellStyle name="Percent 2" xfId="8"/>
    <cellStyle name="Percent 2 2" xfId="21"/>
    <cellStyle name="Percent 2 2 2" xfId="34"/>
    <cellStyle name="Percent 2 3" xfId="29"/>
    <cellStyle name="Percent 3" xfId="23"/>
    <cellStyle name="Text" xfId="9"/>
    <cellStyle name="Total" xfId="10"/>
    <cellStyle name="היפר-קישור" xfId="11" builtinId="8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E66"/>
  <sheetViews>
    <sheetView rightToLeft="1" tabSelected="1" workbookViewId="0">
      <selection activeCell="F15" sqref="F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5" width="6.7109375" style="9" customWidth="1"/>
    <col min="6" max="6" width="8" style="9" customWidth="1"/>
    <col min="7" max="7" width="8.7109375" style="9" customWidth="1"/>
    <col min="8" max="8" width="10" style="9" customWidth="1"/>
    <col min="9" max="9" width="9.5703125" style="9" customWidth="1"/>
    <col min="10" max="10" width="6.140625" style="9" customWidth="1"/>
    <col min="11" max="12" width="5.7109375" style="9" customWidth="1"/>
    <col min="13" max="13" width="6.85546875" style="9" customWidth="1"/>
    <col min="14" max="14" width="6.42578125" style="9" customWidth="1"/>
    <col min="15" max="15" width="6.7109375" style="9" customWidth="1"/>
    <col min="16" max="16" width="7.28515625" style="9" customWidth="1"/>
    <col min="17" max="28" width="5.7109375" style="9" customWidth="1"/>
    <col min="29" max="16384" width="9.140625" style="9"/>
  </cols>
  <sheetData>
    <row r="1" spans="1:5">
      <c r="B1" s="47" t="s">
        <v>170</v>
      </c>
      <c r="C1" s="68" t="s" vm="1">
        <v>248</v>
      </c>
    </row>
    <row r="2" spans="1:5">
      <c r="B2" s="47" t="s">
        <v>169</v>
      </c>
      <c r="C2" s="68" t="s">
        <v>249</v>
      </c>
    </row>
    <row r="3" spans="1:5">
      <c r="B3" s="47" t="s">
        <v>171</v>
      </c>
      <c r="C3" s="68" t="s">
        <v>250</v>
      </c>
    </row>
    <row r="4" spans="1:5">
      <c r="B4" s="47" t="s">
        <v>172</v>
      </c>
      <c r="C4" s="68">
        <v>2144</v>
      </c>
    </row>
    <row r="6" spans="1:5" ht="26.25" customHeight="1">
      <c r="B6" s="131" t="s">
        <v>186</v>
      </c>
      <c r="C6" s="132"/>
      <c r="D6" s="133"/>
    </row>
    <row r="7" spans="1:5" s="10" customFormat="1">
      <c r="B7" s="22"/>
      <c r="C7" s="23" t="s">
        <v>102</v>
      </c>
      <c r="D7" s="24" t="s">
        <v>100</v>
      </c>
      <c r="E7" s="9"/>
    </row>
    <row r="8" spans="1:5" s="10" customFormat="1">
      <c r="B8" s="22"/>
      <c r="C8" s="25" t="s">
        <v>228</v>
      </c>
      <c r="D8" s="26" t="s">
        <v>19</v>
      </c>
    </row>
    <row r="9" spans="1:5" s="11" customFormat="1" ht="18" customHeight="1">
      <c r="B9" s="36"/>
      <c r="C9" s="19" t="s">
        <v>0</v>
      </c>
      <c r="D9" s="27" t="s">
        <v>1</v>
      </c>
    </row>
    <row r="10" spans="1:5" s="11" customFormat="1" ht="18" customHeight="1">
      <c r="B10" s="55" t="s">
        <v>185</v>
      </c>
      <c r="C10" s="106">
        <f>C11+C12+C23+C33+C37</f>
        <v>285528.51492472779</v>
      </c>
      <c r="D10" s="107">
        <f>C10/$C$42</f>
        <v>1</v>
      </c>
    </row>
    <row r="11" spans="1:5">
      <c r="A11" s="43" t="s">
        <v>132</v>
      </c>
      <c r="B11" s="28" t="s">
        <v>187</v>
      </c>
      <c r="C11" s="106">
        <f>מזומנים!J10</f>
        <v>12655.198306959001</v>
      </c>
      <c r="D11" s="107">
        <f>C11/$C$42</f>
        <v>4.4322012147526547E-2</v>
      </c>
    </row>
    <row r="12" spans="1:5">
      <c r="B12" s="28" t="s">
        <v>188</v>
      </c>
      <c r="C12" s="106">
        <f>C13+C15+C17+C18</f>
        <v>177216.50523324677</v>
      </c>
      <c r="D12" s="107">
        <f>C12/$C$42</f>
        <v>0.62066132091908688</v>
      </c>
    </row>
    <row r="13" spans="1:5">
      <c r="A13" s="45" t="s">
        <v>132</v>
      </c>
      <c r="B13" s="29" t="s">
        <v>63</v>
      </c>
      <c r="C13" s="106">
        <f>'תעודות התחייבות ממשלתיות'!O11</f>
        <v>78138.116796080008</v>
      </c>
      <c r="D13" s="107">
        <f>C13/$C$42</f>
        <v>0.2736613427792986</v>
      </c>
    </row>
    <row r="14" spans="1:5">
      <c r="A14" s="45" t="s">
        <v>132</v>
      </c>
      <c r="B14" s="29" t="s">
        <v>64</v>
      </c>
      <c r="C14" s="106" t="s" vm="2">
        <v>1515</v>
      </c>
      <c r="D14" s="107" t="s" vm="3">
        <v>1515</v>
      </c>
    </row>
    <row r="15" spans="1:5">
      <c r="A15" s="45" t="s">
        <v>132</v>
      </c>
      <c r="B15" s="29" t="s">
        <v>65</v>
      </c>
      <c r="C15" s="106">
        <f>'אג"ח קונצרני'!R11</f>
        <v>82608.479333832744</v>
      </c>
      <c r="D15" s="107">
        <f>C15/$C$42</f>
        <v>0.28931779144934205</v>
      </c>
    </row>
    <row r="16" spans="1:5">
      <c r="A16" s="45" t="s">
        <v>132</v>
      </c>
      <c r="B16" s="29" t="s">
        <v>66</v>
      </c>
      <c r="C16" s="106" t="s" vm="4">
        <v>1515</v>
      </c>
      <c r="D16" s="107" t="s" vm="5">
        <v>1515</v>
      </c>
    </row>
    <row r="17" spans="1:4">
      <c r="A17" s="45" t="s">
        <v>132</v>
      </c>
      <c r="B17" s="29" t="s">
        <v>242</v>
      </c>
      <c r="C17" s="106">
        <f>'קרנות סל'!K11</f>
        <v>5189.284844574001</v>
      </c>
      <c r="D17" s="107">
        <f>C17/$C$42</f>
        <v>1.8174313854229313E-2</v>
      </c>
    </row>
    <row r="18" spans="1:4">
      <c r="A18" s="45" t="s">
        <v>132</v>
      </c>
      <c r="B18" s="29" t="s">
        <v>67</v>
      </c>
      <c r="C18" s="106">
        <f>'קרנות נאמנות'!L11</f>
        <v>11280.624258760001</v>
      </c>
      <c r="D18" s="107">
        <f>C18/$C$42</f>
        <v>3.9507872836216887E-2</v>
      </c>
    </row>
    <row r="19" spans="1:4">
      <c r="A19" s="45" t="s">
        <v>132</v>
      </c>
      <c r="B19" s="29" t="s">
        <v>68</v>
      </c>
      <c r="C19" s="106" t="s" vm="6">
        <v>1515</v>
      </c>
      <c r="D19" s="107" t="s" vm="7">
        <v>1515</v>
      </c>
    </row>
    <row r="20" spans="1:4">
      <c r="A20" s="45" t="s">
        <v>132</v>
      </c>
      <c r="B20" s="29" t="s">
        <v>69</v>
      </c>
      <c r="C20" s="106" t="s" vm="8">
        <v>1515</v>
      </c>
      <c r="D20" s="107" t="s" vm="9">
        <v>1515</v>
      </c>
    </row>
    <row r="21" spans="1:4">
      <c r="A21" s="45" t="s">
        <v>132</v>
      </c>
      <c r="B21" s="29" t="s">
        <v>70</v>
      </c>
      <c r="C21" s="106" t="s" vm="10">
        <v>1515</v>
      </c>
      <c r="D21" s="107" t="s" vm="11">
        <v>1515</v>
      </c>
    </row>
    <row r="22" spans="1:4">
      <c r="A22" s="45" t="s">
        <v>132</v>
      </c>
      <c r="B22" s="29" t="s">
        <v>71</v>
      </c>
      <c r="C22" s="106" t="s" vm="12">
        <v>1515</v>
      </c>
      <c r="D22" s="107" t="s" vm="13">
        <v>1515</v>
      </c>
    </row>
    <row r="23" spans="1:4">
      <c r="B23" s="28" t="s">
        <v>189</v>
      </c>
      <c r="C23" s="106">
        <f>C24+C26+C31</f>
        <v>84763.948392629987</v>
      </c>
      <c r="D23" s="107">
        <f>C23/$C$42</f>
        <v>0.29686684153061144</v>
      </c>
    </row>
    <row r="24" spans="1:4">
      <c r="A24" s="45" t="s">
        <v>132</v>
      </c>
      <c r="B24" s="29" t="s">
        <v>72</v>
      </c>
      <c r="C24" s="106">
        <f>'לא סחיר- תעודות התחייבות ממשלתי'!M11</f>
        <v>82020.782839999985</v>
      </c>
      <c r="D24" s="107">
        <f>C24/$C$42</f>
        <v>0.28725951543446598</v>
      </c>
    </row>
    <row r="25" spans="1:4">
      <c r="A25" s="45" t="s">
        <v>132</v>
      </c>
      <c r="B25" s="29" t="s">
        <v>73</v>
      </c>
      <c r="C25" s="106" t="s" vm="14">
        <v>1515</v>
      </c>
      <c r="D25" s="107" t="s" vm="15">
        <v>1515</v>
      </c>
    </row>
    <row r="26" spans="1:4">
      <c r="A26" s="45" t="s">
        <v>132</v>
      </c>
      <c r="B26" s="29" t="s">
        <v>65</v>
      </c>
      <c r="C26" s="106">
        <f>'לא סחיר - אג"ח קונצרני'!P11</f>
        <v>2819.8864900000003</v>
      </c>
      <c r="D26" s="107">
        <f>C26/$C$42</f>
        <v>9.876024083771074E-3</v>
      </c>
    </row>
    <row r="27" spans="1:4">
      <c r="A27" s="45" t="s">
        <v>132</v>
      </c>
      <c r="B27" s="29" t="s">
        <v>74</v>
      </c>
      <c r="C27" s="106" t="s" vm="16">
        <v>1515</v>
      </c>
      <c r="D27" s="107" t="s" vm="17">
        <v>1515</v>
      </c>
    </row>
    <row r="28" spans="1:4">
      <c r="A28" s="45" t="s">
        <v>132</v>
      </c>
      <c r="B28" s="29" t="s">
        <v>75</v>
      </c>
      <c r="C28" s="106" t="s" vm="18">
        <v>1515</v>
      </c>
      <c r="D28" s="107" t="s" vm="19">
        <v>1515</v>
      </c>
    </row>
    <row r="29" spans="1:4">
      <c r="A29" s="45" t="s">
        <v>132</v>
      </c>
      <c r="B29" s="29" t="s">
        <v>76</v>
      </c>
      <c r="C29" s="106" t="s" vm="20">
        <v>1515</v>
      </c>
      <c r="D29" s="107" t="s" vm="21">
        <v>1515</v>
      </c>
    </row>
    <row r="30" spans="1:4">
      <c r="A30" s="45" t="s">
        <v>132</v>
      </c>
      <c r="B30" s="29" t="s">
        <v>212</v>
      </c>
      <c r="C30" s="106" t="s" vm="22">
        <v>1515</v>
      </c>
      <c r="D30" s="107" t="s" vm="23">
        <v>1515</v>
      </c>
    </row>
    <row r="31" spans="1:4">
      <c r="A31" s="45" t="s">
        <v>132</v>
      </c>
      <c r="B31" s="29" t="s">
        <v>97</v>
      </c>
      <c r="C31" s="106">
        <f>'לא סחיר - חוזים עתידיים'!I11</f>
        <v>-76.720937370000001</v>
      </c>
      <c r="D31" s="107">
        <f>C31/$C$42</f>
        <v>-2.6869798762559842E-4</v>
      </c>
    </row>
    <row r="32" spans="1:4">
      <c r="A32" s="45" t="s">
        <v>132</v>
      </c>
      <c r="B32" s="29" t="s">
        <v>77</v>
      </c>
      <c r="C32" s="106" t="s" vm="24">
        <v>1515</v>
      </c>
      <c r="D32" s="107" t="s" vm="25">
        <v>1515</v>
      </c>
    </row>
    <row r="33" spans="1:4">
      <c r="A33" s="45" t="s">
        <v>132</v>
      </c>
      <c r="B33" s="28" t="s">
        <v>190</v>
      </c>
      <c r="C33" s="106">
        <f>הלוואות!P10</f>
        <v>10921.405420000001</v>
      </c>
      <c r="D33" s="107">
        <f>C33/$C$42</f>
        <v>3.82497888971935E-2</v>
      </c>
    </row>
    <row r="34" spans="1:4">
      <c r="A34" s="45" t="s">
        <v>132</v>
      </c>
      <c r="B34" s="28" t="s">
        <v>191</v>
      </c>
      <c r="C34" s="106" t="s" vm="26">
        <v>1515</v>
      </c>
      <c r="D34" s="107" t="s" vm="27">
        <v>1515</v>
      </c>
    </row>
    <row r="35" spans="1:4">
      <c r="A35" s="45" t="s">
        <v>132</v>
      </c>
      <c r="B35" s="28" t="s">
        <v>192</v>
      </c>
      <c r="C35" s="106" t="s" vm="28">
        <v>1515</v>
      </c>
      <c r="D35" s="107" t="s" vm="29">
        <v>1515</v>
      </c>
    </row>
    <row r="36" spans="1:4">
      <c r="A36" s="45" t="s">
        <v>132</v>
      </c>
      <c r="B36" s="46" t="s">
        <v>193</v>
      </c>
      <c r="C36" s="106" t="s" vm="30">
        <v>1515</v>
      </c>
      <c r="D36" s="107" t="s" vm="31">
        <v>1515</v>
      </c>
    </row>
    <row r="37" spans="1:4">
      <c r="A37" s="45" t="s">
        <v>132</v>
      </c>
      <c r="B37" s="28" t="s">
        <v>194</v>
      </c>
      <c r="C37" s="106">
        <f>'השקעות אחרות '!I10</f>
        <v>-28.542428107999996</v>
      </c>
      <c r="D37" s="107">
        <f>C37/$C$42</f>
        <v>-9.996349441849782E-5</v>
      </c>
    </row>
    <row r="38" spans="1:4">
      <c r="A38" s="45"/>
      <c r="B38" s="56" t="s">
        <v>196</v>
      </c>
      <c r="C38" s="106">
        <v>0</v>
      </c>
      <c r="D38" s="107">
        <f>C38/$C$42</f>
        <v>0</v>
      </c>
    </row>
    <row r="39" spans="1:4">
      <c r="A39" s="45" t="s">
        <v>132</v>
      </c>
      <c r="B39" s="57" t="s">
        <v>197</v>
      </c>
      <c r="C39" s="106" t="s" vm="32">
        <v>1515</v>
      </c>
      <c r="D39" s="107" t="s" vm="33">
        <v>1515</v>
      </c>
    </row>
    <row r="40" spans="1:4">
      <c r="A40" s="45" t="s">
        <v>132</v>
      </c>
      <c r="B40" s="57" t="s">
        <v>226</v>
      </c>
      <c r="C40" s="106" t="s" vm="34">
        <v>1515</v>
      </c>
      <c r="D40" s="107" t="s" vm="35">
        <v>1515</v>
      </c>
    </row>
    <row r="41" spans="1:4">
      <c r="A41" s="45" t="s">
        <v>132</v>
      </c>
      <c r="B41" s="57" t="s">
        <v>198</v>
      </c>
      <c r="C41" s="106" t="s" vm="36">
        <v>1515</v>
      </c>
      <c r="D41" s="107" t="s" vm="37">
        <v>1515</v>
      </c>
    </row>
    <row r="42" spans="1:4">
      <c r="B42" s="57" t="s">
        <v>78</v>
      </c>
      <c r="C42" s="106">
        <f>C38+C10</f>
        <v>285528.51492472779</v>
      </c>
      <c r="D42" s="107">
        <f>C42/$C$42</f>
        <v>1</v>
      </c>
    </row>
    <row r="43" spans="1:4">
      <c r="A43" s="45" t="s">
        <v>132</v>
      </c>
      <c r="B43" s="57" t="s">
        <v>195</v>
      </c>
      <c r="C43" s="106">
        <f>'יתרת התחייבות להשקעה'!C10</f>
        <v>3693.2031366066376</v>
      </c>
      <c r="D43" s="107"/>
    </row>
    <row r="44" spans="1:4">
      <c r="B44" s="6" t="s">
        <v>101</v>
      </c>
    </row>
    <row r="45" spans="1:4">
      <c r="C45" s="63" t="s">
        <v>177</v>
      </c>
      <c r="D45" s="35" t="s">
        <v>96</v>
      </c>
    </row>
    <row r="46" spans="1:4">
      <c r="C46" s="64" t="s">
        <v>0</v>
      </c>
      <c r="D46" s="24" t="s">
        <v>1</v>
      </c>
    </row>
    <row r="47" spans="1:4">
      <c r="C47" s="108" t="s">
        <v>158</v>
      </c>
      <c r="D47" s="109" vm="38">
        <v>2.3723000000000001</v>
      </c>
    </row>
    <row r="48" spans="1:4">
      <c r="C48" s="108" t="s">
        <v>167</v>
      </c>
      <c r="D48" s="109">
        <v>0.6384585628235121</v>
      </c>
    </row>
    <row r="49" spans="2:4">
      <c r="C49" s="108" t="s">
        <v>163</v>
      </c>
      <c r="D49" s="109" vm="39">
        <v>2.5308000000000002</v>
      </c>
    </row>
    <row r="50" spans="2:4">
      <c r="B50" s="12"/>
      <c r="C50" s="108" t="s">
        <v>1516</v>
      </c>
      <c r="D50" s="109" vm="40">
        <v>3.6429</v>
      </c>
    </row>
    <row r="51" spans="2:4">
      <c r="C51" s="108" t="s">
        <v>156</v>
      </c>
      <c r="D51" s="109" vm="41">
        <v>3.8828</v>
      </c>
    </row>
    <row r="52" spans="2:4">
      <c r="C52" s="108" t="s">
        <v>157</v>
      </c>
      <c r="D52" s="109" vm="42">
        <v>4.2541000000000002</v>
      </c>
    </row>
    <row r="53" spans="2:4">
      <c r="C53" s="108" t="s">
        <v>159</v>
      </c>
      <c r="D53" s="109">
        <v>0.44719118519856527</v>
      </c>
    </row>
    <row r="54" spans="2:4">
      <c r="C54" s="108" t="s">
        <v>164</v>
      </c>
      <c r="D54" s="109" vm="43">
        <v>3.2172999999999998</v>
      </c>
    </row>
    <row r="55" spans="2:4">
      <c r="C55" s="108" t="s">
        <v>165</v>
      </c>
      <c r="D55" s="109">
        <v>0.1506151058347058</v>
      </c>
    </row>
    <row r="56" spans="2:4">
      <c r="C56" s="108" t="s">
        <v>162</v>
      </c>
      <c r="D56" s="109" vm="44">
        <v>0.52090000000000003</v>
      </c>
    </row>
    <row r="57" spans="2:4">
      <c r="C57" s="108" t="s">
        <v>1517</v>
      </c>
      <c r="D57" s="109">
        <v>2.2366098000000001</v>
      </c>
    </row>
    <row r="58" spans="2:4">
      <c r="C58" s="108" t="s">
        <v>161</v>
      </c>
      <c r="D58" s="109" vm="45">
        <v>0.36959999999999998</v>
      </c>
    </row>
    <row r="59" spans="2:4">
      <c r="C59" s="108" t="s">
        <v>154</v>
      </c>
      <c r="D59" s="109" vm="46">
        <v>3.4660000000000002</v>
      </c>
    </row>
    <row r="60" spans="2:4">
      <c r="C60" s="108" t="s">
        <v>168</v>
      </c>
      <c r="D60" s="109" vm="47">
        <v>0.19980000000000001</v>
      </c>
    </row>
    <row r="61" spans="2:4">
      <c r="C61" s="108" t="s">
        <v>1518</v>
      </c>
      <c r="D61" s="109" vm="48">
        <v>0.35580000000000001</v>
      </c>
    </row>
    <row r="62" spans="2:4">
      <c r="C62" s="108" t="s">
        <v>1519</v>
      </c>
      <c r="D62" s="109">
        <v>4.8688665065250679E-2</v>
      </c>
    </row>
    <row r="63" spans="2:4">
      <c r="C63" s="108" t="s">
        <v>1520</v>
      </c>
      <c r="D63" s="109">
        <v>0.49055962861267588</v>
      </c>
    </row>
    <row r="64" spans="2:4">
      <c r="C64" s="108" t="s">
        <v>155</v>
      </c>
      <c r="D64" s="109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170</v>
      </c>
      <c r="C1" s="68" t="s" vm="1">
        <v>248</v>
      </c>
    </row>
    <row r="2" spans="2:61">
      <c r="B2" s="47" t="s">
        <v>169</v>
      </c>
      <c r="C2" s="68" t="s">
        <v>249</v>
      </c>
    </row>
    <row r="3" spans="2:61">
      <c r="B3" s="47" t="s">
        <v>171</v>
      </c>
      <c r="C3" s="68" t="s">
        <v>250</v>
      </c>
    </row>
    <row r="4" spans="2:61">
      <c r="B4" s="47" t="s">
        <v>172</v>
      </c>
      <c r="C4" s="68">
        <v>2144</v>
      </c>
    </row>
    <row r="6" spans="2:61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61" ht="26.25" customHeight="1">
      <c r="B7" s="134" t="s">
        <v>86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BI7" s="3"/>
    </row>
    <row r="8" spans="2:61" s="3" customFormat="1" ht="78.75"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225</v>
      </c>
      <c r="H8" s="30" t="s">
        <v>224</v>
      </c>
      <c r="I8" s="30" t="s">
        <v>56</v>
      </c>
      <c r="J8" s="30" t="s">
        <v>53</v>
      </c>
      <c r="K8" s="30" t="s">
        <v>173</v>
      </c>
      <c r="L8" s="31" t="s">
        <v>175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232</v>
      </c>
      <c r="H9" s="16"/>
      <c r="I9" s="16" t="s">
        <v>228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1"/>
      <c r="C11" s="91"/>
      <c r="D11" s="91"/>
      <c r="E11" s="91"/>
      <c r="F11" s="91"/>
      <c r="G11" s="91"/>
      <c r="H11" s="91"/>
      <c r="I11" s="115">
        <v>0</v>
      </c>
      <c r="J11" s="91"/>
      <c r="K11" s="91"/>
      <c r="L11" s="91"/>
      <c r="BD11" s="1"/>
      <c r="BE11" s="3"/>
      <c r="BF11" s="1"/>
      <c r="BH11" s="1"/>
    </row>
    <row r="12" spans="2:61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E12" s="3"/>
    </row>
    <row r="13" spans="2:61" ht="20.25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E13" s="4"/>
    </row>
    <row r="14" spans="2:61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61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 ht="2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BD18" s="4"/>
    </row>
    <row r="19" spans="2:5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H41:XFD44 D45:XFD1048576 D41:AF44 D1:H40 J1:XFD40 I1:I10 I12:I40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170</v>
      </c>
      <c r="C1" s="68" t="s" vm="1">
        <v>248</v>
      </c>
    </row>
    <row r="2" spans="1:60">
      <c r="B2" s="47" t="s">
        <v>169</v>
      </c>
      <c r="C2" s="68" t="s">
        <v>249</v>
      </c>
    </row>
    <row r="3" spans="1:60">
      <c r="B3" s="47" t="s">
        <v>171</v>
      </c>
      <c r="C3" s="68" t="s">
        <v>250</v>
      </c>
    </row>
    <row r="4" spans="1:60">
      <c r="B4" s="47" t="s">
        <v>172</v>
      </c>
      <c r="C4" s="68">
        <v>2144</v>
      </c>
    </row>
    <row r="6" spans="1:60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6"/>
      <c r="BD6" s="1" t="s">
        <v>111</v>
      </c>
      <c r="BF6" s="1" t="s">
        <v>178</v>
      </c>
      <c r="BH6" s="3" t="s">
        <v>155</v>
      </c>
    </row>
    <row r="7" spans="1:60" ht="26.25" customHeight="1">
      <c r="B7" s="134" t="s">
        <v>87</v>
      </c>
      <c r="C7" s="135"/>
      <c r="D7" s="135"/>
      <c r="E7" s="135"/>
      <c r="F7" s="135"/>
      <c r="G7" s="135"/>
      <c r="H7" s="135"/>
      <c r="I7" s="135"/>
      <c r="J7" s="135"/>
      <c r="K7" s="136"/>
      <c r="BD7" s="3" t="s">
        <v>113</v>
      </c>
      <c r="BF7" s="1" t="s">
        <v>133</v>
      </c>
      <c r="BH7" s="3" t="s">
        <v>154</v>
      </c>
    </row>
    <row r="8" spans="1:60" s="3" customFormat="1" ht="78.75">
      <c r="A8" s="2"/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225</v>
      </c>
      <c r="H8" s="30" t="s">
        <v>224</v>
      </c>
      <c r="I8" s="30" t="s">
        <v>56</v>
      </c>
      <c r="J8" s="30" t="s">
        <v>173</v>
      </c>
      <c r="K8" s="31" t="s">
        <v>175</v>
      </c>
      <c r="BC8" s="1" t="s">
        <v>126</v>
      </c>
      <c r="BD8" s="1" t="s">
        <v>127</v>
      </c>
      <c r="BE8" s="1" t="s">
        <v>134</v>
      </c>
      <c r="BG8" s="4" t="s">
        <v>156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232</v>
      </c>
      <c r="H9" s="16"/>
      <c r="I9" s="16" t="s">
        <v>228</v>
      </c>
      <c r="J9" s="32" t="s">
        <v>19</v>
      </c>
      <c r="K9" s="33" t="s">
        <v>19</v>
      </c>
      <c r="BC9" s="1" t="s">
        <v>123</v>
      </c>
      <c r="BE9" s="1" t="s">
        <v>135</v>
      </c>
      <c r="BG9" s="4" t="s">
        <v>157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119</v>
      </c>
      <c r="BD10" s="3"/>
      <c r="BE10" s="1" t="s">
        <v>179</v>
      </c>
      <c r="BG10" s="1" t="s">
        <v>163</v>
      </c>
    </row>
    <row r="11" spans="1:60" s="4" customFormat="1" ht="18" customHeight="1">
      <c r="A11" s="2"/>
      <c r="B11" s="91"/>
      <c r="C11" s="91"/>
      <c r="D11" s="91"/>
      <c r="E11" s="91"/>
      <c r="F11" s="91"/>
      <c r="G11" s="91"/>
      <c r="H11" s="91"/>
      <c r="I11" s="115">
        <v>0</v>
      </c>
      <c r="J11" s="91"/>
      <c r="K11" s="91"/>
      <c r="L11" s="3"/>
      <c r="M11" s="3"/>
      <c r="N11" s="3"/>
      <c r="O11" s="3"/>
      <c r="BC11" s="1" t="s">
        <v>118</v>
      </c>
      <c r="BD11" s="3"/>
      <c r="BE11" s="1" t="s">
        <v>136</v>
      </c>
      <c r="BG11" s="1" t="s">
        <v>158</v>
      </c>
    </row>
    <row r="12" spans="1:60" ht="20.25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P12" s="1"/>
      <c r="BC12" s="1" t="s">
        <v>116</v>
      </c>
      <c r="BD12" s="4"/>
      <c r="BE12" s="1" t="s">
        <v>137</v>
      </c>
      <c r="BG12" s="1" t="s">
        <v>159</v>
      </c>
    </row>
    <row r="13" spans="1:60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P13" s="1"/>
      <c r="BC13" s="1" t="s">
        <v>120</v>
      </c>
      <c r="BE13" s="1" t="s">
        <v>138</v>
      </c>
      <c r="BG13" s="1" t="s">
        <v>160</v>
      </c>
    </row>
    <row r="14" spans="1:60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P14" s="1"/>
      <c r="BC14" s="1" t="s">
        <v>117</v>
      </c>
      <c r="BE14" s="1" t="s">
        <v>139</v>
      </c>
      <c r="BG14" s="1" t="s">
        <v>162</v>
      </c>
    </row>
    <row r="15" spans="1:60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P15" s="1"/>
      <c r="BC15" s="1" t="s">
        <v>128</v>
      </c>
      <c r="BE15" s="1" t="s">
        <v>180</v>
      </c>
      <c r="BG15" s="1" t="s">
        <v>164</v>
      </c>
    </row>
    <row r="16" spans="1:60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P16" s="1"/>
      <c r="BC16" s="4" t="s">
        <v>114</v>
      </c>
      <c r="BD16" s="1" t="s">
        <v>129</v>
      </c>
      <c r="BE16" s="1" t="s">
        <v>140</v>
      </c>
      <c r="BG16" s="1" t="s">
        <v>165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124</v>
      </c>
      <c r="BE17" s="1" t="s">
        <v>141</v>
      </c>
      <c r="BG17" s="1" t="s">
        <v>166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112</v>
      </c>
      <c r="BF18" s="1" t="s">
        <v>142</v>
      </c>
      <c r="BH18" s="1" t="s">
        <v>27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125</v>
      </c>
      <c r="BF19" s="1" t="s">
        <v>143</v>
      </c>
    </row>
    <row r="20" spans="2:60">
      <c r="B20" s="91"/>
      <c r="C20" s="91"/>
      <c r="D20" s="91"/>
      <c r="E20" s="91"/>
      <c r="F20" s="91"/>
      <c r="G20" s="91"/>
      <c r="H20" s="91"/>
      <c r="I20" s="91"/>
      <c r="J20" s="91"/>
      <c r="K20" s="91"/>
      <c r="BD20" s="1" t="s">
        <v>130</v>
      </c>
      <c r="BF20" s="1" t="s">
        <v>144</v>
      </c>
    </row>
    <row r="21" spans="2:60">
      <c r="B21" s="91"/>
      <c r="C21" s="91"/>
      <c r="D21" s="91"/>
      <c r="E21" s="91"/>
      <c r="F21" s="91"/>
      <c r="G21" s="91"/>
      <c r="H21" s="91"/>
      <c r="I21" s="91"/>
      <c r="J21" s="91"/>
      <c r="K21" s="91"/>
      <c r="BD21" s="1" t="s">
        <v>115</v>
      </c>
      <c r="BE21" s="1" t="s">
        <v>131</v>
      </c>
      <c r="BF21" s="1" t="s">
        <v>145</v>
      </c>
    </row>
    <row r="22" spans="2:60">
      <c r="B22" s="91"/>
      <c r="C22" s="91"/>
      <c r="D22" s="91"/>
      <c r="E22" s="91"/>
      <c r="F22" s="91"/>
      <c r="G22" s="91"/>
      <c r="H22" s="91"/>
      <c r="I22" s="91"/>
      <c r="J22" s="91"/>
      <c r="K22" s="91"/>
      <c r="BD22" s="1" t="s">
        <v>121</v>
      </c>
      <c r="BF22" s="1" t="s">
        <v>146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27</v>
      </c>
      <c r="BE23" s="1" t="s">
        <v>122</v>
      </c>
      <c r="BF23" s="1" t="s">
        <v>181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184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147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148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183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149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150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182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27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H18:XFD21 D22:XFD1048576 D18:AF21 D1:H17 J1:XFD17 I1:I10 I12:I17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170</v>
      </c>
      <c r="C1" s="68" t="s" vm="1">
        <v>248</v>
      </c>
    </row>
    <row r="2" spans="2:81">
      <c r="B2" s="47" t="s">
        <v>169</v>
      </c>
      <c r="C2" s="68" t="s">
        <v>249</v>
      </c>
    </row>
    <row r="3" spans="2:81">
      <c r="B3" s="47" t="s">
        <v>171</v>
      </c>
      <c r="C3" s="68" t="s">
        <v>250</v>
      </c>
      <c r="E3" s="2"/>
    </row>
    <row r="4" spans="2:81">
      <c r="B4" s="47" t="s">
        <v>172</v>
      </c>
      <c r="C4" s="68">
        <v>2144</v>
      </c>
    </row>
    <row r="6" spans="2:81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81" ht="26.25" customHeight="1">
      <c r="B7" s="134" t="s">
        <v>88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81" s="3" customFormat="1" ht="47.25">
      <c r="B8" s="22" t="s">
        <v>107</v>
      </c>
      <c r="C8" s="30" t="s">
        <v>41</v>
      </c>
      <c r="D8" s="13" t="s">
        <v>45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225</v>
      </c>
      <c r="M8" s="30" t="s">
        <v>224</v>
      </c>
      <c r="N8" s="30" t="s">
        <v>56</v>
      </c>
      <c r="O8" s="30" t="s">
        <v>53</v>
      </c>
      <c r="P8" s="30" t="s">
        <v>173</v>
      </c>
      <c r="Q8" s="31" t="s">
        <v>175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232</v>
      </c>
      <c r="M9" s="32"/>
      <c r="N9" s="32" t="s">
        <v>228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5">
        <v>0</v>
      </c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98"/>
  <sheetViews>
    <sheetView rightToLeft="1" workbookViewId="0">
      <selection activeCell="O12" sqref="O12:O92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9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170</v>
      </c>
      <c r="C1" s="68" t="s" vm="1">
        <v>248</v>
      </c>
    </row>
    <row r="2" spans="2:72">
      <c r="B2" s="47" t="s">
        <v>169</v>
      </c>
      <c r="C2" s="68" t="s">
        <v>249</v>
      </c>
    </row>
    <row r="3" spans="2:72">
      <c r="B3" s="47" t="s">
        <v>171</v>
      </c>
      <c r="C3" s="68" t="s">
        <v>250</v>
      </c>
    </row>
    <row r="4" spans="2:72">
      <c r="B4" s="47" t="s">
        <v>172</v>
      </c>
      <c r="C4" s="68">
        <v>2144</v>
      </c>
    </row>
    <row r="6" spans="2:72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72" ht="26.25" customHeight="1">
      <c r="B7" s="134" t="s">
        <v>80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2:72" s="3" customFormat="1" ht="78.75">
      <c r="B8" s="22" t="s">
        <v>107</v>
      </c>
      <c r="C8" s="30" t="s">
        <v>41</v>
      </c>
      <c r="D8" s="30" t="s">
        <v>14</v>
      </c>
      <c r="E8" s="30" t="s">
        <v>61</v>
      </c>
      <c r="F8" s="30" t="s">
        <v>95</v>
      </c>
      <c r="G8" s="30" t="s">
        <v>17</v>
      </c>
      <c r="H8" s="30" t="s">
        <v>94</v>
      </c>
      <c r="I8" s="30" t="s">
        <v>16</v>
      </c>
      <c r="J8" s="30" t="s">
        <v>18</v>
      </c>
      <c r="K8" s="30" t="s">
        <v>225</v>
      </c>
      <c r="L8" s="30" t="s">
        <v>224</v>
      </c>
      <c r="M8" s="30" t="s">
        <v>102</v>
      </c>
      <c r="N8" s="30" t="s">
        <v>53</v>
      </c>
      <c r="O8" s="30" t="s">
        <v>173</v>
      </c>
      <c r="P8" s="31" t="s">
        <v>175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232</v>
      </c>
      <c r="L9" s="32"/>
      <c r="M9" s="32" t="s">
        <v>228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9" t="s">
        <v>26</v>
      </c>
      <c r="C11" s="70"/>
      <c r="D11" s="70"/>
      <c r="E11" s="70"/>
      <c r="F11" s="70"/>
      <c r="G11" s="78">
        <v>7.6235689749532289</v>
      </c>
      <c r="H11" s="70"/>
      <c r="I11" s="70"/>
      <c r="J11" s="93">
        <v>4.8515298924742628E-2</v>
      </c>
      <c r="K11" s="78"/>
      <c r="L11" s="80"/>
      <c r="M11" s="78">
        <v>82020.782839999985</v>
      </c>
      <c r="N11" s="70"/>
      <c r="O11" s="79">
        <f>M11/$M$11</f>
        <v>1</v>
      </c>
      <c r="P11" s="79">
        <f>M11/'סכום נכסי הקרן'!$C$42</f>
        <v>0.28725951543446598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221</v>
      </c>
      <c r="C12" s="72"/>
      <c r="D12" s="72"/>
      <c r="E12" s="72"/>
      <c r="F12" s="72"/>
      <c r="G12" s="81">
        <v>7.6235689749532298</v>
      </c>
      <c r="H12" s="72"/>
      <c r="I12" s="72"/>
      <c r="J12" s="94">
        <v>4.85152989247426E-2</v>
      </c>
      <c r="K12" s="81"/>
      <c r="L12" s="83"/>
      <c r="M12" s="81">
        <v>82020.782839999985</v>
      </c>
      <c r="N12" s="72"/>
      <c r="O12" s="82">
        <f t="shared" ref="O12:O75" si="0">M12/$M$11</f>
        <v>1</v>
      </c>
      <c r="P12" s="82">
        <f>M12/'סכום נכסי הקרן'!$C$42</f>
        <v>0.28725951543446598</v>
      </c>
    </row>
    <row r="13" spans="2:72">
      <c r="B13" s="92" t="s">
        <v>62</v>
      </c>
      <c r="C13" s="72"/>
      <c r="D13" s="72"/>
      <c r="E13" s="72"/>
      <c r="F13" s="72"/>
      <c r="G13" s="81">
        <v>7.6235689749532298</v>
      </c>
      <c r="H13" s="72"/>
      <c r="I13" s="72"/>
      <c r="J13" s="94">
        <v>4.85152989247426E-2</v>
      </c>
      <c r="K13" s="81"/>
      <c r="L13" s="83"/>
      <c r="M13" s="81">
        <v>82020.782839999985</v>
      </c>
      <c r="N13" s="72"/>
      <c r="O13" s="82">
        <f t="shared" si="0"/>
        <v>1</v>
      </c>
      <c r="P13" s="82">
        <f>M13/'סכום נכסי הקרן'!$C$42</f>
        <v>0.28725951543446598</v>
      </c>
    </row>
    <row r="14" spans="2:72">
      <c r="B14" s="77" t="s">
        <v>1232</v>
      </c>
      <c r="C14" s="74" t="s">
        <v>1233</v>
      </c>
      <c r="D14" s="74" t="s">
        <v>253</v>
      </c>
      <c r="E14" s="74"/>
      <c r="F14" s="96">
        <v>40148</v>
      </c>
      <c r="G14" s="84">
        <v>4.03</v>
      </c>
      <c r="H14" s="87" t="s">
        <v>155</v>
      </c>
      <c r="I14" s="88">
        <v>4.8000000000000001E-2</v>
      </c>
      <c r="J14" s="88">
        <v>4.8499999999999995E-2</v>
      </c>
      <c r="K14" s="84">
        <v>672000</v>
      </c>
      <c r="L14" s="86">
        <v>108.9432</v>
      </c>
      <c r="M14" s="84">
        <v>732.02761999999996</v>
      </c>
      <c r="N14" s="74"/>
      <c r="O14" s="85">
        <f t="shared" si="0"/>
        <v>8.9249040871505064E-3</v>
      </c>
      <c r="P14" s="85">
        <f>M14/'סכום נכסי הקרן'!$C$42</f>
        <v>2.563763623373939E-3</v>
      </c>
    </row>
    <row r="15" spans="2:72">
      <c r="B15" s="77" t="s">
        <v>1234</v>
      </c>
      <c r="C15" s="74" t="s">
        <v>1235</v>
      </c>
      <c r="D15" s="74" t="s">
        <v>253</v>
      </c>
      <c r="E15" s="74"/>
      <c r="F15" s="96">
        <v>40452</v>
      </c>
      <c r="G15" s="84">
        <v>4.66</v>
      </c>
      <c r="H15" s="87" t="s">
        <v>155</v>
      </c>
      <c r="I15" s="88">
        <v>4.8000000000000001E-2</v>
      </c>
      <c r="J15" s="88">
        <v>4.8599999999999997E-2</v>
      </c>
      <c r="K15" s="84">
        <v>731000</v>
      </c>
      <c r="L15" s="86">
        <v>107.7252</v>
      </c>
      <c r="M15" s="84">
        <v>787.37791000000004</v>
      </c>
      <c r="N15" s="74"/>
      <c r="O15" s="85">
        <f t="shared" si="0"/>
        <v>9.5997365879323289E-3</v>
      </c>
      <c r="P15" s="85">
        <f>M15/'סכום נכסי הקרן'!$C$42</f>
        <v>2.7576156805479545E-3</v>
      </c>
    </row>
    <row r="16" spans="2:72">
      <c r="B16" s="77" t="s">
        <v>1236</v>
      </c>
      <c r="C16" s="74" t="s">
        <v>1237</v>
      </c>
      <c r="D16" s="74" t="s">
        <v>253</v>
      </c>
      <c r="E16" s="74"/>
      <c r="F16" s="96">
        <v>40909</v>
      </c>
      <c r="G16" s="84">
        <v>5.54</v>
      </c>
      <c r="H16" s="87" t="s">
        <v>155</v>
      </c>
      <c r="I16" s="88">
        <v>4.8000000000000001E-2</v>
      </c>
      <c r="J16" s="88">
        <v>4.8499999999999995E-2</v>
      </c>
      <c r="K16" s="84">
        <v>593000</v>
      </c>
      <c r="L16" s="86">
        <v>105.64</v>
      </c>
      <c r="M16" s="84">
        <v>626.46746999999993</v>
      </c>
      <c r="N16" s="74"/>
      <c r="O16" s="85">
        <f t="shared" si="0"/>
        <v>7.6379113720734153E-3</v>
      </c>
      <c r="P16" s="85">
        <f>M16/'סכום נכסי הקרן'!$C$42</f>
        <v>2.1940627196732065E-3</v>
      </c>
    </row>
    <row r="17" spans="2:16">
      <c r="B17" s="77" t="s">
        <v>1238</v>
      </c>
      <c r="C17" s="74">
        <v>8790</v>
      </c>
      <c r="D17" s="74" t="s">
        <v>253</v>
      </c>
      <c r="E17" s="74"/>
      <c r="F17" s="96">
        <v>41030</v>
      </c>
      <c r="G17" s="84">
        <v>5.87</v>
      </c>
      <c r="H17" s="87" t="s">
        <v>155</v>
      </c>
      <c r="I17" s="88">
        <v>4.8000000000000001E-2</v>
      </c>
      <c r="J17" s="88">
        <v>4.8600000000000004E-2</v>
      </c>
      <c r="K17" s="84">
        <v>3484000</v>
      </c>
      <c r="L17" s="86">
        <v>103.5437</v>
      </c>
      <c r="M17" s="84">
        <v>3607.6174599999999</v>
      </c>
      <c r="N17" s="74"/>
      <c r="O17" s="85">
        <f t="shared" si="0"/>
        <v>4.3984187118007279E-2</v>
      </c>
      <c r="P17" s="85">
        <f>M17/'סכום נכסי הקרן'!$C$42</f>
        <v>1.263487627829765E-2</v>
      </c>
    </row>
    <row r="18" spans="2:16">
      <c r="B18" s="77" t="s">
        <v>1239</v>
      </c>
      <c r="C18" s="74" t="s">
        <v>1240</v>
      </c>
      <c r="D18" s="74" t="s">
        <v>253</v>
      </c>
      <c r="E18" s="74"/>
      <c r="F18" s="96">
        <v>41091</v>
      </c>
      <c r="G18" s="84">
        <v>5.89</v>
      </c>
      <c r="H18" s="87" t="s">
        <v>155</v>
      </c>
      <c r="I18" s="88">
        <v>4.8000000000000001E-2</v>
      </c>
      <c r="J18" s="88">
        <v>4.8500000000000008E-2</v>
      </c>
      <c r="K18" s="84">
        <v>743000</v>
      </c>
      <c r="L18" s="86">
        <v>104.29219999999999</v>
      </c>
      <c r="M18" s="84">
        <v>775.15971999999999</v>
      </c>
      <c r="N18" s="74"/>
      <c r="O18" s="85">
        <f t="shared" si="0"/>
        <v>9.4507720258184269E-3</v>
      </c>
      <c r="P18" s="85">
        <f>M18/'סכום נכסי הקרן'!$C$42</f>
        <v>2.7148241926182076E-3</v>
      </c>
    </row>
    <row r="19" spans="2:16">
      <c r="B19" s="77" t="s">
        <v>1241</v>
      </c>
      <c r="C19" s="74">
        <v>8793</v>
      </c>
      <c r="D19" s="74" t="s">
        <v>253</v>
      </c>
      <c r="E19" s="74"/>
      <c r="F19" s="96">
        <v>41122</v>
      </c>
      <c r="G19" s="84">
        <v>5.98</v>
      </c>
      <c r="H19" s="87" t="s">
        <v>155</v>
      </c>
      <c r="I19" s="88">
        <v>4.8000000000000001E-2</v>
      </c>
      <c r="J19" s="88">
        <v>4.8499999999999995E-2</v>
      </c>
      <c r="K19" s="84">
        <v>2280000</v>
      </c>
      <c r="L19" s="86">
        <v>104.2137</v>
      </c>
      <c r="M19" s="84">
        <v>2376.0713100000003</v>
      </c>
      <c r="N19" s="74"/>
      <c r="O19" s="85">
        <f t="shared" si="0"/>
        <v>2.8969137183621652E-2</v>
      </c>
      <c r="P19" s="85">
        <f>M19/'סכום נכסי הקרן'!$C$42</f>
        <v>8.3216603099217253E-3</v>
      </c>
    </row>
    <row r="20" spans="2:16">
      <c r="B20" s="77" t="s">
        <v>1242</v>
      </c>
      <c r="C20" s="74" t="s">
        <v>1243</v>
      </c>
      <c r="D20" s="74" t="s">
        <v>253</v>
      </c>
      <c r="E20" s="74"/>
      <c r="F20" s="96">
        <v>41154</v>
      </c>
      <c r="G20" s="84">
        <v>6.06</v>
      </c>
      <c r="H20" s="87" t="s">
        <v>155</v>
      </c>
      <c r="I20" s="88">
        <v>4.8000000000000001E-2</v>
      </c>
      <c r="J20" s="88">
        <v>4.8499999999999995E-2</v>
      </c>
      <c r="K20" s="84">
        <v>1823000</v>
      </c>
      <c r="L20" s="86">
        <v>103.6961</v>
      </c>
      <c r="M20" s="84">
        <v>1890.38005</v>
      </c>
      <c r="N20" s="74"/>
      <c r="O20" s="85">
        <f t="shared" si="0"/>
        <v>2.3047573853173433E-2</v>
      </c>
      <c r="P20" s="85">
        <f>M20/'סכום נכסי הקרן'!$C$42</f>
        <v>6.6206348970026686E-3</v>
      </c>
    </row>
    <row r="21" spans="2:16">
      <c r="B21" s="77" t="s">
        <v>1244</v>
      </c>
      <c r="C21" s="74" t="s">
        <v>1245</v>
      </c>
      <c r="D21" s="74" t="s">
        <v>253</v>
      </c>
      <c r="E21" s="74"/>
      <c r="F21" s="96">
        <v>41184</v>
      </c>
      <c r="G21" s="84">
        <v>6.1400000000000006</v>
      </c>
      <c r="H21" s="87" t="s">
        <v>155</v>
      </c>
      <c r="I21" s="88">
        <v>4.8000000000000001E-2</v>
      </c>
      <c r="J21" s="88">
        <v>4.8600000000000004E-2</v>
      </c>
      <c r="K21" s="84">
        <v>1919000</v>
      </c>
      <c r="L21" s="86">
        <v>102.20959999999999</v>
      </c>
      <c r="M21" s="84">
        <v>1961.3992800000001</v>
      </c>
      <c r="N21" s="74"/>
      <c r="O21" s="85">
        <f t="shared" si="0"/>
        <v>2.3913442570112398E-2</v>
      </c>
      <c r="P21" s="85">
        <f>M21/'סכום נכסי הקרן'!$C$42</f>
        <v>6.8693639250604179E-3</v>
      </c>
    </row>
    <row r="22" spans="2:16">
      <c r="B22" s="77" t="s">
        <v>1246</v>
      </c>
      <c r="C22" s="74" t="s">
        <v>1247</v>
      </c>
      <c r="D22" s="74" t="s">
        <v>253</v>
      </c>
      <c r="E22" s="74"/>
      <c r="F22" s="96">
        <v>41214</v>
      </c>
      <c r="G22" s="84">
        <v>6.2299999999999995</v>
      </c>
      <c r="H22" s="87" t="s">
        <v>155</v>
      </c>
      <c r="I22" s="88">
        <v>4.8000000000000001E-2</v>
      </c>
      <c r="J22" s="88">
        <v>4.8499999999999995E-2</v>
      </c>
      <c r="K22" s="84">
        <v>1336000</v>
      </c>
      <c r="L22" s="86">
        <v>101.82210000000001</v>
      </c>
      <c r="M22" s="84">
        <v>1360.3438100000001</v>
      </c>
      <c r="N22" s="74"/>
      <c r="O22" s="85">
        <f t="shared" si="0"/>
        <v>1.6585355112418973E-2</v>
      </c>
      <c r="P22" s="85">
        <f>M22/'סכום נכסי הקרן'!$C$42</f>
        <v>4.7643010729020163E-3</v>
      </c>
    </row>
    <row r="23" spans="2:16">
      <c r="B23" s="77" t="s">
        <v>1248</v>
      </c>
      <c r="C23" s="74" t="s">
        <v>1249</v>
      </c>
      <c r="D23" s="74" t="s">
        <v>253</v>
      </c>
      <c r="E23" s="74"/>
      <c r="F23" s="96">
        <v>41245</v>
      </c>
      <c r="G23" s="84">
        <v>6.3099999999999987</v>
      </c>
      <c r="H23" s="87" t="s">
        <v>155</v>
      </c>
      <c r="I23" s="88">
        <v>4.8000000000000001E-2</v>
      </c>
      <c r="J23" s="88">
        <v>4.8499999999999995E-2</v>
      </c>
      <c r="K23" s="84">
        <v>1910000</v>
      </c>
      <c r="L23" s="86">
        <v>101.59869999999999</v>
      </c>
      <c r="M23" s="84">
        <v>1940.5348200000001</v>
      </c>
      <c r="N23" s="74"/>
      <c r="O23" s="85">
        <f t="shared" si="0"/>
        <v>2.3659062408431901E-2</v>
      </c>
      <c r="P23" s="85">
        <f>M23/'סכום נכסי הקרן'!$C$42</f>
        <v>6.7962908030799376E-3</v>
      </c>
    </row>
    <row r="24" spans="2:16">
      <c r="B24" s="77" t="s">
        <v>1250</v>
      </c>
      <c r="C24" s="74" t="s">
        <v>1251</v>
      </c>
      <c r="D24" s="74" t="s">
        <v>253</v>
      </c>
      <c r="E24" s="74"/>
      <c r="F24" s="96">
        <v>41275</v>
      </c>
      <c r="G24" s="84">
        <v>6.25</v>
      </c>
      <c r="H24" s="87" t="s">
        <v>155</v>
      </c>
      <c r="I24" s="88">
        <v>4.8000000000000001E-2</v>
      </c>
      <c r="J24" s="88">
        <v>4.8500000000000008E-2</v>
      </c>
      <c r="K24" s="84">
        <v>1307000</v>
      </c>
      <c r="L24" s="86">
        <v>104.12520000000001</v>
      </c>
      <c r="M24" s="84">
        <v>1360.9231499999999</v>
      </c>
      <c r="N24" s="74"/>
      <c r="O24" s="85">
        <f t="shared" si="0"/>
        <v>1.6592418444173924E-2</v>
      </c>
      <c r="P24" s="85">
        <f>M24/'סכום נכסי הקרן'!$C$42</f>
        <v>4.7663300821592968E-3</v>
      </c>
    </row>
    <row r="25" spans="2:16">
      <c r="B25" s="77" t="s">
        <v>1252</v>
      </c>
      <c r="C25" s="74" t="s">
        <v>1253</v>
      </c>
      <c r="D25" s="74" t="s">
        <v>253</v>
      </c>
      <c r="E25" s="74"/>
      <c r="F25" s="96">
        <v>41334</v>
      </c>
      <c r="G25" s="84">
        <v>6.41</v>
      </c>
      <c r="H25" s="87" t="s">
        <v>155</v>
      </c>
      <c r="I25" s="88">
        <v>4.8000000000000001E-2</v>
      </c>
      <c r="J25" s="88">
        <v>4.8500000000000015E-2</v>
      </c>
      <c r="K25" s="84">
        <v>1280000</v>
      </c>
      <c r="L25" s="86">
        <v>103.2906</v>
      </c>
      <c r="M25" s="84">
        <v>1322.1199299999998</v>
      </c>
      <c r="N25" s="74"/>
      <c r="O25" s="85">
        <f t="shared" si="0"/>
        <v>1.6119328348512506E-2</v>
      </c>
      <c r="P25" s="85">
        <f>M25/'סכום נכסי הקרן'!$C$42</f>
        <v>4.6304304505227524E-3</v>
      </c>
    </row>
    <row r="26" spans="2:16">
      <c r="B26" s="77" t="s">
        <v>1254</v>
      </c>
      <c r="C26" s="74">
        <v>2704</v>
      </c>
      <c r="D26" s="74" t="s">
        <v>253</v>
      </c>
      <c r="E26" s="74"/>
      <c r="F26" s="96">
        <v>41395</v>
      </c>
      <c r="G26" s="84">
        <v>6.5799999999999992</v>
      </c>
      <c r="H26" s="87" t="s">
        <v>155</v>
      </c>
      <c r="I26" s="88">
        <v>4.8000000000000001E-2</v>
      </c>
      <c r="J26" s="88">
        <v>4.8499999999999995E-2</v>
      </c>
      <c r="K26" s="84">
        <v>961000</v>
      </c>
      <c r="L26" s="86">
        <v>102.2728</v>
      </c>
      <c r="M26" s="84">
        <v>982.84188000000006</v>
      </c>
      <c r="N26" s="74"/>
      <c r="O26" s="85">
        <f t="shared" si="0"/>
        <v>1.1982839543451499E-2</v>
      </c>
      <c r="P26" s="85">
        <f>M26/'סכום נכסי הקרן'!$C$42</f>
        <v>3.4421846807808354E-3</v>
      </c>
    </row>
    <row r="27" spans="2:16">
      <c r="B27" s="77" t="s">
        <v>1255</v>
      </c>
      <c r="C27" s="74" t="s">
        <v>1256</v>
      </c>
      <c r="D27" s="74" t="s">
        <v>253</v>
      </c>
      <c r="E27" s="74"/>
      <c r="F27" s="96">
        <v>41427</v>
      </c>
      <c r="G27" s="84">
        <v>6.66</v>
      </c>
      <c r="H27" s="87" t="s">
        <v>155</v>
      </c>
      <c r="I27" s="88">
        <v>4.8000000000000001E-2</v>
      </c>
      <c r="J27" s="88">
        <v>4.8499999999999995E-2</v>
      </c>
      <c r="K27" s="84">
        <v>856000</v>
      </c>
      <c r="L27" s="86">
        <v>101.4572</v>
      </c>
      <c r="M27" s="84">
        <v>868.47504000000004</v>
      </c>
      <c r="N27" s="74"/>
      <c r="O27" s="85">
        <f t="shared" si="0"/>
        <v>1.0588475383052076E-2</v>
      </c>
      <c r="P27" s="85">
        <f>M27/'סכום נכסי הקרן'!$C$42</f>
        <v>3.0416403077253109E-3</v>
      </c>
    </row>
    <row r="28" spans="2:16">
      <c r="B28" s="77" t="s">
        <v>1257</v>
      </c>
      <c r="C28" s="74">
        <v>8806</v>
      </c>
      <c r="D28" s="74" t="s">
        <v>253</v>
      </c>
      <c r="E28" s="74"/>
      <c r="F28" s="96">
        <v>41518</v>
      </c>
      <c r="G28" s="84">
        <v>6.75</v>
      </c>
      <c r="H28" s="87" t="s">
        <v>155</v>
      </c>
      <c r="I28" s="88">
        <v>4.8000000000000001E-2</v>
      </c>
      <c r="J28" s="88">
        <v>4.8499999999999995E-2</v>
      </c>
      <c r="K28" s="84">
        <v>206000</v>
      </c>
      <c r="L28" s="86">
        <v>101.584</v>
      </c>
      <c r="M28" s="84">
        <v>209.25534999999999</v>
      </c>
      <c r="N28" s="74"/>
      <c r="O28" s="85">
        <f t="shared" si="0"/>
        <v>2.5512479002815628E-3</v>
      </c>
      <c r="P28" s="85">
        <f>M28/'סכום נכסי הקרן'!$C$42</f>
        <v>7.3287023558808045E-4</v>
      </c>
    </row>
    <row r="29" spans="2:16">
      <c r="B29" s="77" t="s">
        <v>1258</v>
      </c>
      <c r="C29" s="74" t="s">
        <v>1259</v>
      </c>
      <c r="D29" s="74" t="s">
        <v>253</v>
      </c>
      <c r="E29" s="74"/>
      <c r="F29" s="96">
        <v>41548</v>
      </c>
      <c r="G29" s="84">
        <v>6.839999999999999</v>
      </c>
      <c r="H29" s="87" t="s">
        <v>155</v>
      </c>
      <c r="I29" s="88">
        <v>4.8000000000000001E-2</v>
      </c>
      <c r="J29" s="88">
        <v>4.8500000000000008E-2</v>
      </c>
      <c r="K29" s="84">
        <v>840000</v>
      </c>
      <c r="L29" s="86">
        <v>101.17740000000001</v>
      </c>
      <c r="M29" s="84">
        <v>849.94318999999996</v>
      </c>
      <c r="N29" s="74"/>
      <c r="O29" s="85">
        <f t="shared" si="0"/>
        <v>1.0362534476877716E-2</v>
      </c>
      <c r="P29" s="85">
        <f>M29/'סכום נכסי הקרן'!$C$42</f>
        <v>2.9767366325008397E-3</v>
      </c>
    </row>
    <row r="30" spans="2:16">
      <c r="B30" s="77" t="s">
        <v>1260</v>
      </c>
      <c r="C30" s="74" t="s">
        <v>1261</v>
      </c>
      <c r="D30" s="74" t="s">
        <v>253</v>
      </c>
      <c r="E30" s="74"/>
      <c r="F30" s="96">
        <v>41579</v>
      </c>
      <c r="G30" s="84">
        <v>6.92</v>
      </c>
      <c r="H30" s="87" t="s">
        <v>155</v>
      </c>
      <c r="I30" s="88">
        <v>4.8000000000000001E-2</v>
      </c>
      <c r="J30" s="88">
        <v>4.8500000000000008E-2</v>
      </c>
      <c r="K30" s="84">
        <v>315000</v>
      </c>
      <c r="L30" s="86">
        <v>100.77630000000001</v>
      </c>
      <c r="M30" s="84">
        <v>317.47113999999999</v>
      </c>
      <c r="N30" s="74"/>
      <c r="O30" s="85">
        <f t="shared" si="0"/>
        <v>3.8706182629261046E-3</v>
      </c>
      <c r="P30" s="85">
        <f>M30/'סכום נכסי הקרן'!$C$42</f>
        <v>1.1118719266399472E-3</v>
      </c>
    </row>
    <row r="31" spans="2:16">
      <c r="B31" s="77" t="s">
        <v>1262</v>
      </c>
      <c r="C31" s="74" t="s">
        <v>1263</v>
      </c>
      <c r="D31" s="74" t="s">
        <v>253</v>
      </c>
      <c r="E31" s="74"/>
      <c r="F31" s="96">
        <v>41609</v>
      </c>
      <c r="G31" s="84">
        <v>7.0000000000000009</v>
      </c>
      <c r="H31" s="87" t="s">
        <v>155</v>
      </c>
      <c r="I31" s="88">
        <v>4.8000000000000001E-2</v>
      </c>
      <c r="J31" s="88">
        <v>4.8599999999999997E-2</v>
      </c>
      <c r="K31" s="84">
        <v>1456000</v>
      </c>
      <c r="L31" s="86">
        <v>100.3827</v>
      </c>
      <c r="M31" s="84">
        <v>1461.24865</v>
      </c>
      <c r="N31" s="74"/>
      <c r="O31" s="85">
        <f t="shared" si="0"/>
        <v>1.7815590139519819E-2</v>
      </c>
      <c r="P31" s="85">
        <f>M31/'סכום נכסי הקרן'!$C$42</f>
        <v>5.1176977906575126E-3</v>
      </c>
    </row>
    <row r="32" spans="2:16">
      <c r="B32" s="77" t="s">
        <v>1264</v>
      </c>
      <c r="C32" s="74" t="s">
        <v>1265</v>
      </c>
      <c r="D32" s="74" t="s">
        <v>253</v>
      </c>
      <c r="E32" s="74"/>
      <c r="F32" s="96">
        <v>41672</v>
      </c>
      <c r="G32" s="84">
        <v>7.0100000000000007</v>
      </c>
      <c r="H32" s="87" t="s">
        <v>155</v>
      </c>
      <c r="I32" s="88">
        <v>4.8000000000000001E-2</v>
      </c>
      <c r="J32" s="88">
        <v>4.8500000000000008E-2</v>
      </c>
      <c r="K32" s="84">
        <v>454000</v>
      </c>
      <c r="L32" s="86">
        <v>101.979</v>
      </c>
      <c r="M32" s="84">
        <v>462.97879</v>
      </c>
      <c r="N32" s="74"/>
      <c r="O32" s="85">
        <f t="shared" si="0"/>
        <v>5.644652171915311E-3</v>
      </c>
      <c r="P32" s="85">
        <f>M32/'סכום נכסי הקרן'!$C$42</f>
        <v>1.6214800477004981E-3</v>
      </c>
    </row>
    <row r="33" spans="2:16">
      <c r="B33" s="77" t="s">
        <v>1266</v>
      </c>
      <c r="C33" s="74" t="s">
        <v>1267</v>
      </c>
      <c r="D33" s="74" t="s">
        <v>253</v>
      </c>
      <c r="E33" s="74"/>
      <c r="F33" s="96">
        <v>41700</v>
      </c>
      <c r="G33" s="84">
        <v>7.08</v>
      </c>
      <c r="H33" s="87" t="s">
        <v>155</v>
      </c>
      <c r="I33" s="88">
        <v>4.8000000000000001E-2</v>
      </c>
      <c r="J33" s="88">
        <v>4.8499999999999995E-2</v>
      </c>
      <c r="K33" s="84">
        <v>91000</v>
      </c>
      <c r="L33" s="86">
        <v>101.86369999999999</v>
      </c>
      <c r="M33" s="84">
        <v>92.696119999999993</v>
      </c>
      <c r="N33" s="74"/>
      <c r="O33" s="85">
        <f t="shared" si="0"/>
        <v>1.1301540510875721E-3</v>
      </c>
      <c r="P33" s="85">
        <f>M33/'סכום נכסי הקרן'!$C$42</f>
        <v>3.2464750508171464E-4</v>
      </c>
    </row>
    <row r="34" spans="2:16">
      <c r="B34" s="77" t="s">
        <v>1268</v>
      </c>
      <c r="C34" s="74" t="s">
        <v>1269</v>
      </c>
      <c r="D34" s="74" t="s">
        <v>253</v>
      </c>
      <c r="E34" s="74"/>
      <c r="F34" s="96">
        <v>41730</v>
      </c>
      <c r="G34" s="84">
        <v>7.17</v>
      </c>
      <c r="H34" s="87" t="s">
        <v>155</v>
      </c>
      <c r="I34" s="88">
        <v>4.8000000000000001E-2</v>
      </c>
      <c r="J34" s="88">
        <v>4.8499999999999995E-2</v>
      </c>
      <c r="K34" s="84">
        <v>314000</v>
      </c>
      <c r="L34" s="86">
        <v>101.6704</v>
      </c>
      <c r="M34" s="84">
        <v>319.24590000000001</v>
      </c>
      <c r="N34" s="74"/>
      <c r="O34" s="85">
        <f t="shared" si="0"/>
        <v>3.8922561934425942E-3</v>
      </c>
      <c r="P34" s="85">
        <f>M34/'סכום נכסי הקרן'!$C$42</f>
        <v>1.1180876280751186E-3</v>
      </c>
    </row>
    <row r="35" spans="2:16">
      <c r="B35" s="77" t="s">
        <v>1270</v>
      </c>
      <c r="C35" s="74" t="s">
        <v>1271</v>
      </c>
      <c r="D35" s="74" t="s">
        <v>253</v>
      </c>
      <c r="E35" s="74"/>
      <c r="F35" s="96">
        <v>41760</v>
      </c>
      <c r="G35" s="84">
        <v>7.2500000000000009</v>
      </c>
      <c r="H35" s="87" t="s">
        <v>155</v>
      </c>
      <c r="I35" s="88">
        <v>4.8000000000000001E-2</v>
      </c>
      <c r="J35" s="88">
        <v>4.8500000000000008E-2</v>
      </c>
      <c r="K35" s="84">
        <v>434000</v>
      </c>
      <c r="L35" s="86">
        <v>100.97110000000001</v>
      </c>
      <c r="M35" s="84">
        <v>438.21474000000001</v>
      </c>
      <c r="N35" s="74"/>
      <c r="O35" s="85">
        <f t="shared" si="0"/>
        <v>5.342728084598224E-3</v>
      </c>
      <c r="P35" s="85">
        <f>M35/'סכום נכסי הקרן'!$C$42</f>
        <v>1.5347494806797982E-3</v>
      </c>
    </row>
    <row r="36" spans="2:16">
      <c r="B36" s="77" t="s">
        <v>1272</v>
      </c>
      <c r="C36" s="74" t="s">
        <v>1273</v>
      </c>
      <c r="D36" s="74" t="s">
        <v>253</v>
      </c>
      <c r="E36" s="74"/>
      <c r="F36" s="96">
        <v>41791</v>
      </c>
      <c r="G36" s="84">
        <v>7.3400000000000016</v>
      </c>
      <c r="H36" s="87" t="s">
        <v>155</v>
      </c>
      <c r="I36" s="88">
        <v>4.8000000000000001E-2</v>
      </c>
      <c r="J36" s="88">
        <v>4.8499999999999988E-2</v>
      </c>
      <c r="K36" s="84">
        <v>417000</v>
      </c>
      <c r="L36" s="86">
        <v>100.468</v>
      </c>
      <c r="M36" s="84">
        <v>418.97593999999998</v>
      </c>
      <c r="N36" s="74"/>
      <c r="O36" s="85">
        <f t="shared" si="0"/>
        <v>5.1081680214794698E-3</v>
      </c>
      <c r="P36" s="85">
        <f>M36/'סכום נכסי הקרן'!$C$42</f>
        <v>1.4673698706080271E-3</v>
      </c>
    </row>
    <row r="37" spans="2:16">
      <c r="B37" s="77" t="s">
        <v>1274</v>
      </c>
      <c r="C37" s="74" t="s">
        <v>1275</v>
      </c>
      <c r="D37" s="74" t="s">
        <v>253</v>
      </c>
      <c r="E37" s="74"/>
      <c r="F37" s="96">
        <v>41821</v>
      </c>
      <c r="G37" s="84">
        <v>7.2499999999999991</v>
      </c>
      <c r="H37" s="87" t="s">
        <v>155</v>
      </c>
      <c r="I37" s="88">
        <v>4.8000000000000001E-2</v>
      </c>
      <c r="J37" s="88">
        <v>4.8500000000000008E-2</v>
      </c>
      <c r="K37" s="84">
        <v>601000</v>
      </c>
      <c r="L37" s="86">
        <v>102.39019999999999</v>
      </c>
      <c r="M37" s="84">
        <v>615.36651000000006</v>
      </c>
      <c r="N37" s="74"/>
      <c r="O37" s="85">
        <f t="shared" si="0"/>
        <v>7.5025681137475984E-3</v>
      </c>
      <c r="P37" s="85">
        <f>M37/'סכום נכסי הקרן'!$C$42</f>
        <v>2.1551840808692103E-3</v>
      </c>
    </row>
    <row r="38" spans="2:16">
      <c r="B38" s="77" t="s">
        <v>1276</v>
      </c>
      <c r="C38" s="74" t="s">
        <v>1277</v>
      </c>
      <c r="D38" s="74" t="s">
        <v>253</v>
      </c>
      <c r="E38" s="74"/>
      <c r="F38" s="96">
        <v>41852</v>
      </c>
      <c r="G38" s="84">
        <v>7.33</v>
      </c>
      <c r="H38" s="87" t="s">
        <v>155</v>
      </c>
      <c r="I38" s="88">
        <v>4.8000000000000001E-2</v>
      </c>
      <c r="J38" s="88">
        <v>4.8600000000000004E-2</v>
      </c>
      <c r="K38" s="84">
        <v>3175000</v>
      </c>
      <c r="L38" s="86">
        <v>101.9851</v>
      </c>
      <c r="M38" s="84">
        <v>3237.5396299999998</v>
      </c>
      <c r="N38" s="74"/>
      <c r="O38" s="85">
        <f t="shared" si="0"/>
        <v>3.9472186412991814E-2</v>
      </c>
      <c r="P38" s="85">
        <f>M38/'סכום נכסי הקרן'!$C$42</f>
        <v>1.133876114213494E-2</v>
      </c>
    </row>
    <row r="39" spans="2:16">
      <c r="B39" s="77" t="s">
        <v>1278</v>
      </c>
      <c r="C39" s="74" t="s">
        <v>1279</v>
      </c>
      <c r="D39" s="74" t="s">
        <v>253</v>
      </c>
      <c r="E39" s="74"/>
      <c r="F39" s="96">
        <v>41883</v>
      </c>
      <c r="G39" s="84">
        <v>7.41</v>
      </c>
      <c r="H39" s="87" t="s">
        <v>155</v>
      </c>
      <c r="I39" s="88">
        <v>4.8000000000000001E-2</v>
      </c>
      <c r="J39" s="88">
        <v>4.8500000000000008E-2</v>
      </c>
      <c r="K39" s="84">
        <v>392000</v>
      </c>
      <c r="L39" s="86">
        <v>101.57689999999999</v>
      </c>
      <c r="M39" s="84">
        <v>398.20966999999996</v>
      </c>
      <c r="N39" s="74"/>
      <c r="O39" s="85">
        <f t="shared" si="0"/>
        <v>4.8549849954102201E-3</v>
      </c>
      <c r="P39" s="85">
        <f>M39/'סכום נכסי הקרן'!$C$42</f>
        <v>1.3946406372231427E-3</v>
      </c>
    </row>
    <row r="40" spans="2:16">
      <c r="B40" s="77" t="s">
        <v>1280</v>
      </c>
      <c r="C40" s="74" t="s">
        <v>1281</v>
      </c>
      <c r="D40" s="74" t="s">
        <v>253</v>
      </c>
      <c r="E40" s="74"/>
      <c r="F40" s="96">
        <v>41913</v>
      </c>
      <c r="G40" s="84">
        <v>7.5</v>
      </c>
      <c r="H40" s="87" t="s">
        <v>155</v>
      </c>
      <c r="I40" s="88">
        <v>4.8000000000000001E-2</v>
      </c>
      <c r="J40" s="88">
        <v>4.8499999999999995E-2</v>
      </c>
      <c r="K40" s="84">
        <v>522000</v>
      </c>
      <c r="L40" s="86">
        <v>101.1833</v>
      </c>
      <c r="M40" s="84">
        <v>528.17691000000002</v>
      </c>
      <c r="N40" s="74"/>
      <c r="O40" s="85">
        <f t="shared" si="0"/>
        <v>6.4395497301010657E-3</v>
      </c>
      <c r="P40" s="85">
        <f>M40/'סכום נכסי הקרן'!$C$42</f>
        <v>1.8498219350849782E-3</v>
      </c>
    </row>
    <row r="41" spans="2:16">
      <c r="B41" s="77" t="s">
        <v>1282</v>
      </c>
      <c r="C41" s="74" t="s">
        <v>1283</v>
      </c>
      <c r="D41" s="74" t="s">
        <v>253</v>
      </c>
      <c r="E41" s="74"/>
      <c r="F41" s="96">
        <v>41945</v>
      </c>
      <c r="G41" s="84">
        <v>7.5900000000000007</v>
      </c>
      <c r="H41" s="87" t="s">
        <v>155</v>
      </c>
      <c r="I41" s="88">
        <v>4.8000000000000001E-2</v>
      </c>
      <c r="J41" s="88">
        <v>4.8499999999999995E-2</v>
      </c>
      <c r="K41" s="84">
        <v>1216000</v>
      </c>
      <c r="L41" s="86">
        <v>100.7705</v>
      </c>
      <c r="M41" s="84">
        <v>1225.3734899999999</v>
      </c>
      <c r="N41" s="74"/>
      <c r="O41" s="85">
        <f t="shared" si="0"/>
        <v>1.4939792666821616E-2</v>
      </c>
      <c r="P41" s="85">
        <f>M41/'סכום נכסי הקרן'!$C$42</f>
        <v>4.2915976021625649E-3</v>
      </c>
    </row>
    <row r="42" spans="2:16">
      <c r="B42" s="77" t="s">
        <v>1284</v>
      </c>
      <c r="C42" s="74" t="s">
        <v>1285</v>
      </c>
      <c r="D42" s="74" t="s">
        <v>253</v>
      </c>
      <c r="E42" s="74"/>
      <c r="F42" s="96">
        <v>41974</v>
      </c>
      <c r="G42" s="84">
        <v>7.67</v>
      </c>
      <c r="H42" s="87" t="s">
        <v>155</v>
      </c>
      <c r="I42" s="88">
        <v>4.8000000000000001E-2</v>
      </c>
      <c r="J42" s="88">
        <v>4.8499999999999995E-2</v>
      </c>
      <c r="K42" s="84">
        <v>711000</v>
      </c>
      <c r="L42" s="86">
        <v>100.3832</v>
      </c>
      <c r="M42" s="84">
        <v>713.74635999999998</v>
      </c>
      <c r="N42" s="74"/>
      <c r="O42" s="85">
        <f t="shared" si="0"/>
        <v>8.702018382247375E-3</v>
      </c>
      <c r="P42" s="85">
        <f>M42/'סכום נכסי הקרן'!$C$42</f>
        <v>2.4997375837861966E-3</v>
      </c>
    </row>
    <row r="43" spans="2:16">
      <c r="B43" s="77" t="s">
        <v>1286</v>
      </c>
      <c r="C43" s="74" t="s">
        <v>1287</v>
      </c>
      <c r="D43" s="74" t="s">
        <v>253</v>
      </c>
      <c r="E43" s="74"/>
      <c r="F43" s="96">
        <v>42005</v>
      </c>
      <c r="G43" s="84">
        <v>7.57</v>
      </c>
      <c r="H43" s="87" t="s">
        <v>155</v>
      </c>
      <c r="I43" s="88">
        <v>4.8000000000000001E-2</v>
      </c>
      <c r="J43" s="88">
        <v>4.8499999999999995E-2</v>
      </c>
      <c r="K43" s="84">
        <v>924000</v>
      </c>
      <c r="L43" s="86">
        <v>102.3888</v>
      </c>
      <c r="M43" s="84">
        <v>946.08578</v>
      </c>
      <c r="N43" s="74"/>
      <c r="O43" s="85">
        <f t="shared" si="0"/>
        <v>1.1534708000112038E-2</v>
      </c>
      <c r="P43" s="85">
        <f>M43/'סכום נכסי הקרן'!$C$42</f>
        <v>3.3134546307902421E-3</v>
      </c>
    </row>
    <row r="44" spans="2:16">
      <c r="B44" s="77" t="s">
        <v>1288</v>
      </c>
      <c r="C44" s="74" t="s">
        <v>1289</v>
      </c>
      <c r="D44" s="74" t="s">
        <v>253</v>
      </c>
      <c r="E44" s="74"/>
      <c r="F44" s="96">
        <v>42036</v>
      </c>
      <c r="G44" s="84">
        <v>7.65</v>
      </c>
      <c r="H44" s="87" t="s">
        <v>155</v>
      </c>
      <c r="I44" s="88">
        <v>4.8000000000000001E-2</v>
      </c>
      <c r="J44" s="88">
        <v>4.8499999999999995E-2</v>
      </c>
      <c r="K44" s="84">
        <v>10161000</v>
      </c>
      <c r="L44" s="86">
        <v>101.98099999999999</v>
      </c>
      <c r="M44" s="84">
        <v>10360.15509</v>
      </c>
      <c r="N44" s="74"/>
      <c r="O44" s="85">
        <f t="shared" si="0"/>
        <v>0.12631134123908347</v>
      </c>
      <c r="P44" s="85">
        <f>M44/'סכום נכסי הקרן'!$C$42</f>
        <v>3.6284134678216597E-2</v>
      </c>
    </row>
    <row r="45" spans="2:16">
      <c r="B45" s="77" t="s">
        <v>1290</v>
      </c>
      <c r="C45" s="74" t="s">
        <v>1291</v>
      </c>
      <c r="D45" s="74" t="s">
        <v>253</v>
      </c>
      <c r="E45" s="74"/>
      <c r="F45" s="96">
        <v>42064</v>
      </c>
      <c r="G45" s="84">
        <v>7.73</v>
      </c>
      <c r="H45" s="87" t="s">
        <v>155</v>
      </c>
      <c r="I45" s="88">
        <v>4.8000000000000001E-2</v>
      </c>
      <c r="J45" s="88">
        <v>4.8499999999999995E-2</v>
      </c>
      <c r="K45" s="84">
        <v>4290000</v>
      </c>
      <c r="L45" s="86">
        <v>102.3651</v>
      </c>
      <c r="M45" s="84">
        <v>4392.0145700000003</v>
      </c>
      <c r="N45" s="74"/>
      <c r="O45" s="85">
        <f t="shared" si="0"/>
        <v>5.3547581697282923E-2</v>
      </c>
      <c r="P45" s="85">
        <f>M45/'סכום נכסי הקרן'!$C$42</f>
        <v>1.538205237104897E-2</v>
      </c>
    </row>
    <row r="46" spans="2:16">
      <c r="B46" s="77" t="s">
        <v>1292</v>
      </c>
      <c r="C46" s="74" t="s">
        <v>1293</v>
      </c>
      <c r="D46" s="74" t="s">
        <v>253</v>
      </c>
      <c r="E46" s="74"/>
      <c r="F46" s="96">
        <v>42095</v>
      </c>
      <c r="G46" s="84">
        <v>7.81</v>
      </c>
      <c r="H46" s="87" t="s">
        <v>155</v>
      </c>
      <c r="I46" s="88">
        <v>4.8000000000000001E-2</v>
      </c>
      <c r="J46" s="88">
        <v>4.8500000000000008E-2</v>
      </c>
      <c r="K46" s="84">
        <v>402000</v>
      </c>
      <c r="L46" s="86">
        <v>102.71250000000001</v>
      </c>
      <c r="M46" s="84">
        <v>412.90484000000004</v>
      </c>
      <c r="N46" s="74"/>
      <c r="O46" s="85">
        <f t="shared" si="0"/>
        <v>5.0341489766741673E-3</v>
      </c>
      <c r="P46" s="85">
        <f>M46/'סכום נכסי הקרן'!$C$42</f>
        <v>1.446107195664334E-3</v>
      </c>
    </row>
    <row r="47" spans="2:16">
      <c r="B47" s="77" t="s">
        <v>1294</v>
      </c>
      <c r="C47" s="74" t="s">
        <v>1295</v>
      </c>
      <c r="D47" s="74" t="s">
        <v>253</v>
      </c>
      <c r="E47" s="74"/>
      <c r="F47" s="96">
        <v>42156</v>
      </c>
      <c r="G47" s="84">
        <v>7.98</v>
      </c>
      <c r="H47" s="87" t="s">
        <v>155</v>
      </c>
      <c r="I47" s="88">
        <v>4.8000000000000001E-2</v>
      </c>
      <c r="J47" s="88">
        <v>4.8500000000000008E-2</v>
      </c>
      <c r="K47" s="84">
        <v>365000</v>
      </c>
      <c r="L47" s="86">
        <v>100.9816</v>
      </c>
      <c r="M47" s="84">
        <v>368.58113000000003</v>
      </c>
      <c r="N47" s="74"/>
      <c r="O47" s="85">
        <f t="shared" si="0"/>
        <v>4.4937528908862105E-3</v>
      </c>
      <c r="P47" s="85">
        <f>M47/'סכום נכסי הקרן'!$C$42</f>
        <v>1.2908732779182035E-3</v>
      </c>
    </row>
    <row r="48" spans="2:16">
      <c r="B48" s="77" t="s">
        <v>1296</v>
      </c>
      <c r="C48" s="74" t="s">
        <v>1297</v>
      </c>
      <c r="D48" s="74" t="s">
        <v>253</v>
      </c>
      <c r="E48" s="74"/>
      <c r="F48" s="96">
        <v>42218</v>
      </c>
      <c r="G48" s="84">
        <v>7.96</v>
      </c>
      <c r="H48" s="87" t="s">
        <v>155</v>
      </c>
      <c r="I48" s="88">
        <v>4.8000000000000001E-2</v>
      </c>
      <c r="J48" s="88">
        <v>4.8500000000000008E-2</v>
      </c>
      <c r="K48" s="84">
        <v>461000</v>
      </c>
      <c r="L48" s="86">
        <v>102.0635</v>
      </c>
      <c r="M48" s="84">
        <v>470.51282000000003</v>
      </c>
      <c r="N48" s="74"/>
      <c r="O48" s="85">
        <f t="shared" si="0"/>
        <v>5.7365073059329526E-3</v>
      </c>
      <c r="P48" s="85">
        <f>M48/'סכום נכסי הקרן'!$C$42</f>
        <v>1.6478663089885737E-3</v>
      </c>
    </row>
    <row r="49" spans="2:16">
      <c r="B49" s="77" t="s">
        <v>1298</v>
      </c>
      <c r="C49" s="74" t="s">
        <v>1299</v>
      </c>
      <c r="D49" s="74" t="s">
        <v>253</v>
      </c>
      <c r="E49" s="74"/>
      <c r="F49" s="96">
        <v>42309</v>
      </c>
      <c r="G49" s="84">
        <v>8.2099999999999991</v>
      </c>
      <c r="H49" s="87" t="s">
        <v>155</v>
      </c>
      <c r="I49" s="88">
        <v>4.8000000000000001E-2</v>
      </c>
      <c r="J49" s="88">
        <v>4.8499999999999995E-2</v>
      </c>
      <c r="K49" s="84">
        <v>1143000</v>
      </c>
      <c r="L49" s="86">
        <v>101.27889999999999</v>
      </c>
      <c r="M49" s="84">
        <v>1157.61752</v>
      </c>
      <c r="N49" s="74"/>
      <c r="O49" s="85">
        <f t="shared" si="0"/>
        <v>1.4113709719866899E-2</v>
      </c>
      <c r="P49" s="85">
        <f>M49/'סכום נכסי הקרן'!$C$42</f>
        <v>4.0542974151116778E-3</v>
      </c>
    </row>
    <row r="50" spans="2:16">
      <c r="B50" s="77" t="s">
        <v>1300</v>
      </c>
      <c r="C50" s="74" t="s">
        <v>1301</v>
      </c>
      <c r="D50" s="74" t="s">
        <v>253</v>
      </c>
      <c r="E50" s="74"/>
      <c r="F50" s="96">
        <v>42339</v>
      </c>
      <c r="G50" s="84">
        <v>8.2899999999999991</v>
      </c>
      <c r="H50" s="87" t="s">
        <v>155</v>
      </c>
      <c r="I50" s="88">
        <v>4.8000000000000001E-2</v>
      </c>
      <c r="J50" s="88">
        <v>4.8500000000000008E-2</v>
      </c>
      <c r="K50" s="84">
        <v>745000</v>
      </c>
      <c r="L50" s="86">
        <v>100.77800000000001</v>
      </c>
      <c r="M50" s="84">
        <v>750.79575999999997</v>
      </c>
      <c r="N50" s="74"/>
      <c r="O50" s="85">
        <f t="shared" si="0"/>
        <v>9.153725848540073E-3</v>
      </c>
      <c r="P50" s="85">
        <f>M50/'סכום נכסי הקרן'!$C$42</f>
        <v>2.6294948516715671E-3</v>
      </c>
    </row>
    <row r="51" spans="2:16">
      <c r="B51" s="77" t="s">
        <v>1302</v>
      </c>
      <c r="C51" s="74" t="s">
        <v>1303</v>
      </c>
      <c r="D51" s="74" t="s">
        <v>253</v>
      </c>
      <c r="E51" s="74"/>
      <c r="F51" s="96">
        <v>42370</v>
      </c>
      <c r="G51" s="84">
        <v>8.18</v>
      </c>
      <c r="H51" s="87" t="s">
        <v>155</v>
      </c>
      <c r="I51" s="88">
        <v>4.8000000000000001E-2</v>
      </c>
      <c r="J51" s="88">
        <v>4.8500000000000008E-2</v>
      </c>
      <c r="K51" s="84">
        <v>199000</v>
      </c>
      <c r="L51" s="86">
        <v>103.2041</v>
      </c>
      <c r="M51" s="84">
        <v>205.37616</v>
      </c>
      <c r="N51" s="74"/>
      <c r="O51" s="85">
        <f t="shared" si="0"/>
        <v>2.50395269209552E-3</v>
      </c>
      <c r="P51" s="85">
        <f>M51/'סכום נכסי הקרן'!$C$42</f>
        <v>7.1928423700218561E-4</v>
      </c>
    </row>
    <row r="52" spans="2:16">
      <c r="B52" s="77" t="s">
        <v>1304</v>
      </c>
      <c r="C52" s="74" t="s">
        <v>1305</v>
      </c>
      <c r="D52" s="74" t="s">
        <v>253</v>
      </c>
      <c r="E52" s="74"/>
      <c r="F52" s="96">
        <v>42461</v>
      </c>
      <c r="G52" s="84">
        <v>8.43</v>
      </c>
      <c r="H52" s="87" t="s">
        <v>155</v>
      </c>
      <c r="I52" s="88">
        <v>4.8000000000000001E-2</v>
      </c>
      <c r="J52" s="88">
        <v>4.8499999999999995E-2</v>
      </c>
      <c r="K52" s="84">
        <v>508000</v>
      </c>
      <c r="L52" s="86">
        <v>102.92100000000001</v>
      </c>
      <c r="M52" s="84">
        <v>522.83864000000005</v>
      </c>
      <c r="N52" s="74"/>
      <c r="O52" s="85">
        <f t="shared" si="0"/>
        <v>6.374465372025461E-3</v>
      </c>
      <c r="P52" s="85">
        <f>M52/'סכום נכסי הקרן'!$C$42</f>
        <v>1.8311258339218167E-3</v>
      </c>
    </row>
    <row r="53" spans="2:16">
      <c r="B53" s="77" t="s">
        <v>1306</v>
      </c>
      <c r="C53" s="74" t="s">
        <v>1307</v>
      </c>
      <c r="D53" s="74" t="s">
        <v>253</v>
      </c>
      <c r="E53" s="74"/>
      <c r="F53" s="96">
        <v>42491</v>
      </c>
      <c r="G53" s="84">
        <v>8.5100000000000016</v>
      </c>
      <c r="H53" s="87" t="s">
        <v>155</v>
      </c>
      <c r="I53" s="88">
        <v>4.8000000000000001E-2</v>
      </c>
      <c r="J53" s="88">
        <v>4.8499999999999995E-2</v>
      </c>
      <c r="K53" s="84">
        <v>622000</v>
      </c>
      <c r="L53" s="86">
        <v>102.7239</v>
      </c>
      <c r="M53" s="84">
        <v>638.94246999999996</v>
      </c>
      <c r="N53" s="74"/>
      <c r="O53" s="85">
        <f t="shared" si="0"/>
        <v>7.7900069698969001E-3</v>
      </c>
      <c r="P53" s="85">
        <f>M53/'סכום נכסי הקרן'!$C$42</f>
        <v>2.2377536274036961E-3</v>
      </c>
    </row>
    <row r="54" spans="2:16">
      <c r="B54" s="77" t="s">
        <v>1308</v>
      </c>
      <c r="C54" s="74" t="s">
        <v>1309</v>
      </c>
      <c r="D54" s="74" t="s">
        <v>253</v>
      </c>
      <c r="E54" s="74"/>
      <c r="F54" s="96">
        <v>42522</v>
      </c>
      <c r="G54" s="84">
        <v>8.6</v>
      </c>
      <c r="H54" s="87" t="s">
        <v>155</v>
      </c>
      <c r="I54" s="88">
        <v>4.8000000000000001E-2</v>
      </c>
      <c r="J54" s="88">
        <v>4.8499999999999988E-2</v>
      </c>
      <c r="K54" s="84">
        <v>1499000</v>
      </c>
      <c r="L54" s="86">
        <v>101.90300000000001</v>
      </c>
      <c r="M54" s="84">
        <v>1527.5262600000001</v>
      </c>
      <c r="N54" s="74"/>
      <c r="O54" s="85">
        <f t="shared" si="0"/>
        <v>1.8623648874210141E-2</v>
      </c>
      <c r="P54" s="85">
        <f>M54/'סכום נכסי הקרן'!$C$42</f>
        <v>5.3498203512272425E-3</v>
      </c>
    </row>
    <row r="55" spans="2:16">
      <c r="B55" s="77" t="s">
        <v>1310</v>
      </c>
      <c r="C55" s="74" t="s">
        <v>1311</v>
      </c>
      <c r="D55" s="74" t="s">
        <v>253</v>
      </c>
      <c r="E55" s="74"/>
      <c r="F55" s="96">
        <v>42552</v>
      </c>
      <c r="G55" s="84">
        <v>8.48</v>
      </c>
      <c r="H55" s="87" t="s">
        <v>155</v>
      </c>
      <c r="I55" s="88">
        <v>4.8000000000000001E-2</v>
      </c>
      <c r="J55" s="88">
        <v>4.8500000000000008E-2</v>
      </c>
      <c r="K55" s="84">
        <v>1015000</v>
      </c>
      <c r="L55" s="86">
        <v>103.6211</v>
      </c>
      <c r="M55" s="84">
        <v>1051.7591499999999</v>
      </c>
      <c r="N55" s="74"/>
      <c r="O55" s="85">
        <f t="shared" si="0"/>
        <v>1.2823081097039673E-2</v>
      </c>
      <c r="P55" s="85">
        <f>M55/'סכום נכסי הקרן'!$C$42</f>
        <v>3.6835520623124769E-3</v>
      </c>
    </row>
    <row r="56" spans="2:16">
      <c r="B56" s="77" t="s">
        <v>1312</v>
      </c>
      <c r="C56" s="74" t="s">
        <v>1313</v>
      </c>
      <c r="D56" s="74" t="s">
        <v>253</v>
      </c>
      <c r="E56" s="74"/>
      <c r="F56" s="96">
        <v>42583</v>
      </c>
      <c r="G56" s="84">
        <v>8.56</v>
      </c>
      <c r="H56" s="87" t="s">
        <v>155</v>
      </c>
      <c r="I56" s="88">
        <v>4.8000000000000001E-2</v>
      </c>
      <c r="J56" s="88">
        <v>4.8500000000000008E-2</v>
      </c>
      <c r="K56" s="84">
        <v>1044000</v>
      </c>
      <c r="L56" s="86">
        <v>102.9111</v>
      </c>
      <c r="M56" s="84">
        <v>1074.3914399999999</v>
      </c>
      <c r="N56" s="74"/>
      <c r="O56" s="85">
        <f t="shared" si="0"/>
        <v>1.3099014698455664E-2</v>
      </c>
      <c r="P56" s="85">
        <f>M56/'סכום נכסי הקרן'!$C$42</f>
        <v>3.7628166149473209E-3</v>
      </c>
    </row>
    <row r="57" spans="2:16">
      <c r="B57" s="77" t="s">
        <v>1314</v>
      </c>
      <c r="C57" s="74" t="s">
        <v>1315</v>
      </c>
      <c r="D57" s="74" t="s">
        <v>253</v>
      </c>
      <c r="E57" s="74"/>
      <c r="F57" s="96">
        <v>42614</v>
      </c>
      <c r="G57" s="84">
        <v>8.6399999999999988</v>
      </c>
      <c r="H57" s="87" t="s">
        <v>155</v>
      </c>
      <c r="I57" s="88">
        <v>4.8000000000000001E-2</v>
      </c>
      <c r="J57" s="88">
        <v>4.8499999999999995E-2</v>
      </c>
      <c r="K57" s="84">
        <v>919000</v>
      </c>
      <c r="L57" s="86">
        <v>102.0829</v>
      </c>
      <c r="M57" s="84">
        <v>938.13516000000004</v>
      </c>
      <c r="N57" s="74"/>
      <c r="O57" s="85">
        <f t="shared" si="0"/>
        <v>1.1437773787529486E-2</v>
      </c>
      <c r="P57" s="85">
        <f>M57/'סכום נכסי הקרן'!$C$42</f>
        <v>3.2856093558547564E-3</v>
      </c>
    </row>
    <row r="58" spans="2:16">
      <c r="B58" s="77" t="s">
        <v>1316</v>
      </c>
      <c r="C58" s="74" t="s">
        <v>1317</v>
      </c>
      <c r="D58" s="74" t="s">
        <v>253</v>
      </c>
      <c r="E58" s="74"/>
      <c r="F58" s="96">
        <v>42644</v>
      </c>
      <c r="G58" s="84">
        <v>8.73</v>
      </c>
      <c r="H58" s="87" t="s">
        <v>155</v>
      </c>
      <c r="I58" s="88">
        <v>4.8000000000000001E-2</v>
      </c>
      <c r="J58" s="88">
        <v>4.8500000000000008E-2</v>
      </c>
      <c r="K58" s="84">
        <v>1283000</v>
      </c>
      <c r="L58" s="86">
        <v>101.98739999999999</v>
      </c>
      <c r="M58" s="84">
        <v>1308.4913999999999</v>
      </c>
      <c r="N58" s="74"/>
      <c r="O58" s="85">
        <f t="shared" si="0"/>
        <v>1.5953168876143346E-2</v>
      </c>
      <c r="P58" s="85">
        <f>M58/'סכום נכסי הקרן'!$C$42</f>
        <v>4.5826995610051408E-3</v>
      </c>
    </row>
    <row r="59" spans="2:16">
      <c r="B59" s="77" t="s">
        <v>1318</v>
      </c>
      <c r="C59" s="74" t="s">
        <v>1319</v>
      </c>
      <c r="D59" s="74" t="s">
        <v>253</v>
      </c>
      <c r="E59" s="74"/>
      <c r="F59" s="96">
        <v>42675</v>
      </c>
      <c r="G59" s="84">
        <v>8.8099999999999987</v>
      </c>
      <c r="H59" s="87" t="s">
        <v>155</v>
      </c>
      <c r="I59" s="88">
        <v>4.8000000000000001E-2</v>
      </c>
      <c r="J59" s="88">
        <v>4.8500000000000015E-2</v>
      </c>
      <c r="K59" s="84">
        <v>556000</v>
      </c>
      <c r="L59" s="86">
        <v>101.6866</v>
      </c>
      <c r="M59" s="84">
        <v>565.37936999999999</v>
      </c>
      <c r="N59" s="74"/>
      <c r="O59" s="85">
        <f t="shared" si="0"/>
        <v>6.8931233087947946E-3</v>
      </c>
      <c r="P59" s="85">
        <f>M59/'סכום נכסי הקרן'!$C$42</f>
        <v>1.9801152615144153E-3</v>
      </c>
    </row>
    <row r="60" spans="2:16">
      <c r="B60" s="77" t="s">
        <v>1320</v>
      </c>
      <c r="C60" s="74" t="s">
        <v>1321</v>
      </c>
      <c r="D60" s="74" t="s">
        <v>253</v>
      </c>
      <c r="E60" s="74"/>
      <c r="F60" s="96">
        <v>42705</v>
      </c>
      <c r="G60" s="84">
        <v>8.9</v>
      </c>
      <c r="H60" s="87" t="s">
        <v>155</v>
      </c>
      <c r="I60" s="88">
        <v>4.8000000000000001E-2</v>
      </c>
      <c r="J60" s="88">
        <v>4.8500000000000008E-2</v>
      </c>
      <c r="K60" s="84">
        <v>422000</v>
      </c>
      <c r="L60" s="86">
        <v>101.08159999999999</v>
      </c>
      <c r="M60" s="84">
        <v>426.56478999999996</v>
      </c>
      <c r="N60" s="74"/>
      <c r="O60" s="85">
        <f t="shared" si="0"/>
        <v>5.2006915226853016E-3</v>
      </c>
      <c r="P60" s="85">
        <f>M60/'סכום נכסי הקרן'!$C$42</f>
        <v>1.4939481267307146E-3</v>
      </c>
    </row>
    <row r="61" spans="2:16">
      <c r="B61" s="77" t="s">
        <v>1322</v>
      </c>
      <c r="C61" s="74" t="s">
        <v>1323</v>
      </c>
      <c r="D61" s="74" t="s">
        <v>253</v>
      </c>
      <c r="E61" s="74"/>
      <c r="F61" s="96">
        <v>42736</v>
      </c>
      <c r="G61" s="84">
        <v>8.7700000000000014</v>
      </c>
      <c r="H61" s="87" t="s">
        <v>155</v>
      </c>
      <c r="I61" s="88">
        <v>4.8000000000000001E-2</v>
      </c>
      <c r="J61" s="88">
        <v>4.8500000000000008E-2</v>
      </c>
      <c r="K61" s="84">
        <v>515000</v>
      </c>
      <c r="L61" s="86">
        <v>103.51649999999999</v>
      </c>
      <c r="M61" s="84">
        <v>533.10971999999992</v>
      </c>
      <c r="N61" s="74"/>
      <c r="O61" s="85">
        <f t="shared" si="0"/>
        <v>6.4996907069266889E-3</v>
      </c>
      <c r="P61" s="85">
        <f>M61/'סכום נכסי הקרן'!$C$42</f>
        <v>1.8670980029456621E-3</v>
      </c>
    </row>
    <row r="62" spans="2:16">
      <c r="B62" s="77" t="s">
        <v>1324</v>
      </c>
      <c r="C62" s="74" t="s">
        <v>1325</v>
      </c>
      <c r="D62" s="74" t="s">
        <v>253</v>
      </c>
      <c r="E62" s="74"/>
      <c r="F62" s="96">
        <v>42767</v>
      </c>
      <c r="G62" s="84">
        <v>8.86</v>
      </c>
      <c r="H62" s="87" t="s">
        <v>155</v>
      </c>
      <c r="I62" s="88">
        <v>4.8000000000000001E-2</v>
      </c>
      <c r="J62" s="88">
        <v>4.8499999999999995E-2</v>
      </c>
      <c r="K62" s="84">
        <v>23000</v>
      </c>
      <c r="L62" s="86">
        <v>103.108</v>
      </c>
      <c r="M62" s="84">
        <v>23.714839999999999</v>
      </c>
      <c r="N62" s="74"/>
      <c r="O62" s="85">
        <f t="shared" si="0"/>
        <v>2.8913208553813901E-4</v>
      </c>
      <c r="P62" s="85">
        <f>M62/'סכום נכסי הקרן'!$C$42</f>
        <v>8.3055942788242369E-5</v>
      </c>
    </row>
    <row r="63" spans="2:16">
      <c r="B63" s="77" t="s">
        <v>1326</v>
      </c>
      <c r="C63" s="74" t="s">
        <v>1327</v>
      </c>
      <c r="D63" s="74" t="s">
        <v>253</v>
      </c>
      <c r="E63" s="74"/>
      <c r="F63" s="96">
        <v>42795</v>
      </c>
      <c r="G63" s="84">
        <v>8.93</v>
      </c>
      <c r="H63" s="87" t="s">
        <v>155</v>
      </c>
      <c r="I63" s="88">
        <v>4.8000000000000001E-2</v>
      </c>
      <c r="J63" s="88">
        <v>4.8500000000000008E-2</v>
      </c>
      <c r="K63" s="84">
        <v>305000</v>
      </c>
      <c r="L63" s="86">
        <v>102.907</v>
      </c>
      <c r="M63" s="84">
        <v>313.86617999999999</v>
      </c>
      <c r="N63" s="74"/>
      <c r="O63" s="85">
        <f t="shared" si="0"/>
        <v>3.8266664756451628E-3</v>
      </c>
      <c r="P63" s="85">
        <f>M63/'סכום נכסי הקרן'!$C$42</f>
        <v>1.0992463575231451E-3</v>
      </c>
    </row>
    <row r="64" spans="2:16">
      <c r="B64" s="77" t="s">
        <v>1328</v>
      </c>
      <c r="C64" s="74" t="s">
        <v>1329</v>
      </c>
      <c r="D64" s="74" t="s">
        <v>253</v>
      </c>
      <c r="E64" s="74"/>
      <c r="F64" s="96">
        <v>42856</v>
      </c>
      <c r="G64" s="84">
        <v>9.1</v>
      </c>
      <c r="H64" s="87" t="s">
        <v>155</v>
      </c>
      <c r="I64" s="88">
        <v>4.8000000000000001E-2</v>
      </c>
      <c r="J64" s="88">
        <v>4.8499999999999995E-2</v>
      </c>
      <c r="K64" s="84">
        <v>186000</v>
      </c>
      <c r="L64" s="86">
        <v>101.7869</v>
      </c>
      <c r="M64" s="84">
        <v>189.33023</v>
      </c>
      <c r="N64" s="74"/>
      <c r="O64" s="85">
        <f t="shared" si="0"/>
        <v>2.308320201836299E-3</v>
      </c>
      <c r="P64" s="85">
        <f>M64/'סכום נכסי הקרן'!$C$42</f>
        <v>6.6308694264708389E-4</v>
      </c>
    </row>
    <row r="65" spans="2:16">
      <c r="B65" s="77" t="s">
        <v>1330</v>
      </c>
      <c r="C65" s="74" t="s">
        <v>1331</v>
      </c>
      <c r="D65" s="74" t="s">
        <v>253</v>
      </c>
      <c r="E65" s="74"/>
      <c r="F65" s="96">
        <v>42887</v>
      </c>
      <c r="G65" s="84">
        <v>9.1900000000000031</v>
      </c>
      <c r="H65" s="87" t="s">
        <v>155</v>
      </c>
      <c r="I65" s="88">
        <v>4.8000000000000001E-2</v>
      </c>
      <c r="J65" s="88">
        <v>4.8500000000000008E-2</v>
      </c>
      <c r="K65" s="84">
        <v>1350000</v>
      </c>
      <c r="L65" s="86">
        <v>101.197</v>
      </c>
      <c r="M65" s="84">
        <v>1366.0193999999999</v>
      </c>
      <c r="N65" s="74"/>
      <c r="O65" s="85">
        <f t="shared" si="0"/>
        <v>1.6654552086691594E-2</v>
      </c>
      <c r="P65" s="85">
        <f>M65/'סכום נכסי הקרן'!$C$42</f>
        <v>4.7841785622011017E-3</v>
      </c>
    </row>
    <row r="66" spans="2:16">
      <c r="B66" s="77" t="s">
        <v>1332</v>
      </c>
      <c r="C66" s="74" t="s">
        <v>1333</v>
      </c>
      <c r="D66" s="74" t="s">
        <v>253</v>
      </c>
      <c r="E66" s="74"/>
      <c r="F66" s="96">
        <v>42949</v>
      </c>
      <c r="G66" s="84">
        <v>9.14</v>
      </c>
      <c r="H66" s="87" t="s">
        <v>155</v>
      </c>
      <c r="I66" s="88">
        <v>4.8000000000000001E-2</v>
      </c>
      <c r="J66" s="88">
        <v>4.8499999999999995E-2</v>
      </c>
      <c r="K66" s="84">
        <v>915000</v>
      </c>
      <c r="L66" s="86">
        <v>103.1056</v>
      </c>
      <c r="M66" s="84">
        <v>943.41614000000004</v>
      </c>
      <c r="N66" s="74"/>
      <c r="O66" s="85">
        <f t="shared" si="0"/>
        <v>1.1502159664098132E-2</v>
      </c>
      <c r="P66" s="85">
        <f>M66/'סכום נכסי הקרן'!$C$42</f>
        <v>3.3041048115586892E-3</v>
      </c>
    </row>
    <row r="67" spans="2:16">
      <c r="B67" s="77" t="s">
        <v>1334</v>
      </c>
      <c r="C67" s="74" t="s">
        <v>1335</v>
      </c>
      <c r="D67" s="74" t="s">
        <v>253</v>
      </c>
      <c r="E67" s="74"/>
      <c r="F67" s="96">
        <v>42979</v>
      </c>
      <c r="G67" s="84">
        <v>9.2199999999999989</v>
      </c>
      <c r="H67" s="87" t="s">
        <v>155</v>
      </c>
      <c r="I67" s="88">
        <v>4.8000000000000001E-2</v>
      </c>
      <c r="J67" s="88">
        <v>4.8499999999999995E-2</v>
      </c>
      <c r="K67" s="84">
        <v>631000</v>
      </c>
      <c r="L67" s="86">
        <v>102.8152</v>
      </c>
      <c r="M67" s="84">
        <v>648.76405</v>
      </c>
      <c r="N67" s="74"/>
      <c r="O67" s="85">
        <f t="shared" si="0"/>
        <v>7.909751986463728E-3</v>
      </c>
      <c r="P67" s="85">
        <f>M67/'סכום נכסי הקרן'!$C$42</f>
        <v>2.2721515228383751E-3</v>
      </c>
    </row>
    <row r="68" spans="2:16">
      <c r="B68" s="77" t="s">
        <v>1336</v>
      </c>
      <c r="C68" s="74" t="s">
        <v>1337</v>
      </c>
      <c r="D68" s="74" t="s">
        <v>253</v>
      </c>
      <c r="E68" s="74"/>
      <c r="F68" s="96">
        <v>43009</v>
      </c>
      <c r="G68" s="84">
        <v>9.2999999999999989</v>
      </c>
      <c r="H68" s="87" t="s">
        <v>155</v>
      </c>
      <c r="I68" s="88">
        <v>4.8000000000000001E-2</v>
      </c>
      <c r="J68" s="88">
        <v>4.8499999999999995E-2</v>
      </c>
      <c r="K68" s="84">
        <v>913000</v>
      </c>
      <c r="L68" s="86">
        <v>102.1023</v>
      </c>
      <c r="M68" s="84">
        <v>932.19987000000003</v>
      </c>
      <c r="N68" s="74"/>
      <c r="O68" s="85">
        <f t="shared" si="0"/>
        <v>1.1365410542575116E-2</v>
      </c>
      <c r="P68" s="85">
        <f>M68/'סכום נכסי הקרן'!$C$42</f>
        <v>3.2648223251738988E-3</v>
      </c>
    </row>
    <row r="69" spans="2:16">
      <c r="B69" s="77" t="s">
        <v>1338</v>
      </c>
      <c r="C69" s="74" t="s">
        <v>1339</v>
      </c>
      <c r="D69" s="74" t="s">
        <v>253</v>
      </c>
      <c r="E69" s="74"/>
      <c r="F69" s="96">
        <v>43040</v>
      </c>
      <c r="G69" s="84">
        <v>9.39</v>
      </c>
      <c r="H69" s="87" t="s">
        <v>155</v>
      </c>
      <c r="I69" s="88">
        <v>4.8000000000000001E-2</v>
      </c>
      <c r="J69" s="88">
        <v>4.8500000000000008E-2</v>
      </c>
      <c r="K69" s="84">
        <v>313000</v>
      </c>
      <c r="L69" s="86">
        <v>101.59869999999999</v>
      </c>
      <c r="M69" s="84">
        <v>318.0043</v>
      </c>
      <c r="N69" s="74"/>
      <c r="O69" s="85">
        <f t="shared" si="0"/>
        <v>3.877118566648395E-3</v>
      </c>
      <c r="P69" s="85">
        <f>M69/'סכום נכסי הקרן'!$C$42</f>
        <v>1.113739200737389E-3</v>
      </c>
    </row>
    <row r="70" spans="2:16">
      <c r="B70" s="77" t="s">
        <v>1340</v>
      </c>
      <c r="C70" s="74" t="s">
        <v>1341</v>
      </c>
      <c r="D70" s="74" t="s">
        <v>253</v>
      </c>
      <c r="E70" s="74"/>
      <c r="F70" s="96">
        <v>43070</v>
      </c>
      <c r="G70" s="84">
        <v>9.4700000000000006</v>
      </c>
      <c r="H70" s="87" t="s">
        <v>155</v>
      </c>
      <c r="I70" s="88">
        <v>4.8000000000000001E-2</v>
      </c>
      <c r="J70" s="88">
        <v>4.8500000000000008E-2</v>
      </c>
      <c r="K70" s="84">
        <v>743000</v>
      </c>
      <c r="L70" s="86">
        <v>100.89619999999999</v>
      </c>
      <c r="M70" s="84">
        <v>749.65856999999994</v>
      </c>
      <c r="N70" s="74"/>
      <c r="O70" s="85">
        <f t="shared" si="0"/>
        <v>9.1398611917954727E-3</v>
      </c>
      <c r="P70" s="85">
        <f>M70/'סכום נכסי הקרן'!$C$42</f>
        <v>2.6255120970934483E-3</v>
      </c>
    </row>
    <row r="71" spans="2:16">
      <c r="B71" s="77" t="s">
        <v>1342</v>
      </c>
      <c r="C71" s="74" t="s">
        <v>1343</v>
      </c>
      <c r="D71" s="74" t="s">
        <v>253</v>
      </c>
      <c r="E71" s="74"/>
      <c r="F71" s="96">
        <v>43101</v>
      </c>
      <c r="G71" s="84">
        <v>9.33</v>
      </c>
      <c r="H71" s="87" t="s">
        <v>155</v>
      </c>
      <c r="I71" s="88">
        <v>4.8000000000000001E-2</v>
      </c>
      <c r="J71" s="88">
        <v>4.8499999999999995E-2</v>
      </c>
      <c r="K71" s="84">
        <v>199000</v>
      </c>
      <c r="L71" s="86">
        <v>103.20950000000001</v>
      </c>
      <c r="M71" s="84">
        <v>205.40376000000001</v>
      </c>
      <c r="N71" s="74"/>
      <c r="O71" s="85">
        <f t="shared" si="0"/>
        <v>2.5042891921756745E-3</v>
      </c>
      <c r="P71" s="85">
        <f>M71/'סכום נכסי הקרן'!$C$42</f>
        <v>7.1938089985215453E-4</v>
      </c>
    </row>
    <row r="72" spans="2:16">
      <c r="B72" s="77" t="s">
        <v>1344</v>
      </c>
      <c r="C72" s="74" t="s">
        <v>1345</v>
      </c>
      <c r="D72" s="74" t="s">
        <v>253</v>
      </c>
      <c r="E72" s="74"/>
      <c r="F72" s="96">
        <v>43161</v>
      </c>
      <c r="G72" s="84">
        <v>9.5</v>
      </c>
      <c r="H72" s="87" t="s">
        <v>155</v>
      </c>
      <c r="I72" s="88">
        <v>4.8000000000000001E-2</v>
      </c>
      <c r="J72" s="88">
        <v>4.8500000000000008E-2</v>
      </c>
      <c r="K72" s="84">
        <v>603000</v>
      </c>
      <c r="L72" s="86">
        <v>102.8017</v>
      </c>
      <c r="M72" s="84">
        <v>619.89413000000002</v>
      </c>
      <c r="N72" s="74"/>
      <c r="O72" s="85">
        <f t="shared" si="0"/>
        <v>7.5577690011718515E-3</v>
      </c>
      <c r="P72" s="85">
        <f>M72/'סכום נכסי הקרן'!$C$42</f>
        <v>2.171041061042254E-3</v>
      </c>
    </row>
    <row r="73" spans="2:16">
      <c r="B73" s="77" t="s">
        <v>1346</v>
      </c>
      <c r="C73" s="74" t="s">
        <v>1347</v>
      </c>
      <c r="D73" s="74" t="s">
        <v>253</v>
      </c>
      <c r="E73" s="74"/>
      <c r="F73" s="96">
        <v>43252</v>
      </c>
      <c r="G73" s="84">
        <v>9.75</v>
      </c>
      <c r="H73" s="87" t="s">
        <v>155</v>
      </c>
      <c r="I73" s="88">
        <v>4.8000000000000001E-2</v>
      </c>
      <c r="J73" s="88">
        <v>4.8499999999999995E-2</v>
      </c>
      <c r="K73" s="84">
        <v>85000</v>
      </c>
      <c r="L73" s="86">
        <v>100.795</v>
      </c>
      <c r="M73" s="84">
        <v>85.67658999999999</v>
      </c>
      <c r="N73" s="74"/>
      <c r="O73" s="85">
        <f t="shared" si="0"/>
        <v>1.0445717174771604E-3</v>
      </c>
      <c r="P73" s="85">
        <f>M73/'סכום נכסי הקרן'!$C$42</f>
        <v>3.0006316539903696E-4</v>
      </c>
    </row>
    <row r="74" spans="2:16">
      <c r="B74" s="77" t="s">
        <v>1348</v>
      </c>
      <c r="C74" s="74" t="s">
        <v>1349</v>
      </c>
      <c r="D74" s="74" t="s">
        <v>253</v>
      </c>
      <c r="E74" s="74"/>
      <c r="F74" s="96">
        <v>43313</v>
      </c>
      <c r="G74" s="84">
        <v>9.6799999999999979</v>
      </c>
      <c r="H74" s="87" t="s">
        <v>155</v>
      </c>
      <c r="I74" s="88">
        <v>4.8000000000000001E-2</v>
      </c>
      <c r="J74" s="88">
        <v>4.8499999999999995E-2</v>
      </c>
      <c r="K74" s="84">
        <v>1687000</v>
      </c>
      <c r="L74" s="86">
        <v>101.96259999999999</v>
      </c>
      <c r="M74" s="84">
        <v>1720.4610500000001</v>
      </c>
      <c r="N74" s="74"/>
      <c r="O74" s="85">
        <f t="shared" si="0"/>
        <v>2.0975915986514625E-2</v>
      </c>
      <c r="P74" s="85">
        <f>M74/'סכום נכסי הקרן'!$C$42</f>
        <v>6.0255314620802592E-3</v>
      </c>
    </row>
    <row r="75" spans="2:16">
      <c r="B75" s="77" t="s">
        <v>1350</v>
      </c>
      <c r="C75" s="74" t="s">
        <v>1351</v>
      </c>
      <c r="D75" s="74" t="s">
        <v>253</v>
      </c>
      <c r="E75" s="74"/>
      <c r="F75" s="96">
        <v>43345</v>
      </c>
      <c r="G75" s="84">
        <v>9.77</v>
      </c>
      <c r="H75" s="87" t="s">
        <v>155</v>
      </c>
      <c r="I75" s="88">
        <v>4.8000000000000001E-2</v>
      </c>
      <c r="J75" s="88">
        <v>4.8499999999999995E-2</v>
      </c>
      <c r="K75" s="84">
        <v>508000</v>
      </c>
      <c r="L75" s="86">
        <v>101.5573</v>
      </c>
      <c r="M75" s="84">
        <v>516.02859000000001</v>
      </c>
      <c r="N75" s="74"/>
      <c r="O75" s="85">
        <f t="shared" si="0"/>
        <v>6.2914370252552948E-3</v>
      </c>
      <c r="P75" s="85">
        <f>M75/'סכום נכסי הקרן'!$C$42</f>
        <v>1.8072751512612938E-3</v>
      </c>
    </row>
    <row r="76" spans="2:16">
      <c r="B76" s="77" t="s">
        <v>1352</v>
      </c>
      <c r="C76" s="74" t="s">
        <v>1353</v>
      </c>
      <c r="D76" s="74" t="s">
        <v>253</v>
      </c>
      <c r="E76" s="74"/>
      <c r="F76" s="96">
        <v>43497</v>
      </c>
      <c r="G76" s="84">
        <v>9.9499999999999993</v>
      </c>
      <c r="H76" s="87" t="s">
        <v>155</v>
      </c>
      <c r="I76" s="88">
        <v>4.8000000000000001E-2</v>
      </c>
      <c r="J76" s="88">
        <v>4.8500000000000008E-2</v>
      </c>
      <c r="K76" s="84">
        <v>698000</v>
      </c>
      <c r="L76" s="86">
        <v>101.9791</v>
      </c>
      <c r="M76" s="84">
        <v>711.93340000000001</v>
      </c>
      <c r="N76" s="74"/>
      <c r="O76" s="85">
        <f t="shared" ref="O76:O92" si="1">M76/$M$11</f>
        <v>8.6799147161127008E-3</v>
      </c>
      <c r="P76" s="85">
        <f>M76/'סכום נכסי הקרן'!$C$42</f>
        <v>2.4933880953630248E-3</v>
      </c>
    </row>
    <row r="77" spans="2:16">
      <c r="B77" s="77" t="s">
        <v>1354</v>
      </c>
      <c r="C77" s="74" t="s">
        <v>1355</v>
      </c>
      <c r="D77" s="74" t="s">
        <v>253</v>
      </c>
      <c r="E77" s="74"/>
      <c r="F77" s="96">
        <v>43525</v>
      </c>
      <c r="G77" s="84">
        <v>10.030000000000001</v>
      </c>
      <c r="H77" s="87" t="s">
        <v>155</v>
      </c>
      <c r="I77" s="88">
        <v>4.8000000000000001E-2</v>
      </c>
      <c r="J77" s="88">
        <v>4.8499999999999995E-2</v>
      </c>
      <c r="K77" s="84">
        <v>1140000</v>
      </c>
      <c r="L77" s="86">
        <v>101.5856</v>
      </c>
      <c r="M77" s="84">
        <v>1158.16947</v>
      </c>
      <c r="N77" s="74"/>
      <c r="O77" s="85">
        <f t="shared" si="1"/>
        <v>1.4120439111868397E-2</v>
      </c>
      <c r="P77" s="85">
        <f>M77/'סכום נכסי הקרן'!$C$42</f>
        <v>4.0562304969971969E-3</v>
      </c>
    </row>
    <row r="78" spans="2:16">
      <c r="B78" s="77" t="s">
        <v>1356</v>
      </c>
      <c r="C78" s="74" t="s">
        <v>1357</v>
      </c>
      <c r="D78" s="74" t="s">
        <v>253</v>
      </c>
      <c r="E78" s="74"/>
      <c r="F78" s="96">
        <v>43556</v>
      </c>
      <c r="G78" s="84">
        <v>10.110000000000001</v>
      </c>
      <c r="H78" s="87" t="s">
        <v>155</v>
      </c>
      <c r="I78" s="88">
        <v>4.8000000000000001E-2</v>
      </c>
      <c r="J78" s="88">
        <v>4.8499999999999995E-2</v>
      </c>
      <c r="K78" s="84">
        <v>788000</v>
      </c>
      <c r="L78" s="86">
        <v>101.193</v>
      </c>
      <c r="M78" s="84">
        <v>797.40111999999999</v>
      </c>
      <c r="N78" s="74"/>
      <c r="O78" s="85">
        <f t="shared" si="1"/>
        <v>9.7219398838890685E-3</v>
      </c>
      <c r="P78" s="85">
        <f>M78/'סכום נכסי הקרן'!$C$42</f>
        <v>2.7927197401289823E-3</v>
      </c>
    </row>
    <row r="79" spans="2:16">
      <c r="B79" s="77" t="s">
        <v>1358</v>
      </c>
      <c r="C79" s="74" t="s">
        <v>1359</v>
      </c>
      <c r="D79" s="74" t="s">
        <v>253</v>
      </c>
      <c r="E79" s="74"/>
      <c r="F79" s="96">
        <v>43586</v>
      </c>
      <c r="G79" s="84">
        <v>10.200000000000001</v>
      </c>
      <c r="H79" s="87" t="s">
        <v>155</v>
      </c>
      <c r="I79" s="88">
        <v>4.8000000000000001E-2</v>
      </c>
      <c r="J79" s="88">
        <v>4.8500000000000008E-2</v>
      </c>
      <c r="K79" s="84">
        <v>750000</v>
      </c>
      <c r="L79" s="86">
        <v>100.81189999999999</v>
      </c>
      <c r="M79" s="84">
        <v>756.06684999999993</v>
      </c>
      <c r="N79" s="74"/>
      <c r="O79" s="85">
        <f t="shared" si="1"/>
        <v>9.2179911459133301E-3</v>
      </c>
      <c r="P79" s="85">
        <f>M79/'סכום נכסי הקרן'!$C$42</f>
        <v>2.647955669854261E-3</v>
      </c>
    </row>
    <row r="80" spans="2:16">
      <c r="B80" s="77" t="s">
        <v>1360</v>
      </c>
      <c r="C80" s="74" t="s">
        <v>1361</v>
      </c>
      <c r="D80" s="74" t="s">
        <v>253</v>
      </c>
      <c r="E80" s="74"/>
      <c r="F80" s="96">
        <v>43647</v>
      </c>
      <c r="G80" s="84">
        <v>10.119999999999999</v>
      </c>
      <c r="H80" s="87" t="s">
        <v>155</v>
      </c>
      <c r="I80" s="88">
        <v>4.8000000000000001E-2</v>
      </c>
      <c r="J80" s="88">
        <v>4.8499999999999995E-2</v>
      </c>
      <c r="K80" s="84">
        <v>932000</v>
      </c>
      <c r="L80" s="86">
        <v>102.40009999999999</v>
      </c>
      <c r="M80" s="84">
        <v>954.36940000000004</v>
      </c>
      <c r="N80" s="74"/>
      <c r="O80" s="85">
        <f t="shared" si="1"/>
        <v>1.1635702159313848E-2</v>
      </c>
      <c r="P80" s="85">
        <f>M80/'סכום נכסי הקרן'!$C$42</f>
        <v>3.3424661640242652E-3</v>
      </c>
    </row>
    <row r="81" spans="2:16">
      <c r="B81" s="77" t="s">
        <v>1362</v>
      </c>
      <c r="C81" s="74" t="s">
        <v>1363</v>
      </c>
      <c r="D81" s="74" t="s">
        <v>253</v>
      </c>
      <c r="E81" s="74"/>
      <c r="F81" s="96">
        <v>43678</v>
      </c>
      <c r="G81" s="84">
        <v>10.200000000000001</v>
      </c>
      <c r="H81" s="87" t="s">
        <v>155</v>
      </c>
      <c r="I81" s="88">
        <v>4.8000000000000001E-2</v>
      </c>
      <c r="J81" s="88">
        <v>4.8499999999999995E-2</v>
      </c>
      <c r="K81" s="84">
        <v>492000</v>
      </c>
      <c r="L81" s="86">
        <v>101.9962</v>
      </c>
      <c r="M81" s="84">
        <v>501.82121999999998</v>
      </c>
      <c r="N81" s="74"/>
      <c r="O81" s="85">
        <f t="shared" si="1"/>
        <v>6.1182203171471225E-3</v>
      </c>
      <c r="P81" s="85">
        <f>M81/'סכום נכסי הקרן'!$C$42</f>
        <v>1.7575170036249871E-3</v>
      </c>
    </row>
    <row r="82" spans="2:16">
      <c r="B82" s="77" t="s">
        <v>1364</v>
      </c>
      <c r="C82" s="74" t="s">
        <v>1365</v>
      </c>
      <c r="D82" s="74" t="s">
        <v>253</v>
      </c>
      <c r="E82" s="74"/>
      <c r="F82" s="96">
        <v>43770</v>
      </c>
      <c r="G82" s="84">
        <v>10.45</v>
      </c>
      <c r="H82" s="87" t="s">
        <v>155</v>
      </c>
      <c r="I82" s="88">
        <v>4.8000000000000001E-2</v>
      </c>
      <c r="J82" s="88">
        <v>4.8500000000000008E-2</v>
      </c>
      <c r="K82" s="84">
        <v>487000</v>
      </c>
      <c r="L82" s="86">
        <v>100.7938</v>
      </c>
      <c r="M82" s="84">
        <v>490.86599000000001</v>
      </c>
      <c r="N82" s="74"/>
      <c r="O82" s="85">
        <f t="shared" si="1"/>
        <v>5.9846538036285842E-3</v>
      </c>
      <c r="P82" s="85">
        <f>M82/'סכום נכסי הקרן'!$C$42</f>
        <v>1.7191487516733806E-3</v>
      </c>
    </row>
    <row r="83" spans="2:16">
      <c r="B83" s="77" t="s">
        <v>1366</v>
      </c>
      <c r="C83" s="74" t="s">
        <v>1367</v>
      </c>
      <c r="D83" s="74" t="s">
        <v>253</v>
      </c>
      <c r="E83" s="74"/>
      <c r="F83" s="96">
        <v>43800</v>
      </c>
      <c r="G83" s="84">
        <v>10.54</v>
      </c>
      <c r="H83" s="87" t="s">
        <v>155</v>
      </c>
      <c r="I83" s="88">
        <v>4.8000000000000001E-2</v>
      </c>
      <c r="J83" s="88">
        <v>4.8499999999999995E-2</v>
      </c>
      <c r="K83" s="84">
        <v>516000</v>
      </c>
      <c r="L83" s="86">
        <v>100.39619999999999</v>
      </c>
      <c r="M83" s="84">
        <v>518.04444000000001</v>
      </c>
      <c r="N83" s="74"/>
      <c r="O83" s="85">
        <f t="shared" si="1"/>
        <v>6.3160143327400621E-3</v>
      </c>
      <c r="P83" s="85">
        <f>M83/'סכום נכסי הקרן'!$C$42</f>
        <v>1.814335216700052E-3</v>
      </c>
    </row>
    <row r="84" spans="2:16">
      <c r="B84" s="77" t="s">
        <v>1368</v>
      </c>
      <c r="C84" s="74" t="s">
        <v>1369</v>
      </c>
      <c r="D84" s="74" t="s">
        <v>253</v>
      </c>
      <c r="E84" s="74"/>
      <c r="F84" s="96">
        <v>43863</v>
      </c>
      <c r="G84" s="84">
        <v>10.46</v>
      </c>
      <c r="H84" s="87" t="s">
        <v>155</v>
      </c>
      <c r="I84" s="88">
        <v>4.8000000000000001E-2</v>
      </c>
      <c r="J84" s="88">
        <v>4.8500000000000008E-2</v>
      </c>
      <c r="K84" s="84">
        <v>2270000</v>
      </c>
      <c r="L84" s="86">
        <v>101.9803</v>
      </c>
      <c r="M84" s="84">
        <v>2314.4510399999999</v>
      </c>
      <c r="N84" s="74"/>
      <c r="O84" s="85">
        <f t="shared" si="1"/>
        <v>2.8217860886732306E-2</v>
      </c>
      <c r="P84" s="85">
        <f>M84/'סכום נכסי הקרן'!$C$42</f>
        <v>8.1058490449198925E-3</v>
      </c>
    </row>
    <row r="85" spans="2:16">
      <c r="B85" s="77" t="s">
        <v>1370</v>
      </c>
      <c r="C85" s="74" t="s">
        <v>1371</v>
      </c>
      <c r="D85" s="74" t="s">
        <v>253</v>
      </c>
      <c r="E85" s="74"/>
      <c r="F85" s="96">
        <v>40057</v>
      </c>
      <c r="G85" s="84">
        <v>3.77</v>
      </c>
      <c r="H85" s="87" t="s">
        <v>155</v>
      </c>
      <c r="I85" s="88">
        <v>4.8000000000000001E-2</v>
      </c>
      <c r="J85" s="88">
        <v>4.8499999999999995E-2</v>
      </c>
      <c r="K85" s="84">
        <v>117000</v>
      </c>
      <c r="L85" s="86">
        <v>110.6665</v>
      </c>
      <c r="M85" s="84">
        <v>129.48534000000001</v>
      </c>
      <c r="N85" s="74"/>
      <c r="O85" s="85">
        <f t="shared" si="1"/>
        <v>1.5786893945232191E-3</v>
      </c>
      <c r="P85" s="85">
        <f>M85/'סכום נכסי הקרן'!$C$42</f>
        <v>4.5349355049227033E-4</v>
      </c>
    </row>
    <row r="86" spans="2:16">
      <c r="B86" s="77" t="s">
        <v>1372</v>
      </c>
      <c r="C86" s="74" t="s">
        <v>1373</v>
      </c>
      <c r="D86" s="74" t="s">
        <v>253</v>
      </c>
      <c r="E86" s="74"/>
      <c r="F86" s="96">
        <v>39995</v>
      </c>
      <c r="G86" s="84">
        <v>3.6099999999999994</v>
      </c>
      <c r="H86" s="87" t="s">
        <v>155</v>
      </c>
      <c r="I86" s="88">
        <v>4.8000000000000001E-2</v>
      </c>
      <c r="J86" s="88">
        <v>4.8499999999999995E-2</v>
      </c>
      <c r="K86" s="84">
        <v>50000</v>
      </c>
      <c r="L86" s="86">
        <v>113.7131</v>
      </c>
      <c r="M86" s="84">
        <v>56.85951</v>
      </c>
      <c r="N86" s="74"/>
      <c r="O86" s="85">
        <f t="shared" si="1"/>
        <v>6.9323295915033251E-4</v>
      </c>
      <c r="P86" s="85">
        <f>M86/'סכום נכסי הקרן'!$C$42</f>
        <v>1.9913776392872543E-4</v>
      </c>
    </row>
    <row r="87" spans="2:16">
      <c r="B87" s="77" t="s">
        <v>1374</v>
      </c>
      <c r="C87" s="74" t="s">
        <v>1375</v>
      </c>
      <c r="D87" s="74" t="s">
        <v>253</v>
      </c>
      <c r="E87" s="74"/>
      <c r="F87" s="96">
        <v>40756</v>
      </c>
      <c r="G87" s="84">
        <v>5.25</v>
      </c>
      <c r="H87" s="87" t="s">
        <v>155</v>
      </c>
      <c r="I87" s="88">
        <v>4.8000000000000001E-2</v>
      </c>
      <c r="J87" s="88">
        <v>4.8500000000000008E-2</v>
      </c>
      <c r="K87" s="84">
        <v>230000</v>
      </c>
      <c r="L87" s="86">
        <v>105.2178</v>
      </c>
      <c r="M87" s="84">
        <v>242.01832999999999</v>
      </c>
      <c r="N87" s="74"/>
      <c r="O87" s="85">
        <f t="shared" si="1"/>
        <v>2.9506951972417925E-3</v>
      </c>
      <c r="P87" s="85">
        <f>M87/'סכום נכסי הקרן'!$C$42</f>
        <v>8.4761527255448324E-4</v>
      </c>
    </row>
    <row r="88" spans="2:16">
      <c r="B88" s="77" t="s">
        <v>1376</v>
      </c>
      <c r="C88" s="74" t="s">
        <v>1377</v>
      </c>
      <c r="D88" s="74" t="s">
        <v>253</v>
      </c>
      <c r="E88" s="74"/>
      <c r="F88" s="96">
        <v>40848</v>
      </c>
      <c r="G88" s="84">
        <v>5.5</v>
      </c>
      <c r="H88" s="87" t="s">
        <v>155</v>
      </c>
      <c r="I88" s="88">
        <v>4.8000000000000001E-2</v>
      </c>
      <c r="J88" s="88">
        <v>4.8499999999999995E-2</v>
      </c>
      <c r="K88" s="84">
        <v>41000</v>
      </c>
      <c r="L88" s="86">
        <v>103.979</v>
      </c>
      <c r="M88" s="84">
        <v>42.630189999999999</v>
      </c>
      <c r="N88" s="74"/>
      <c r="O88" s="85">
        <f t="shared" si="1"/>
        <v>5.1974863594218292E-4</v>
      </c>
      <c r="P88" s="85">
        <f>M88/'סכום נכסי הקרן'!$C$42</f>
        <v>1.4930274130847614E-4</v>
      </c>
    </row>
    <row r="89" spans="2:16">
      <c r="B89" s="77" t="s">
        <v>1378</v>
      </c>
      <c r="C89" s="74" t="s">
        <v>1379</v>
      </c>
      <c r="D89" s="74" t="s">
        <v>253</v>
      </c>
      <c r="E89" s="74"/>
      <c r="F89" s="96">
        <v>40940</v>
      </c>
      <c r="G89" s="84">
        <v>5.62</v>
      </c>
      <c r="H89" s="87" t="s">
        <v>155</v>
      </c>
      <c r="I89" s="88">
        <v>4.8000000000000001E-2</v>
      </c>
      <c r="J89" s="88">
        <v>4.8499999999999995E-2</v>
      </c>
      <c r="K89" s="84">
        <v>1294000</v>
      </c>
      <c r="L89" s="86">
        <v>105.2276</v>
      </c>
      <c r="M89" s="84">
        <v>1361.65102</v>
      </c>
      <c r="N89" s="74"/>
      <c r="O89" s="85">
        <f t="shared" si="1"/>
        <v>1.6601292658425453E-2</v>
      </c>
      <c r="P89" s="85">
        <f>M89/'סכום נכסי הקרן'!$C$42</f>
        <v>4.7688792846450525E-3</v>
      </c>
    </row>
    <row r="90" spans="2:16">
      <c r="B90" s="77" t="s">
        <v>1380</v>
      </c>
      <c r="C90" s="74" t="s">
        <v>1381</v>
      </c>
      <c r="D90" s="74" t="s">
        <v>253</v>
      </c>
      <c r="E90" s="74"/>
      <c r="F90" s="96">
        <v>40969</v>
      </c>
      <c r="G90" s="84">
        <v>5.7</v>
      </c>
      <c r="H90" s="87" t="s">
        <v>155</v>
      </c>
      <c r="I90" s="88">
        <v>4.8000000000000001E-2</v>
      </c>
      <c r="J90" s="88">
        <v>4.8600000000000004E-2</v>
      </c>
      <c r="K90" s="84">
        <v>1425000</v>
      </c>
      <c r="L90" s="86">
        <v>104.7942</v>
      </c>
      <c r="M90" s="84">
        <v>1493.11491</v>
      </c>
      <c r="N90" s="74"/>
      <c r="O90" s="85">
        <f t="shared" si="1"/>
        <v>1.8204104597643954E-2</v>
      </c>
      <c r="P90" s="85">
        <f>M90/'סכום נכסי הקרן'!$C$42</f>
        <v>5.2293022656375362E-3</v>
      </c>
    </row>
    <row r="91" spans="2:16">
      <c r="B91" s="77" t="s">
        <v>1382</v>
      </c>
      <c r="C91" s="74">
        <v>8789</v>
      </c>
      <c r="D91" s="74" t="s">
        <v>253</v>
      </c>
      <c r="E91" s="74"/>
      <c r="F91" s="96">
        <v>41000</v>
      </c>
      <c r="G91" s="84">
        <v>5.78</v>
      </c>
      <c r="H91" s="87" t="s">
        <v>155</v>
      </c>
      <c r="I91" s="88">
        <v>4.8000000000000001E-2</v>
      </c>
      <c r="J91" s="88">
        <v>4.8500000000000008E-2</v>
      </c>
      <c r="K91" s="84">
        <v>1216000</v>
      </c>
      <c r="L91" s="86">
        <v>104.39149999999999</v>
      </c>
      <c r="M91" s="84">
        <v>1269.3766499999999</v>
      </c>
      <c r="N91" s="74"/>
      <c r="O91" s="85">
        <f t="shared" si="1"/>
        <v>1.5476280596787342E-2</v>
      </c>
      <c r="P91" s="85">
        <f>M91/'סכום נכסי הקרן'!$C$42</f>
        <v>4.4457088649609592E-3</v>
      </c>
    </row>
    <row r="92" spans="2:16">
      <c r="B92" s="77" t="s">
        <v>1383</v>
      </c>
      <c r="C92" s="74" t="s">
        <v>1384</v>
      </c>
      <c r="D92" s="74" t="s">
        <v>253</v>
      </c>
      <c r="E92" s="74"/>
      <c r="F92" s="96">
        <v>41640</v>
      </c>
      <c r="G92" s="84">
        <v>6.919999999999999</v>
      </c>
      <c r="H92" s="87" t="s">
        <v>155</v>
      </c>
      <c r="I92" s="88">
        <v>4.8000000000000001E-2</v>
      </c>
      <c r="J92" s="88">
        <v>4.8499999999999995E-2</v>
      </c>
      <c r="K92" s="84">
        <v>1034000</v>
      </c>
      <c r="L92" s="86">
        <v>102.3909</v>
      </c>
      <c r="M92" s="84">
        <v>1058.72235</v>
      </c>
      <c r="N92" s="74"/>
      <c r="O92" s="85">
        <f t="shared" si="1"/>
        <v>1.2907976653493743E-2</v>
      </c>
      <c r="P92" s="85">
        <f>M92/'סכום נכסי הקרן'!$C$42</f>
        <v>3.7079391187220122E-3</v>
      </c>
    </row>
    <row r="96" spans="2:16">
      <c r="B96" s="89" t="s">
        <v>103</v>
      </c>
    </row>
    <row r="97" spans="2:2">
      <c r="B97" s="89" t="s">
        <v>223</v>
      </c>
    </row>
    <row r="98" spans="2:2">
      <c r="B98" s="89" t="s">
        <v>231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170</v>
      </c>
      <c r="C1" s="68" t="s" vm="1">
        <v>248</v>
      </c>
    </row>
    <row r="2" spans="2:65">
      <c r="B2" s="47" t="s">
        <v>169</v>
      </c>
      <c r="C2" s="68" t="s">
        <v>249</v>
      </c>
    </row>
    <row r="3" spans="2:65">
      <c r="B3" s="47" t="s">
        <v>171</v>
      </c>
      <c r="C3" s="68" t="s">
        <v>250</v>
      </c>
    </row>
    <row r="4" spans="2:65">
      <c r="B4" s="47" t="s">
        <v>172</v>
      </c>
      <c r="C4" s="68">
        <v>2144</v>
      </c>
    </row>
    <row r="6" spans="2:65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65" ht="26.25" customHeight="1">
      <c r="B7" s="134" t="s">
        <v>81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65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95</v>
      </c>
      <c r="J8" s="30" t="s">
        <v>17</v>
      </c>
      <c r="K8" s="30" t="s">
        <v>94</v>
      </c>
      <c r="L8" s="30" t="s">
        <v>16</v>
      </c>
      <c r="M8" s="59" t="s">
        <v>18</v>
      </c>
      <c r="N8" s="30" t="s">
        <v>225</v>
      </c>
      <c r="O8" s="30" t="s">
        <v>224</v>
      </c>
      <c r="P8" s="30" t="s">
        <v>102</v>
      </c>
      <c r="Q8" s="30" t="s">
        <v>53</v>
      </c>
      <c r="R8" s="30" t="s">
        <v>173</v>
      </c>
      <c r="S8" s="31" t="s">
        <v>175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232</v>
      </c>
      <c r="O9" s="32"/>
      <c r="P9" s="32" t="s">
        <v>228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20" t="s">
        <v>176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15">
        <v>0</v>
      </c>
      <c r="Q11" s="91"/>
      <c r="R11" s="91"/>
      <c r="S11" s="91"/>
      <c r="T11" s="5"/>
      <c r="BJ11" s="1"/>
      <c r="BM11" s="1"/>
    </row>
    <row r="12" spans="2:65" ht="20.25" customHeight="1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AH32:XFD35 D36:XFD1048576 D32:AF35 D1:O31 Q1:XFD31 P1:P10 P12:P31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10" workbookViewId="0">
      <selection activeCell="D36" sqref="D36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9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170</v>
      </c>
      <c r="C1" s="68" t="s" vm="1">
        <v>248</v>
      </c>
    </row>
    <row r="2" spans="2:81">
      <c r="B2" s="47" t="s">
        <v>169</v>
      </c>
      <c r="C2" s="68" t="s">
        <v>249</v>
      </c>
    </row>
    <row r="3" spans="2:81">
      <c r="B3" s="47" t="s">
        <v>171</v>
      </c>
      <c r="C3" s="68" t="s">
        <v>250</v>
      </c>
    </row>
    <row r="4" spans="2:81">
      <c r="B4" s="47" t="s">
        <v>172</v>
      </c>
      <c r="C4" s="68">
        <v>2144</v>
      </c>
    </row>
    <row r="6" spans="2:81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81" ht="26.25" customHeight="1">
      <c r="B7" s="134" t="s">
        <v>82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81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95</v>
      </c>
      <c r="J8" s="30" t="s">
        <v>17</v>
      </c>
      <c r="K8" s="30" t="s">
        <v>94</v>
      </c>
      <c r="L8" s="30" t="s">
        <v>16</v>
      </c>
      <c r="M8" s="59" t="s">
        <v>18</v>
      </c>
      <c r="N8" s="59" t="s">
        <v>225</v>
      </c>
      <c r="O8" s="30" t="s">
        <v>224</v>
      </c>
      <c r="P8" s="30" t="s">
        <v>102</v>
      </c>
      <c r="Q8" s="30" t="s">
        <v>53</v>
      </c>
      <c r="R8" s="30" t="s">
        <v>173</v>
      </c>
      <c r="S8" s="31" t="s">
        <v>175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232</v>
      </c>
      <c r="O9" s="32"/>
      <c r="P9" s="32" t="s">
        <v>228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20" t="s">
        <v>176</v>
      </c>
      <c r="T10" s="5"/>
      <c r="BZ10" s="1"/>
    </row>
    <row r="11" spans="2:81" s="4" customFormat="1" ht="18" customHeight="1">
      <c r="B11" s="126" t="s">
        <v>46</v>
      </c>
      <c r="C11" s="72"/>
      <c r="D11" s="72"/>
      <c r="E11" s="72"/>
      <c r="F11" s="72"/>
      <c r="G11" s="72"/>
      <c r="H11" s="72"/>
      <c r="I11" s="72"/>
      <c r="J11" s="83">
        <v>6.7431564874442866</v>
      </c>
      <c r="K11" s="72"/>
      <c r="L11" s="72"/>
      <c r="M11" s="82">
        <v>1.7048615383451125E-2</v>
      </c>
      <c r="N11" s="81"/>
      <c r="O11" s="83"/>
      <c r="P11" s="81">
        <v>2819.8864900000003</v>
      </c>
      <c r="Q11" s="72"/>
      <c r="R11" s="82">
        <f>P11/$P$11</f>
        <v>1</v>
      </c>
      <c r="S11" s="82">
        <f>P11/'סכום נכסי הקרן'!$C$42</f>
        <v>9.876024083771074E-3</v>
      </c>
      <c r="T11" s="5"/>
      <c r="BZ11" s="90"/>
      <c r="CC11" s="90"/>
    </row>
    <row r="12" spans="2:81" s="90" customFormat="1" ht="17.25" customHeight="1">
      <c r="B12" s="127" t="s">
        <v>221</v>
      </c>
      <c r="C12" s="72"/>
      <c r="D12" s="72"/>
      <c r="E12" s="72"/>
      <c r="F12" s="72"/>
      <c r="G12" s="72"/>
      <c r="H12" s="72"/>
      <c r="I12" s="72"/>
      <c r="J12" s="83">
        <v>6.7431564874442866</v>
      </c>
      <c r="K12" s="72"/>
      <c r="L12" s="72"/>
      <c r="M12" s="82">
        <v>1.7048615383451125E-2</v>
      </c>
      <c r="N12" s="81"/>
      <c r="O12" s="83"/>
      <c r="P12" s="81">
        <v>2819.8864900000003</v>
      </c>
      <c r="Q12" s="72"/>
      <c r="R12" s="82">
        <f t="shared" ref="R12:R18" si="0">P12/$P$11</f>
        <v>1</v>
      </c>
      <c r="S12" s="82">
        <f>P12/'סכום נכסי הקרן'!$C$42</f>
        <v>9.876024083771074E-3</v>
      </c>
    </row>
    <row r="13" spans="2:81">
      <c r="B13" s="97" t="s">
        <v>54</v>
      </c>
      <c r="C13" s="72"/>
      <c r="D13" s="72"/>
      <c r="E13" s="72"/>
      <c r="F13" s="72"/>
      <c r="G13" s="72"/>
      <c r="H13" s="72"/>
      <c r="I13" s="72"/>
      <c r="J13" s="83">
        <v>9.2011528685231827</v>
      </c>
      <c r="K13" s="72"/>
      <c r="L13" s="72"/>
      <c r="M13" s="82">
        <v>1.0444449667899768E-2</v>
      </c>
      <c r="N13" s="81"/>
      <c r="O13" s="83"/>
      <c r="P13" s="81">
        <v>1537.4454800000001</v>
      </c>
      <c r="Q13" s="72"/>
      <c r="R13" s="82">
        <f t="shared" si="0"/>
        <v>0.5452153785097924</v>
      </c>
      <c r="S13" s="82">
        <f>P13/'סכום נכסי הקרן'!$C$42</f>
        <v>5.384560209005072E-3</v>
      </c>
    </row>
    <row r="14" spans="2:81">
      <c r="B14" s="98" t="s">
        <v>1385</v>
      </c>
      <c r="C14" s="74" t="s">
        <v>1386</v>
      </c>
      <c r="D14" s="87" t="s">
        <v>1387</v>
      </c>
      <c r="E14" s="74" t="s">
        <v>369</v>
      </c>
      <c r="F14" s="87" t="s">
        <v>147</v>
      </c>
      <c r="G14" s="74" t="s">
        <v>333</v>
      </c>
      <c r="H14" s="74" t="s">
        <v>334</v>
      </c>
      <c r="I14" s="96">
        <v>39076</v>
      </c>
      <c r="J14" s="86">
        <v>7.5</v>
      </c>
      <c r="K14" s="87" t="s">
        <v>155</v>
      </c>
      <c r="L14" s="88">
        <v>4.9000000000000002E-2</v>
      </c>
      <c r="M14" s="85">
        <v>7.3999999999999986E-3</v>
      </c>
      <c r="N14" s="84">
        <v>137297</v>
      </c>
      <c r="O14" s="86">
        <v>164.46</v>
      </c>
      <c r="P14" s="84">
        <v>225.79864000000001</v>
      </c>
      <c r="Q14" s="85">
        <v>6.9939019544488229E-5</v>
      </c>
      <c r="R14" s="85">
        <f t="shared" si="0"/>
        <v>8.0073662823215264E-2</v>
      </c>
      <c r="S14" s="85">
        <f>P14/'סכום נכסי הקרן'!$C$42</f>
        <v>7.9080942251783849E-4</v>
      </c>
    </row>
    <row r="15" spans="2:81">
      <c r="B15" s="98" t="s">
        <v>1388</v>
      </c>
      <c r="C15" s="74" t="s">
        <v>1389</v>
      </c>
      <c r="D15" s="87" t="s">
        <v>1387</v>
      </c>
      <c r="E15" s="74" t="s">
        <v>369</v>
      </c>
      <c r="F15" s="87" t="s">
        <v>147</v>
      </c>
      <c r="G15" s="74" t="s">
        <v>333</v>
      </c>
      <c r="H15" s="74" t="s">
        <v>334</v>
      </c>
      <c r="I15" s="96">
        <v>40738</v>
      </c>
      <c r="J15" s="86">
        <v>11.430000000000001</v>
      </c>
      <c r="K15" s="87" t="s">
        <v>155</v>
      </c>
      <c r="L15" s="88">
        <v>4.0999999999999995E-2</v>
      </c>
      <c r="M15" s="85">
        <v>1.2800000000000001E-2</v>
      </c>
      <c r="N15" s="84">
        <v>650958.76</v>
      </c>
      <c r="O15" s="86">
        <v>143.93</v>
      </c>
      <c r="P15" s="84">
        <v>936.92498000000001</v>
      </c>
      <c r="Q15" s="85">
        <v>1.545380638408864E-4</v>
      </c>
      <c r="R15" s="85">
        <f t="shared" si="0"/>
        <v>0.33225627461337987</v>
      </c>
      <c r="S15" s="85">
        <f>P15/'סכום נכסי הקרן'!$C$42</f>
        <v>3.2813709700657955E-3</v>
      </c>
    </row>
    <row r="16" spans="2:81">
      <c r="B16" s="98" t="s">
        <v>1390</v>
      </c>
      <c r="C16" s="74" t="s">
        <v>1391</v>
      </c>
      <c r="D16" s="87" t="s">
        <v>1387</v>
      </c>
      <c r="E16" s="74" t="s">
        <v>1392</v>
      </c>
      <c r="F16" s="87" t="s">
        <v>1393</v>
      </c>
      <c r="G16" s="74" t="s">
        <v>348</v>
      </c>
      <c r="H16" s="74" t="s">
        <v>151</v>
      </c>
      <c r="I16" s="96">
        <v>42795</v>
      </c>
      <c r="J16" s="86">
        <v>6.8100000000000005</v>
      </c>
      <c r="K16" s="87" t="s">
        <v>155</v>
      </c>
      <c r="L16" s="88">
        <v>2.1400000000000002E-2</v>
      </c>
      <c r="M16" s="85">
        <v>5.2999999999999992E-3</v>
      </c>
      <c r="N16" s="84">
        <v>180000</v>
      </c>
      <c r="O16" s="86">
        <v>113.35</v>
      </c>
      <c r="P16" s="84">
        <v>204.03001</v>
      </c>
      <c r="Q16" s="85">
        <v>6.9325158099874443E-4</v>
      </c>
      <c r="R16" s="85">
        <f t="shared" si="0"/>
        <v>7.2353979751858727E-2</v>
      </c>
      <c r="S16" s="85">
        <f>P16/'סכום נכסי הקרן'!$C$42</f>
        <v>7.1456964658604151E-4</v>
      </c>
    </row>
    <row r="17" spans="2:19">
      <c r="B17" s="98" t="s">
        <v>1394</v>
      </c>
      <c r="C17" s="74" t="s">
        <v>1395</v>
      </c>
      <c r="D17" s="87" t="s">
        <v>1387</v>
      </c>
      <c r="E17" s="74" t="s">
        <v>406</v>
      </c>
      <c r="F17" s="87" t="s">
        <v>147</v>
      </c>
      <c r="G17" s="74" t="s">
        <v>383</v>
      </c>
      <c r="H17" s="74" t="s">
        <v>151</v>
      </c>
      <c r="I17" s="96">
        <v>39084</v>
      </c>
      <c r="J17" s="86">
        <v>3.54</v>
      </c>
      <c r="K17" s="87" t="s">
        <v>155</v>
      </c>
      <c r="L17" s="88">
        <v>5.5999999999999994E-2</v>
      </c>
      <c r="M17" s="85">
        <v>2E-3</v>
      </c>
      <c r="N17" s="84">
        <v>42418.73</v>
      </c>
      <c r="O17" s="86">
        <v>145.07</v>
      </c>
      <c r="P17" s="84">
        <v>61.536850000000001</v>
      </c>
      <c r="Q17" s="85">
        <v>6.0023261818697085E-5</v>
      </c>
      <c r="R17" s="85">
        <f t="shared" si="0"/>
        <v>2.1822456406747064E-2</v>
      </c>
      <c r="S17" s="85">
        <f>P17/'סכום נכסי הקרן'!$C$42</f>
        <v>2.155191050400784E-4</v>
      </c>
    </row>
    <row r="18" spans="2:19">
      <c r="B18" s="98" t="s">
        <v>1396</v>
      </c>
      <c r="C18" s="74" t="s">
        <v>1397</v>
      </c>
      <c r="D18" s="87" t="s">
        <v>1387</v>
      </c>
      <c r="E18" s="74" t="s">
        <v>458</v>
      </c>
      <c r="F18" s="87" t="s">
        <v>459</v>
      </c>
      <c r="G18" s="74" t="s">
        <v>431</v>
      </c>
      <c r="H18" s="74" t="s">
        <v>151</v>
      </c>
      <c r="I18" s="96">
        <v>40561</v>
      </c>
      <c r="J18" s="86">
        <v>1.25</v>
      </c>
      <c r="K18" s="87" t="s">
        <v>155</v>
      </c>
      <c r="L18" s="88">
        <v>0.06</v>
      </c>
      <c r="M18" s="85">
        <v>1.09E-2</v>
      </c>
      <c r="N18" s="84">
        <v>95000</v>
      </c>
      <c r="O18" s="86">
        <v>114.9</v>
      </c>
      <c r="P18" s="84">
        <v>109.155</v>
      </c>
      <c r="Q18" s="85">
        <v>2.5670480608693508E-5</v>
      </c>
      <c r="R18" s="85">
        <f t="shared" si="0"/>
        <v>3.8709004914591436E-2</v>
      </c>
      <c r="S18" s="85">
        <f>P18/'סכום נכסי הקרן'!$C$42</f>
        <v>3.8229106479531786E-4</v>
      </c>
    </row>
    <row r="19" spans="2:19">
      <c r="B19" s="99"/>
      <c r="C19" s="74"/>
      <c r="D19" s="74"/>
      <c r="E19" s="74"/>
      <c r="F19" s="74"/>
      <c r="G19" s="74"/>
      <c r="H19" s="74"/>
      <c r="I19" s="74"/>
      <c r="J19" s="86"/>
      <c r="K19" s="74"/>
      <c r="L19" s="74"/>
      <c r="M19" s="85"/>
      <c r="N19" s="84"/>
      <c r="O19" s="86"/>
      <c r="P19" s="74"/>
      <c r="Q19" s="74"/>
      <c r="R19" s="85"/>
      <c r="S19" s="74"/>
    </row>
    <row r="20" spans="2:19">
      <c r="B20" s="97" t="s">
        <v>55</v>
      </c>
      <c r="C20" s="72"/>
      <c r="D20" s="72"/>
      <c r="E20" s="72"/>
      <c r="F20" s="72"/>
      <c r="G20" s="72"/>
      <c r="H20" s="72"/>
      <c r="I20" s="72"/>
      <c r="J20" s="83">
        <v>4.1425015520409518</v>
      </c>
      <c r="K20" s="72"/>
      <c r="L20" s="72"/>
      <c r="M20" s="82">
        <v>1.8584908861903962E-2</v>
      </c>
      <c r="N20" s="81"/>
      <c r="O20" s="83"/>
      <c r="P20" s="81">
        <v>1093.57617</v>
      </c>
      <c r="Q20" s="72"/>
      <c r="R20" s="82">
        <f t="shared" ref="R20:R26" si="1">P20/$P$11</f>
        <v>0.38780857806797747</v>
      </c>
      <c r="S20" s="82">
        <f>P20/'סכום נכסי הקרן'!$C$42</f>
        <v>3.8300068568923604E-3</v>
      </c>
    </row>
    <row r="21" spans="2:19">
      <c r="B21" s="98" t="s">
        <v>1398</v>
      </c>
      <c r="C21" s="74" t="s">
        <v>1399</v>
      </c>
      <c r="D21" s="87" t="s">
        <v>1387</v>
      </c>
      <c r="E21" s="74" t="s">
        <v>1392</v>
      </c>
      <c r="F21" s="87" t="s">
        <v>1393</v>
      </c>
      <c r="G21" s="74" t="s">
        <v>348</v>
      </c>
      <c r="H21" s="74" t="s">
        <v>151</v>
      </c>
      <c r="I21" s="96">
        <v>42795</v>
      </c>
      <c r="J21" s="86">
        <v>6.38</v>
      </c>
      <c r="K21" s="87" t="s">
        <v>155</v>
      </c>
      <c r="L21" s="88">
        <v>3.7400000000000003E-2</v>
      </c>
      <c r="M21" s="85">
        <v>1.9400000000000001E-2</v>
      </c>
      <c r="N21" s="84">
        <v>215743</v>
      </c>
      <c r="O21" s="86">
        <v>112.95</v>
      </c>
      <c r="P21" s="84">
        <v>243.68172000000001</v>
      </c>
      <c r="Q21" s="85">
        <v>4.1887127274986509E-4</v>
      </c>
      <c r="R21" s="85">
        <f t="shared" si="1"/>
        <v>8.6415435821319178E-2</v>
      </c>
      <c r="S21" s="85">
        <f>P21/'סכום נכסי הקרן'!$C$42</f>
        <v>8.5344092538092175E-4</v>
      </c>
    </row>
    <row r="22" spans="2:19">
      <c r="B22" s="98" t="s">
        <v>1400</v>
      </c>
      <c r="C22" s="74" t="s">
        <v>1401</v>
      </c>
      <c r="D22" s="87" t="s">
        <v>1387</v>
      </c>
      <c r="E22" s="74" t="s">
        <v>1392</v>
      </c>
      <c r="F22" s="87" t="s">
        <v>1393</v>
      </c>
      <c r="G22" s="74" t="s">
        <v>348</v>
      </c>
      <c r="H22" s="74" t="s">
        <v>151</v>
      </c>
      <c r="I22" s="96">
        <v>42795</v>
      </c>
      <c r="J22" s="86">
        <v>3.09</v>
      </c>
      <c r="K22" s="87" t="s">
        <v>155</v>
      </c>
      <c r="L22" s="88">
        <v>2.5000000000000001E-2</v>
      </c>
      <c r="M22" s="85">
        <v>1.01E-2</v>
      </c>
      <c r="N22" s="84">
        <v>246093.98</v>
      </c>
      <c r="O22" s="86">
        <v>105.42</v>
      </c>
      <c r="P22" s="84">
        <v>259.43227000000002</v>
      </c>
      <c r="Q22" s="85">
        <v>3.958714784176859E-4</v>
      </c>
      <c r="R22" s="85">
        <f t="shared" si="1"/>
        <v>9.2000962067093697E-2</v>
      </c>
      <c r="S22" s="85">
        <f>P22/'סכום נכסי הקרן'!$C$42</f>
        <v>9.0860371710472642E-4</v>
      </c>
    </row>
    <row r="23" spans="2:19">
      <c r="B23" s="98" t="s">
        <v>1402</v>
      </c>
      <c r="C23" s="74" t="s">
        <v>1403</v>
      </c>
      <c r="D23" s="87" t="s">
        <v>1387</v>
      </c>
      <c r="E23" s="74" t="s">
        <v>1404</v>
      </c>
      <c r="F23" s="87" t="s">
        <v>395</v>
      </c>
      <c r="G23" s="74" t="s">
        <v>431</v>
      </c>
      <c r="H23" s="74" t="s">
        <v>151</v>
      </c>
      <c r="I23" s="96">
        <v>42598</v>
      </c>
      <c r="J23" s="86">
        <v>4.76</v>
      </c>
      <c r="K23" s="87" t="s">
        <v>155</v>
      </c>
      <c r="L23" s="88">
        <v>3.1E-2</v>
      </c>
      <c r="M23" s="85">
        <v>1.9600000000000003E-2</v>
      </c>
      <c r="N23" s="84">
        <v>310398.32</v>
      </c>
      <c r="O23" s="86">
        <v>105.56</v>
      </c>
      <c r="P23" s="84">
        <v>327.65646999999996</v>
      </c>
      <c r="Q23" s="85">
        <v>4.9182832480955689E-4</v>
      </c>
      <c r="R23" s="85">
        <f t="shared" si="1"/>
        <v>0.11619491463998606</v>
      </c>
      <c r="S23" s="85">
        <f>P23/'סכום נכסי הקרן'!$C$42</f>
        <v>1.1475437753962266E-3</v>
      </c>
    </row>
    <row r="24" spans="2:19">
      <c r="B24" s="98" t="s">
        <v>1405</v>
      </c>
      <c r="C24" s="74" t="s">
        <v>1406</v>
      </c>
      <c r="D24" s="87" t="s">
        <v>1387</v>
      </c>
      <c r="E24" s="74" t="s">
        <v>1407</v>
      </c>
      <c r="F24" s="87" t="s">
        <v>148</v>
      </c>
      <c r="G24" s="74" t="s">
        <v>520</v>
      </c>
      <c r="H24" s="74" t="s">
        <v>151</v>
      </c>
      <c r="I24" s="96">
        <v>43741</v>
      </c>
      <c r="J24" s="86">
        <v>1.23</v>
      </c>
      <c r="K24" s="87" t="s">
        <v>155</v>
      </c>
      <c r="L24" s="88">
        <v>1.34E-2</v>
      </c>
      <c r="M24" s="85">
        <v>2.3799999999999995E-2</v>
      </c>
      <c r="N24" s="84">
        <v>147000</v>
      </c>
      <c r="O24" s="86">
        <v>99.08</v>
      </c>
      <c r="P24" s="84">
        <v>145.64760000000001</v>
      </c>
      <c r="Q24" s="85">
        <v>2.2546398498044209E-4</v>
      </c>
      <c r="R24" s="85">
        <f t="shared" si="1"/>
        <v>5.1650164117066993E-2</v>
      </c>
      <c r="S24" s="85">
        <f>P24/'סכום נכסי הקרן'!$C$42</f>
        <v>5.1009826475088219E-4</v>
      </c>
    </row>
    <row r="25" spans="2:19">
      <c r="B25" s="98" t="s">
        <v>1408</v>
      </c>
      <c r="C25" s="74" t="s">
        <v>1409</v>
      </c>
      <c r="D25" s="87" t="s">
        <v>1387</v>
      </c>
      <c r="E25" s="74" t="s">
        <v>1410</v>
      </c>
      <c r="F25" s="87" t="s">
        <v>395</v>
      </c>
      <c r="G25" s="74" t="s">
        <v>635</v>
      </c>
      <c r="H25" s="74" t="s">
        <v>334</v>
      </c>
      <c r="I25" s="96">
        <v>43310</v>
      </c>
      <c r="J25" s="86">
        <v>3.8399999999999994</v>
      </c>
      <c r="K25" s="87" t="s">
        <v>155</v>
      </c>
      <c r="L25" s="88">
        <v>3.5499999999999997E-2</v>
      </c>
      <c r="M25" s="85">
        <v>2.6600000000000002E-2</v>
      </c>
      <c r="N25" s="84">
        <v>108480</v>
      </c>
      <c r="O25" s="86">
        <v>103.46</v>
      </c>
      <c r="P25" s="84">
        <v>112.23341000000001</v>
      </c>
      <c r="Q25" s="85">
        <v>3.5312499999999998E-4</v>
      </c>
      <c r="R25" s="85">
        <f t="shared" si="1"/>
        <v>3.9800683608367513E-2</v>
      </c>
      <c r="S25" s="85">
        <f>P25/'סכום נכסי הקרן'!$C$42</f>
        <v>3.9307250986679018E-4</v>
      </c>
    </row>
    <row r="26" spans="2:19">
      <c r="B26" s="98" t="s">
        <v>1411</v>
      </c>
      <c r="C26" s="74" t="s">
        <v>1412</v>
      </c>
      <c r="D26" s="87" t="s">
        <v>1387</v>
      </c>
      <c r="E26" s="74" t="s">
        <v>1413</v>
      </c>
      <c r="F26" s="87" t="s">
        <v>395</v>
      </c>
      <c r="G26" s="74" t="s">
        <v>669</v>
      </c>
      <c r="H26" s="74" t="s">
        <v>151</v>
      </c>
      <c r="I26" s="96">
        <v>41903</v>
      </c>
      <c r="J26" s="86">
        <v>0.82</v>
      </c>
      <c r="K26" s="87" t="s">
        <v>155</v>
      </c>
      <c r="L26" s="88">
        <v>5.1500000000000004E-2</v>
      </c>
      <c r="M26" s="85">
        <v>2.0799999999999999E-2</v>
      </c>
      <c r="N26" s="84">
        <v>4705.88</v>
      </c>
      <c r="O26" s="86">
        <v>104.65</v>
      </c>
      <c r="P26" s="84">
        <v>4.9246999999999996</v>
      </c>
      <c r="Q26" s="85">
        <v>2.3529351764828882E-4</v>
      </c>
      <c r="R26" s="85">
        <f t="shared" si="1"/>
        <v>1.7464178141440008E-3</v>
      </c>
      <c r="S26" s="85">
        <f>P26/'סכום נכסי הקרן'!$C$42</f>
        <v>1.7247664392812989E-5</v>
      </c>
    </row>
    <row r="27" spans="2:19">
      <c r="B27" s="99"/>
      <c r="C27" s="74"/>
      <c r="D27" s="74"/>
      <c r="E27" s="74"/>
      <c r="F27" s="74"/>
      <c r="G27" s="74"/>
      <c r="H27" s="74"/>
      <c r="I27" s="74"/>
      <c r="J27" s="86"/>
      <c r="K27" s="74"/>
      <c r="L27" s="74"/>
      <c r="M27" s="85"/>
      <c r="N27" s="84"/>
      <c r="O27" s="86"/>
      <c r="P27" s="74"/>
      <c r="Q27" s="74"/>
      <c r="R27" s="85"/>
      <c r="S27" s="74"/>
    </row>
    <row r="28" spans="2:19">
      <c r="B28" s="97" t="s">
        <v>43</v>
      </c>
      <c r="C28" s="72"/>
      <c r="D28" s="72"/>
      <c r="E28" s="72"/>
      <c r="F28" s="72"/>
      <c r="G28" s="72"/>
      <c r="H28" s="72"/>
      <c r="I28" s="72"/>
      <c r="J28" s="83">
        <v>1.7924141354208651</v>
      </c>
      <c r="K28" s="72"/>
      <c r="L28" s="72"/>
      <c r="M28" s="82">
        <v>6.1913984662259003E-2</v>
      </c>
      <c r="N28" s="81"/>
      <c r="O28" s="83"/>
      <c r="P28" s="81">
        <v>188.86483999999999</v>
      </c>
      <c r="Q28" s="72"/>
      <c r="R28" s="82">
        <f t="shared" ref="R28:R30" si="2">P28/$P$11</f>
        <v>6.6976043422230083E-2</v>
      </c>
      <c r="S28" s="82">
        <f>P28/'סכום נכסי הקרן'!$C$42</f>
        <v>6.6145701787364154E-4</v>
      </c>
    </row>
    <row r="29" spans="2:19">
      <c r="B29" s="98" t="s">
        <v>1414</v>
      </c>
      <c r="C29" s="74" t="s">
        <v>1415</v>
      </c>
      <c r="D29" s="87" t="s">
        <v>1387</v>
      </c>
      <c r="E29" s="74" t="s">
        <v>1416</v>
      </c>
      <c r="F29" s="87" t="s">
        <v>181</v>
      </c>
      <c r="G29" s="74" t="s">
        <v>516</v>
      </c>
      <c r="H29" s="74" t="s">
        <v>334</v>
      </c>
      <c r="I29" s="96">
        <v>42799</v>
      </c>
      <c r="J29" s="86">
        <v>0.21</v>
      </c>
      <c r="K29" s="87" t="s">
        <v>154</v>
      </c>
      <c r="L29" s="88">
        <v>3.7000000000000005E-2</v>
      </c>
      <c r="M29" s="85">
        <v>1.9800000000000002E-2</v>
      </c>
      <c r="N29" s="84">
        <v>8743</v>
      </c>
      <c r="O29" s="86">
        <v>101.43</v>
      </c>
      <c r="P29" s="84">
        <v>30.73659</v>
      </c>
      <c r="Q29" s="85">
        <v>1.3009642283197428E-4</v>
      </c>
      <c r="R29" s="85">
        <f t="shared" si="2"/>
        <v>1.0899938741860491E-2</v>
      </c>
      <c r="S29" s="85">
        <f>P29/'סכום נכסי הקרן'!$C$42</f>
        <v>1.076480575262436E-4</v>
      </c>
    </row>
    <row r="30" spans="2:19">
      <c r="B30" s="98" t="s">
        <v>1417</v>
      </c>
      <c r="C30" s="74" t="s">
        <v>1418</v>
      </c>
      <c r="D30" s="87" t="s">
        <v>1387</v>
      </c>
      <c r="E30" s="74" t="s">
        <v>1416</v>
      </c>
      <c r="F30" s="87" t="s">
        <v>181</v>
      </c>
      <c r="G30" s="74" t="s">
        <v>516</v>
      </c>
      <c r="H30" s="74" t="s">
        <v>334</v>
      </c>
      <c r="I30" s="96">
        <v>42625</v>
      </c>
      <c r="J30" s="86">
        <v>2.1</v>
      </c>
      <c r="K30" s="87" t="s">
        <v>154</v>
      </c>
      <c r="L30" s="88">
        <v>4.4500000000000005E-2</v>
      </c>
      <c r="M30" s="85">
        <v>7.0099999999999996E-2</v>
      </c>
      <c r="N30" s="84">
        <v>47351</v>
      </c>
      <c r="O30" s="86">
        <v>96.35</v>
      </c>
      <c r="P30" s="84">
        <v>158.12825000000001</v>
      </c>
      <c r="Q30" s="85">
        <v>2.1718266044204495E-4</v>
      </c>
      <c r="R30" s="85">
        <f t="shared" si="2"/>
        <v>5.6076104680369596E-2</v>
      </c>
      <c r="S30" s="85">
        <f>P30/'סכום נכסי הקרן'!$C$42</f>
        <v>5.5380896034739799E-4</v>
      </c>
    </row>
    <row r="31" spans="2:19">
      <c r="B31" s="100"/>
      <c r="C31" s="101"/>
      <c r="D31" s="101"/>
      <c r="E31" s="101"/>
      <c r="F31" s="101"/>
      <c r="G31" s="101"/>
      <c r="H31" s="101"/>
      <c r="I31" s="101"/>
      <c r="J31" s="102"/>
      <c r="K31" s="101"/>
      <c r="L31" s="101"/>
      <c r="M31" s="103"/>
      <c r="N31" s="104"/>
      <c r="O31" s="102"/>
      <c r="P31" s="101"/>
      <c r="Q31" s="101"/>
      <c r="R31" s="103"/>
      <c r="S31" s="10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89" t="s">
        <v>241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89" t="s">
        <v>103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89" t="s">
        <v>223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89" t="s">
        <v>231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3 B38:B13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170</v>
      </c>
      <c r="C1" s="68" t="s" vm="1">
        <v>248</v>
      </c>
    </row>
    <row r="2" spans="2:98">
      <c r="B2" s="47" t="s">
        <v>169</v>
      </c>
      <c r="C2" s="68" t="s">
        <v>249</v>
      </c>
    </row>
    <row r="3" spans="2:98">
      <c r="B3" s="47" t="s">
        <v>171</v>
      </c>
      <c r="C3" s="68" t="s">
        <v>250</v>
      </c>
    </row>
    <row r="4" spans="2:98">
      <c r="B4" s="47" t="s">
        <v>172</v>
      </c>
      <c r="C4" s="68">
        <v>2144</v>
      </c>
    </row>
    <row r="6" spans="2:98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2:98" ht="26.25" customHeight="1">
      <c r="B7" s="134" t="s">
        <v>83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2:98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94</v>
      </c>
      <c r="H8" s="30" t="s">
        <v>225</v>
      </c>
      <c r="I8" s="30" t="s">
        <v>224</v>
      </c>
      <c r="J8" s="30" t="s">
        <v>102</v>
      </c>
      <c r="K8" s="30" t="s">
        <v>53</v>
      </c>
      <c r="L8" s="30" t="s">
        <v>173</v>
      </c>
      <c r="M8" s="31" t="s">
        <v>175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232</v>
      </c>
      <c r="I9" s="32"/>
      <c r="J9" s="32" t="s">
        <v>228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/>
      <c r="C11" s="74"/>
      <c r="D11" s="74"/>
      <c r="E11" s="74"/>
      <c r="F11" s="74"/>
      <c r="G11" s="74"/>
      <c r="H11" s="84"/>
      <c r="I11" s="84"/>
      <c r="J11" s="115">
        <v>0</v>
      </c>
      <c r="K11" s="74"/>
      <c r="L11" s="85"/>
      <c r="M11" s="7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5"/>
      <c r="C12" s="74"/>
      <c r="D12" s="74"/>
      <c r="E12" s="74"/>
      <c r="F12" s="74"/>
      <c r="G12" s="74"/>
      <c r="H12" s="84"/>
      <c r="I12" s="84"/>
      <c r="J12" s="74"/>
      <c r="K12" s="74"/>
      <c r="L12" s="85"/>
      <c r="M12" s="74"/>
    </row>
    <row r="13" spans="2:98">
      <c r="B13" s="92"/>
      <c r="C13" s="72"/>
      <c r="D13" s="72"/>
      <c r="E13" s="72"/>
      <c r="F13" s="72"/>
      <c r="G13" s="72"/>
      <c r="H13" s="81"/>
      <c r="I13" s="81"/>
      <c r="J13" s="72"/>
      <c r="K13" s="72"/>
      <c r="L13" s="82"/>
      <c r="M13" s="72"/>
    </row>
    <row r="14" spans="2:98">
      <c r="B14" s="77"/>
      <c r="C14" s="74"/>
      <c r="D14" s="87"/>
      <c r="E14" s="74"/>
      <c r="F14" s="87"/>
      <c r="G14" s="87"/>
      <c r="H14" s="84"/>
      <c r="I14" s="84"/>
      <c r="J14" s="74"/>
      <c r="K14" s="74"/>
      <c r="L14" s="85"/>
      <c r="M14" s="74"/>
    </row>
    <row r="15" spans="2:9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89" t="s">
        <v>241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89" t="s">
        <v>103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89" t="s">
        <v>223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89" t="s">
        <v>231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C115" s="1"/>
      <c r="D115" s="1"/>
      <c r="E115" s="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AH22:XFD25 D26:XFD1048576 D22:AF25 D1:I21 K1:XFD21 J1:J10 J12:J21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H11" sqref="H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170</v>
      </c>
      <c r="C1" s="68" t="s" vm="1">
        <v>248</v>
      </c>
    </row>
    <row r="2" spans="2:55">
      <c r="B2" s="47" t="s">
        <v>169</v>
      </c>
      <c r="C2" s="68" t="s">
        <v>249</v>
      </c>
    </row>
    <row r="3" spans="2:55">
      <c r="B3" s="47" t="s">
        <v>171</v>
      </c>
      <c r="C3" s="68" t="s">
        <v>250</v>
      </c>
    </row>
    <row r="4" spans="2:55">
      <c r="B4" s="47" t="s">
        <v>172</v>
      </c>
      <c r="C4" s="68">
        <v>2144</v>
      </c>
    </row>
    <row r="6" spans="2:55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55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55" s="3" customFormat="1" ht="78.75">
      <c r="B8" s="22" t="s">
        <v>107</v>
      </c>
      <c r="C8" s="30" t="s">
        <v>41</v>
      </c>
      <c r="D8" s="30" t="s">
        <v>94</v>
      </c>
      <c r="E8" s="30" t="s">
        <v>95</v>
      </c>
      <c r="F8" s="30" t="s">
        <v>225</v>
      </c>
      <c r="G8" s="30" t="s">
        <v>224</v>
      </c>
      <c r="H8" s="30" t="s">
        <v>102</v>
      </c>
      <c r="I8" s="30" t="s">
        <v>53</v>
      </c>
      <c r="J8" s="30" t="s">
        <v>173</v>
      </c>
      <c r="K8" s="31" t="s">
        <v>175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232</v>
      </c>
      <c r="G9" s="32"/>
      <c r="H9" s="32" t="s">
        <v>228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1"/>
      <c r="C11" s="91"/>
      <c r="D11" s="91"/>
      <c r="E11" s="91"/>
      <c r="F11" s="91"/>
      <c r="G11" s="91"/>
      <c r="H11" s="115">
        <v>0</v>
      </c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223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231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H39:XFD41 D42:XFD1048576 D39:AF41 D1:G38 I1:XFD38 H1:H10 H12:H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170</v>
      </c>
      <c r="C1" s="68" t="s" vm="1">
        <v>248</v>
      </c>
    </row>
    <row r="2" spans="2:59">
      <c r="B2" s="47" t="s">
        <v>169</v>
      </c>
      <c r="C2" s="68" t="s">
        <v>249</v>
      </c>
    </row>
    <row r="3" spans="2:59">
      <c r="B3" s="47" t="s">
        <v>171</v>
      </c>
      <c r="C3" s="68" t="s">
        <v>250</v>
      </c>
    </row>
    <row r="4" spans="2:59">
      <c r="B4" s="47" t="s">
        <v>172</v>
      </c>
      <c r="C4" s="68">
        <v>2144</v>
      </c>
    </row>
    <row r="6" spans="2:59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59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59" s="3" customFormat="1" ht="78.75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225</v>
      </c>
      <c r="H8" s="30" t="s">
        <v>224</v>
      </c>
      <c r="I8" s="30" t="s">
        <v>102</v>
      </c>
      <c r="J8" s="30" t="s">
        <v>53</v>
      </c>
      <c r="K8" s="30" t="s">
        <v>173</v>
      </c>
      <c r="L8" s="31" t="s">
        <v>175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232</v>
      </c>
      <c r="H9" s="16"/>
      <c r="I9" s="16" t="s">
        <v>228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1"/>
      <c r="C11" s="91"/>
      <c r="D11" s="91"/>
      <c r="E11" s="91"/>
      <c r="F11" s="91"/>
      <c r="G11" s="91"/>
      <c r="H11" s="91"/>
      <c r="I11" s="115">
        <v>0</v>
      </c>
      <c r="J11" s="91"/>
      <c r="K11" s="91"/>
      <c r="L11" s="91"/>
      <c r="M11" s="1"/>
      <c r="N11" s="1"/>
      <c r="O11" s="1"/>
      <c r="P11" s="1"/>
      <c r="BG11" s="1"/>
    </row>
    <row r="12" spans="2:59" ht="21" customHeight="1">
      <c r="B12" s="105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9">
      <c r="B13" s="105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9">
      <c r="B14" s="105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H39:XFD41 D42:XFD1048576 D39:AF41 D1:H38 J1:XFD38 I1:I10 I12:I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170</v>
      </c>
      <c r="C1" s="68" t="s" vm="1">
        <v>248</v>
      </c>
    </row>
    <row r="2" spans="2:54">
      <c r="B2" s="47" t="s">
        <v>169</v>
      </c>
      <c r="C2" s="68" t="s">
        <v>249</v>
      </c>
    </row>
    <row r="3" spans="2:54">
      <c r="B3" s="47" t="s">
        <v>171</v>
      </c>
      <c r="C3" s="68" t="s">
        <v>250</v>
      </c>
    </row>
    <row r="4" spans="2:54">
      <c r="B4" s="47" t="s">
        <v>172</v>
      </c>
      <c r="C4" s="68">
        <v>2144</v>
      </c>
    </row>
    <row r="6" spans="2:54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54" ht="26.25" customHeight="1">
      <c r="B7" s="134" t="s">
        <v>91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54" s="3" customFormat="1" ht="78.75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225</v>
      </c>
      <c r="H8" s="30" t="s">
        <v>224</v>
      </c>
      <c r="I8" s="30" t="s">
        <v>102</v>
      </c>
      <c r="J8" s="30" t="s">
        <v>53</v>
      </c>
      <c r="K8" s="30" t="s">
        <v>173</v>
      </c>
      <c r="L8" s="31" t="s">
        <v>175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232</v>
      </c>
      <c r="H9" s="16"/>
      <c r="I9" s="16" t="s">
        <v>228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115">
        <v>0</v>
      </c>
      <c r="J11" s="91"/>
      <c r="K11" s="91"/>
      <c r="L11" s="91"/>
      <c r="AZ11" s="1"/>
    </row>
    <row r="12" spans="2:54" ht="19.5" customHeight="1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H44:XFD47 D48:XFD1048576 D44:AF47 D1:H43 J1:XFD43 I1:I10 I12:I43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topLeftCell="A10" workbookViewId="0">
      <selection activeCell="J13" sqref="J13:J1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170</v>
      </c>
      <c r="C1" s="68" t="s" vm="1">
        <v>248</v>
      </c>
    </row>
    <row r="2" spans="2:13">
      <c r="B2" s="47" t="s">
        <v>169</v>
      </c>
      <c r="C2" s="68" t="s">
        <v>249</v>
      </c>
    </row>
    <row r="3" spans="2:13">
      <c r="B3" s="47" t="s">
        <v>171</v>
      </c>
      <c r="C3" s="68" t="s">
        <v>250</v>
      </c>
    </row>
    <row r="4" spans="2:13">
      <c r="B4" s="47" t="s">
        <v>172</v>
      </c>
      <c r="C4" s="68">
        <v>2144</v>
      </c>
    </row>
    <row r="6" spans="2:13" ht="26.25" customHeight="1">
      <c r="B6" s="134" t="s">
        <v>199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3" s="3" customFormat="1" ht="63">
      <c r="B7" s="67" t="s">
        <v>106</v>
      </c>
      <c r="C7" s="50" t="s">
        <v>41</v>
      </c>
      <c r="D7" s="50" t="s">
        <v>108</v>
      </c>
      <c r="E7" s="50" t="s">
        <v>14</v>
      </c>
      <c r="F7" s="50" t="s">
        <v>61</v>
      </c>
      <c r="G7" s="50" t="s">
        <v>94</v>
      </c>
      <c r="H7" s="50" t="s">
        <v>16</v>
      </c>
      <c r="I7" s="50" t="s">
        <v>18</v>
      </c>
      <c r="J7" s="50" t="s">
        <v>56</v>
      </c>
      <c r="K7" s="50" t="s">
        <v>173</v>
      </c>
      <c r="L7" s="52" t="s">
        <v>174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228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69" t="s">
        <v>40</v>
      </c>
      <c r="C10" s="70"/>
      <c r="D10" s="70"/>
      <c r="E10" s="70"/>
      <c r="F10" s="70"/>
      <c r="G10" s="70"/>
      <c r="H10" s="70"/>
      <c r="I10" s="70"/>
      <c r="J10" s="78">
        <f>J11</f>
        <v>12655.198306959001</v>
      </c>
      <c r="K10" s="79">
        <f>J10/$J$10</f>
        <v>1</v>
      </c>
      <c r="L10" s="79">
        <f>J10/'סכום נכסי הקרן'!$C$42</f>
        <v>4.4322012147526547E-2</v>
      </c>
    </row>
    <row r="11" spans="2:13">
      <c r="B11" s="71" t="s">
        <v>221</v>
      </c>
      <c r="C11" s="72"/>
      <c r="D11" s="72"/>
      <c r="E11" s="72"/>
      <c r="F11" s="72"/>
      <c r="G11" s="72"/>
      <c r="H11" s="72"/>
      <c r="I11" s="72"/>
      <c r="J11" s="81">
        <f>J12+J20</f>
        <v>12655.198306959001</v>
      </c>
      <c r="K11" s="82">
        <f t="shared" ref="K11:K18" si="0">J11/$J$10</f>
        <v>1</v>
      </c>
      <c r="L11" s="82">
        <f>J11/'סכום נכסי הקרן'!$C$42</f>
        <v>4.4322012147526547E-2</v>
      </c>
    </row>
    <row r="12" spans="2:13">
      <c r="B12" s="92" t="s">
        <v>38</v>
      </c>
      <c r="C12" s="72"/>
      <c r="D12" s="72"/>
      <c r="E12" s="72"/>
      <c r="F12" s="72"/>
      <c r="G12" s="72"/>
      <c r="H12" s="72"/>
      <c r="I12" s="72"/>
      <c r="J12" s="81">
        <f>SUM(J13:J18)</f>
        <v>10988.747508645001</v>
      </c>
      <c r="K12" s="82">
        <f t="shared" si="0"/>
        <v>0.86831887119480144</v>
      </c>
      <c r="L12" s="82">
        <f>J12/'סכום נכסי הקרן'!$C$42</f>
        <v>3.8485639557022527E-2</v>
      </c>
    </row>
    <row r="13" spans="2:13">
      <c r="B13" s="77" t="s">
        <v>1521</v>
      </c>
      <c r="C13" s="74" t="s">
        <v>1522</v>
      </c>
      <c r="D13" s="74">
        <v>11</v>
      </c>
      <c r="E13" s="74" t="s">
        <v>333</v>
      </c>
      <c r="F13" s="74" t="s">
        <v>334</v>
      </c>
      <c r="G13" s="87" t="s">
        <v>155</v>
      </c>
      <c r="H13" s="88">
        <v>0</v>
      </c>
      <c r="I13" s="88">
        <v>0</v>
      </c>
      <c r="J13" s="84">
        <v>137.00571235799998</v>
      </c>
      <c r="K13" s="85">
        <f t="shared" si="0"/>
        <v>1.0826042313589156E-2</v>
      </c>
      <c r="L13" s="85">
        <f>J13/'סכום נכסי הקרן'!$C$42</f>
        <v>4.7983197893253498E-4</v>
      </c>
    </row>
    <row r="14" spans="2:13">
      <c r="B14" s="77" t="s">
        <v>1523</v>
      </c>
      <c r="C14" s="74" t="s">
        <v>1524</v>
      </c>
      <c r="D14" s="74">
        <v>12</v>
      </c>
      <c r="E14" s="74" t="s">
        <v>333</v>
      </c>
      <c r="F14" s="74" t="s">
        <v>334</v>
      </c>
      <c r="G14" s="87" t="s">
        <v>155</v>
      </c>
      <c r="H14" s="88">
        <v>0</v>
      </c>
      <c r="I14" s="88">
        <v>0</v>
      </c>
      <c r="J14" s="84">
        <v>1215.4885615380001</v>
      </c>
      <c r="K14" s="85">
        <f t="shared" si="0"/>
        <v>9.6046583550540798E-2</v>
      </c>
      <c r="L14" s="85">
        <f>J14/'סכום נכסי הקרן'!$C$42</f>
        <v>4.2569778428554932E-3</v>
      </c>
    </row>
    <row r="15" spans="2:13">
      <c r="B15" s="77" t="s">
        <v>1525</v>
      </c>
      <c r="C15" s="74" t="s">
        <v>1526</v>
      </c>
      <c r="D15" s="74">
        <v>10</v>
      </c>
      <c r="E15" s="74" t="s">
        <v>333</v>
      </c>
      <c r="F15" s="74" t="s">
        <v>334</v>
      </c>
      <c r="G15" s="87" t="s">
        <v>155</v>
      </c>
      <c r="H15" s="88">
        <v>0</v>
      </c>
      <c r="I15" s="88">
        <v>0</v>
      </c>
      <c r="J15" s="84">
        <v>1205.0902988839998</v>
      </c>
      <c r="K15" s="85">
        <f t="shared" si="0"/>
        <v>9.5224924150049031E-2</v>
      </c>
      <c r="L15" s="85">
        <f>J15/'סכום נכסי הקרן'!$C$42</f>
        <v>4.220560244925768E-3</v>
      </c>
    </row>
    <row r="16" spans="2:13">
      <c r="B16" s="77" t="s">
        <v>1525</v>
      </c>
      <c r="C16" s="74" t="s">
        <v>1527</v>
      </c>
      <c r="D16" s="74">
        <v>10</v>
      </c>
      <c r="E16" s="74" t="s">
        <v>333</v>
      </c>
      <c r="F16" s="74" t="s">
        <v>334</v>
      </c>
      <c r="G16" s="87" t="s">
        <v>155</v>
      </c>
      <c r="H16" s="88">
        <v>0</v>
      </c>
      <c r="I16" s="88">
        <v>0</v>
      </c>
      <c r="J16" s="84">
        <v>8342.9500000000007</v>
      </c>
      <c r="K16" s="85">
        <f t="shared" si="0"/>
        <v>0.65925083097372517</v>
      </c>
      <c r="L16" s="85">
        <f>J16/'סכום נכסי הקרן'!$C$42</f>
        <v>2.9219323338684419E-2</v>
      </c>
    </row>
    <row r="17" spans="2:12">
      <c r="B17" s="77" t="s">
        <v>1528</v>
      </c>
      <c r="C17" s="74" t="s">
        <v>1529</v>
      </c>
      <c r="D17" s="74">
        <v>20</v>
      </c>
      <c r="E17" s="74" t="s">
        <v>333</v>
      </c>
      <c r="F17" s="74" t="s">
        <v>334</v>
      </c>
      <c r="G17" s="87" t="s">
        <v>155</v>
      </c>
      <c r="H17" s="88">
        <v>0</v>
      </c>
      <c r="I17" s="88">
        <v>0</v>
      </c>
      <c r="J17" s="84">
        <v>63.949985865000023</v>
      </c>
      <c r="K17" s="85">
        <f t="shared" si="0"/>
        <v>5.0532582985945308E-3</v>
      </c>
      <c r="L17" s="85">
        <f>J17/'סכום נכסי הקרן'!$C$42</f>
        <v>2.2397057569489612E-4</v>
      </c>
    </row>
    <row r="18" spans="2:12">
      <c r="B18" s="77" t="s">
        <v>1530</v>
      </c>
      <c r="C18" s="74" t="s">
        <v>1531</v>
      </c>
      <c r="D18" s="74">
        <v>26</v>
      </c>
      <c r="E18" s="74" t="s">
        <v>333</v>
      </c>
      <c r="F18" s="74" t="s">
        <v>334</v>
      </c>
      <c r="G18" s="87" t="s">
        <v>155</v>
      </c>
      <c r="H18" s="88">
        <v>0</v>
      </c>
      <c r="I18" s="88">
        <v>0</v>
      </c>
      <c r="J18" s="84">
        <v>24.26295</v>
      </c>
      <c r="K18" s="85">
        <f t="shared" si="0"/>
        <v>1.9172319083026919E-3</v>
      </c>
      <c r="L18" s="85">
        <f>J18/'סכום נכסי הקרן'!$C$42</f>
        <v>8.4975575929417416E-5</v>
      </c>
    </row>
    <row r="19" spans="2:12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</row>
    <row r="20" spans="2:12">
      <c r="B20" s="92" t="s">
        <v>39</v>
      </c>
      <c r="C20" s="72"/>
      <c r="D20" s="72"/>
      <c r="E20" s="72"/>
      <c r="F20" s="72"/>
      <c r="G20" s="72"/>
      <c r="H20" s="72"/>
      <c r="I20" s="72"/>
      <c r="J20" s="81">
        <f>SUM(J21:J31)</f>
        <v>1666.4507983139997</v>
      </c>
      <c r="K20" s="82">
        <f t="shared" ref="K20:K31" si="1">J20/$J$10</f>
        <v>0.13168112880519864</v>
      </c>
      <c r="L20" s="82">
        <f>J20/'סכום נכסי הקרן'!$C$42</f>
        <v>5.8363725905040218E-3</v>
      </c>
    </row>
    <row r="21" spans="2:12">
      <c r="B21" s="77" t="s">
        <v>1523</v>
      </c>
      <c r="C21" s="74" t="s">
        <v>1532</v>
      </c>
      <c r="D21" s="74">
        <v>12</v>
      </c>
      <c r="E21" s="74" t="s">
        <v>333</v>
      </c>
      <c r="F21" s="74" t="s">
        <v>334</v>
      </c>
      <c r="G21" s="87" t="s">
        <v>156</v>
      </c>
      <c r="H21" s="88">
        <v>0</v>
      </c>
      <c r="I21" s="88">
        <v>0</v>
      </c>
      <c r="J21" s="84">
        <v>6.9531955490000001</v>
      </c>
      <c r="K21" s="85">
        <f t="shared" si="1"/>
        <v>5.4943394645791442E-4</v>
      </c>
      <c r="L21" s="85">
        <f>J21/'סכום נכסי הקרן'!$C$42</f>
        <v>2.4352018049171133E-5</v>
      </c>
    </row>
    <row r="22" spans="2:12">
      <c r="B22" s="77" t="s">
        <v>1523</v>
      </c>
      <c r="C22" s="74" t="s">
        <v>1533</v>
      </c>
      <c r="D22" s="74">
        <v>12</v>
      </c>
      <c r="E22" s="74" t="s">
        <v>333</v>
      </c>
      <c r="F22" s="74" t="s">
        <v>334</v>
      </c>
      <c r="G22" s="87" t="s">
        <v>154</v>
      </c>
      <c r="H22" s="88">
        <v>0</v>
      </c>
      <c r="I22" s="88">
        <v>0</v>
      </c>
      <c r="J22" s="84">
        <v>3.1194085610000002</v>
      </c>
      <c r="K22" s="85">
        <f t="shared" si="1"/>
        <v>2.4649227023844112E-4</v>
      </c>
      <c r="L22" s="85">
        <f>J22/'סכום נכסי הקרן'!$C$42</f>
        <v>1.0925033395779583E-5</v>
      </c>
    </row>
    <row r="23" spans="2:12">
      <c r="B23" s="77" t="s">
        <v>1525</v>
      </c>
      <c r="C23" s="74" t="s">
        <v>1534</v>
      </c>
      <c r="D23" s="74">
        <v>10</v>
      </c>
      <c r="E23" s="74" t="s">
        <v>333</v>
      </c>
      <c r="F23" s="74" t="s">
        <v>334</v>
      </c>
      <c r="G23" s="87" t="s">
        <v>157</v>
      </c>
      <c r="H23" s="88">
        <v>0</v>
      </c>
      <c r="I23" s="88">
        <v>0</v>
      </c>
      <c r="J23" s="84">
        <v>-2.0867199999999997</v>
      </c>
      <c r="K23" s="85">
        <f t="shared" si="1"/>
        <v>-1.6489034382436565E-4</v>
      </c>
      <c r="L23" s="85">
        <f>J23/'סכום נכסי הקרן'!$C$42</f>
        <v>-7.308271821993364E-6</v>
      </c>
    </row>
    <row r="24" spans="2:12">
      <c r="B24" s="77" t="s">
        <v>1525</v>
      </c>
      <c r="C24" s="74" t="s">
        <v>1535</v>
      </c>
      <c r="D24" s="74">
        <v>10</v>
      </c>
      <c r="E24" s="74" t="s">
        <v>333</v>
      </c>
      <c r="F24" s="74" t="s">
        <v>334</v>
      </c>
      <c r="G24" s="87" t="s">
        <v>157</v>
      </c>
      <c r="H24" s="88">
        <v>0</v>
      </c>
      <c r="I24" s="88">
        <v>0</v>
      </c>
      <c r="J24" s="84">
        <v>0.96576567999999996</v>
      </c>
      <c r="K24" s="85">
        <f t="shared" si="1"/>
        <v>7.6313753176742599E-5</v>
      </c>
      <c r="L24" s="85">
        <f>J24/'סכום נכסי הקרן'!$C$42</f>
        <v>3.382379095322928E-6</v>
      </c>
    </row>
    <row r="25" spans="2:12">
      <c r="B25" s="77" t="s">
        <v>1525</v>
      </c>
      <c r="C25" s="74" t="s">
        <v>1536</v>
      </c>
      <c r="D25" s="74">
        <v>10</v>
      </c>
      <c r="E25" s="74" t="s">
        <v>333</v>
      </c>
      <c r="F25" s="74" t="s">
        <v>334</v>
      </c>
      <c r="G25" s="87" t="s">
        <v>154</v>
      </c>
      <c r="H25" s="88">
        <v>0</v>
      </c>
      <c r="I25" s="88">
        <v>0</v>
      </c>
      <c r="J25" s="84">
        <f>1654.122020589-25.918715004+2.287491097</f>
        <v>1630.4907966819999</v>
      </c>
      <c r="K25" s="85">
        <f t="shared" si="1"/>
        <v>0.12883960860458465</v>
      </c>
      <c r="L25" s="85">
        <f>J25/'סכום נכסי הקרן'!$C$42</f>
        <v>5.7104306976549666E-3</v>
      </c>
    </row>
    <row r="26" spans="2:12">
      <c r="B26" s="77" t="s">
        <v>1525</v>
      </c>
      <c r="C26" s="74" t="s">
        <v>1537</v>
      </c>
      <c r="D26" s="74">
        <v>10</v>
      </c>
      <c r="E26" s="74" t="s">
        <v>333</v>
      </c>
      <c r="F26" s="74" t="s">
        <v>334</v>
      </c>
      <c r="G26" s="87" t="s">
        <v>156</v>
      </c>
      <c r="H26" s="88">
        <v>0</v>
      </c>
      <c r="I26" s="88">
        <v>0</v>
      </c>
      <c r="J26" s="84">
        <v>10.25156</v>
      </c>
      <c r="K26" s="85">
        <f t="shared" si="1"/>
        <v>8.1006711640091347E-4</v>
      </c>
      <c r="L26" s="85">
        <f>J26/'סכום נכסי הקרן'!$C$42</f>
        <v>3.590380457343309E-5</v>
      </c>
    </row>
    <row r="27" spans="2:12">
      <c r="B27" s="77" t="s">
        <v>1525</v>
      </c>
      <c r="C27" s="74" t="s">
        <v>1538</v>
      </c>
      <c r="D27" s="74">
        <v>10</v>
      </c>
      <c r="E27" s="74" t="s">
        <v>333</v>
      </c>
      <c r="F27" s="74" t="s">
        <v>334</v>
      </c>
      <c r="G27" s="87" t="s">
        <v>156</v>
      </c>
      <c r="H27" s="88">
        <v>0</v>
      </c>
      <c r="I27" s="88">
        <v>0</v>
      </c>
      <c r="J27" s="84">
        <v>19.268488281000003</v>
      </c>
      <c r="K27" s="85">
        <f t="shared" si="1"/>
        <v>1.522574977778452E-3</v>
      </c>
      <c r="L27" s="85">
        <f>J27/'סכום נכסי הקרן'!$C$42</f>
        <v>6.748358666061652E-5</v>
      </c>
    </row>
    <row r="28" spans="2:12">
      <c r="B28" s="77" t="s">
        <v>1525</v>
      </c>
      <c r="C28" s="74" t="s">
        <v>1539</v>
      </c>
      <c r="D28" s="74">
        <v>10</v>
      </c>
      <c r="E28" s="74" t="s">
        <v>333</v>
      </c>
      <c r="F28" s="74" t="s">
        <v>334</v>
      </c>
      <c r="G28" s="87" t="s">
        <v>158</v>
      </c>
      <c r="H28" s="88">
        <v>0</v>
      </c>
      <c r="I28" s="88">
        <v>0</v>
      </c>
      <c r="J28" s="84">
        <v>10.634739999999999</v>
      </c>
      <c r="K28" s="85">
        <f t="shared" si="1"/>
        <v>8.4034558305989035E-4</v>
      </c>
      <c r="L28" s="85">
        <f>J28/'סכום נכסי הקרן'!$C$42</f>
        <v>3.7245807140500744E-5</v>
      </c>
    </row>
    <row r="29" spans="2:12">
      <c r="B29" s="77" t="s">
        <v>1528</v>
      </c>
      <c r="C29" s="74" t="s">
        <v>1540</v>
      </c>
      <c r="D29" s="74">
        <v>20</v>
      </c>
      <c r="E29" s="74" t="s">
        <v>333</v>
      </c>
      <c r="F29" s="74" t="s">
        <v>334</v>
      </c>
      <c r="G29" s="87" t="s">
        <v>156</v>
      </c>
      <c r="H29" s="88">
        <v>0</v>
      </c>
      <c r="I29" s="88">
        <v>0</v>
      </c>
      <c r="J29" s="84">
        <v>2.1984109469999997</v>
      </c>
      <c r="K29" s="85">
        <f t="shared" si="1"/>
        <v>1.737160409245511E-4</v>
      </c>
      <c r="L29" s="85">
        <f>J29/'סכום נכסי הקרן'!$C$42</f>
        <v>7.699444476078173E-6</v>
      </c>
    </row>
    <row r="30" spans="2:12">
      <c r="B30" s="77" t="s">
        <v>1528</v>
      </c>
      <c r="C30" s="74" t="s">
        <v>1541</v>
      </c>
      <c r="D30" s="74">
        <v>20</v>
      </c>
      <c r="E30" s="74" t="s">
        <v>333</v>
      </c>
      <c r="F30" s="74" t="s">
        <v>334</v>
      </c>
      <c r="G30" s="87" t="s">
        <v>154</v>
      </c>
      <c r="H30" s="88">
        <v>0</v>
      </c>
      <c r="I30" s="88">
        <v>0</v>
      </c>
      <c r="J30" s="84">
        <v>3.946252614</v>
      </c>
      <c r="K30" s="85">
        <f t="shared" si="1"/>
        <v>3.1182858761130472E-4</v>
      </c>
      <c r="L30" s="85">
        <f>J30/'סכום נכסי הקרן'!$C$42</f>
        <v>1.3820870448054294E-5</v>
      </c>
    </row>
    <row r="31" spans="2:12">
      <c r="B31" s="77" t="s">
        <v>1530</v>
      </c>
      <c r="C31" s="74" t="s">
        <v>1542</v>
      </c>
      <c r="D31" s="74">
        <v>26</v>
      </c>
      <c r="E31" s="74" t="s">
        <v>333</v>
      </c>
      <c r="F31" s="74" t="s">
        <v>334</v>
      </c>
      <c r="G31" s="87" t="s">
        <v>154</v>
      </c>
      <c r="H31" s="88">
        <v>0</v>
      </c>
      <c r="I31" s="88">
        <v>0</v>
      </c>
      <c r="J31" s="84">
        <v>-19.2911</v>
      </c>
      <c r="K31" s="85">
        <f t="shared" si="1"/>
        <v>-1.5243617312098513E-3</v>
      </c>
      <c r="L31" s="85">
        <f>J31/'סכום נכסי הקרן'!$C$42</f>
        <v>-6.7562779167907631E-5</v>
      </c>
    </row>
    <row r="32" spans="2:12">
      <c r="B32" s="73"/>
      <c r="C32" s="74"/>
      <c r="D32" s="74"/>
      <c r="E32" s="74"/>
      <c r="F32" s="74"/>
      <c r="G32" s="74"/>
      <c r="H32" s="74"/>
      <c r="I32" s="74"/>
      <c r="J32" s="74"/>
      <c r="K32" s="85"/>
      <c r="L32" s="74"/>
    </row>
    <row r="33" spans="2:12">
      <c r="B33" s="71"/>
      <c r="C33" s="72"/>
      <c r="D33" s="72"/>
      <c r="E33" s="72"/>
      <c r="F33" s="72"/>
      <c r="G33" s="72"/>
      <c r="H33" s="72"/>
      <c r="I33" s="72"/>
      <c r="J33" s="81"/>
      <c r="K33" s="82"/>
      <c r="L33" s="82"/>
    </row>
    <row r="34" spans="2:12">
      <c r="B34" s="73"/>
      <c r="C34" s="74"/>
      <c r="D34" s="74"/>
      <c r="E34" s="74"/>
      <c r="F34" s="74"/>
      <c r="G34" s="74"/>
      <c r="H34" s="74"/>
      <c r="I34" s="74"/>
      <c r="J34" s="84"/>
      <c r="K34" s="85"/>
      <c r="L34" s="85"/>
    </row>
    <row r="35" spans="2:12">
      <c r="B35" s="77"/>
      <c r="C35" s="74"/>
      <c r="D35" s="74"/>
      <c r="E35" s="74"/>
      <c r="F35" s="74"/>
      <c r="G35" s="87"/>
      <c r="H35" s="74"/>
      <c r="I35" s="74"/>
      <c r="J35" s="84"/>
      <c r="K35" s="85"/>
      <c r="L35" s="85"/>
    </row>
    <row r="36" spans="2:12">
      <c r="B36" s="89" t="s">
        <v>241</v>
      </c>
      <c r="D36" s="1"/>
    </row>
    <row r="37" spans="2:12">
      <c r="B37" s="105"/>
      <c r="D37" s="1"/>
    </row>
    <row r="38" spans="2:12">
      <c r="D38" s="1"/>
    </row>
    <row r="39" spans="2:12">
      <c r="D39" s="1"/>
    </row>
    <row r="40" spans="2:12">
      <c r="D40" s="1"/>
    </row>
    <row r="41" spans="2:12">
      <c r="D41" s="1"/>
    </row>
    <row r="42" spans="2:12"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1"/>
  <sheetViews>
    <sheetView rightToLeft="1" topLeftCell="A3" workbookViewId="0">
      <selection activeCell="J67" activeCellId="5" sqref="J12:J43 J45:J60 J60 J61 J63:J65 J67:J69"/>
    </sheetView>
  </sheetViews>
  <sheetFormatPr defaultColWidth="9.140625" defaultRowHeight="18"/>
  <cols>
    <col min="1" max="1" width="6.28515625" style="1" customWidth="1"/>
    <col min="2" max="2" width="46.42578125" style="2" bestFit="1" customWidth="1"/>
    <col min="3" max="3" width="4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170</v>
      </c>
      <c r="C1" s="68" t="s" vm="1">
        <v>248</v>
      </c>
    </row>
    <row r="2" spans="2:51">
      <c r="B2" s="47" t="s">
        <v>169</v>
      </c>
      <c r="C2" s="68" t="s">
        <v>249</v>
      </c>
    </row>
    <row r="3" spans="2:51">
      <c r="B3" s="47" t="s">
        <v>171</v>
      </c>
      <c r="C3" s="68" t="s">
        <v>250</v>
      </c>
    </row>
    <row r="4" spans="2:51">
      <c r="B4" s="47" t="s">
        <v>172</v>
      </c>
      <c r="C4" s="68">
        <v>2144</v>
      </c>
    </row>
    <row r="6" spans="2:51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51" ht="26.25" customHeight="1">
      <c r="B7" s="134" t="s">
        <v>92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51" s="3" customFormat="1" ht="63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225</v>
      </c>
      <c r="H8" s="30" t="s">
        <v>224</v>
      </c>
      <c r="I8" s="30" t="s">
        <v>102</v>
      </c>
      <c r="J8" s="30" t="s">
        <v>173</v>
      </c>
      <c r="K8" s="31" t="s">
        <v>175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232</v>
      </c>
      <c r="H9" s="16"/>
      <c r="I9" s="16" t="s">
        <v>228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44</v>
      </c>
      <c r="C11" s="70"/>
      <c r="D11" s="70"/>
      <c r="E11" s="70"/>
      <c r="F11" s="70"/>
      <c r="G11" s="78"/>
      <c r="H11" s="80"/>
      <c r="I11" s="78">
        <v>-76.720937370000001</v>
      </c>
      <c r="J11" s="79">
        <f>I11/$I$11</f>
        <v>1</v>
      </c>
      <c r="K11" s="79">
        <f>I11/'סכום נכסי הקרן'!$C$42</f>
        <v>-2.6869798762559842E-4</v>
      </c>
      <c r="AW11" s="1"/>
    </row>
    <row r="12" spans="2:51" ht="19.5" customHeight="1">
      <c r="B12" s="71" t="s">
        <v>31</v>
      </c>
      <c r="C12" s="72"/>
      <c r="D12" s="72"/>
      <c r="E12" s="72"/>
      <c r="F12" s="72"/>
      <c r="G12" s="81"/>
      <c r="H12" s="83"/>
      <c r="I12" s="81">
        <v>-88.083025328999994</v>
      </c>
      <c r="J12" s="82">
        <f t="shared" ref="J12:J43" si="0">I12/$I$11</f>
        <v>1.1480963130599455</v>
      </c>
      <c r="K12" s="82">
        <f>I12/'סכום נכסי הקרן'!$C$42</f>
        <v>-3.0849116891957639E-4</v>
      </c>
    </row>
    <row r="13" spans="2:51">
      <c r="B13" s="92" t="s">
        <v>1419</v>
      </c>
      <c r="C13" s="72"/>
      <c r="D13" s="72"/>
      <c r="E13" s="72"/>
      <c r="F13" s="72"/>
      <c r="G13" s="81"/>
      <c r="H13" s="83"/>
      <c r="I13" s="81">
        <v>-19.592329981000002</v>
      </c>
      <c r="J13" s="82">
        <f t="shared" si="0"/>
        <v>0.25537135823188134</v>
      </c>
      <c r="K13" s="82">
        <f>I13/'סכום נכסי הקרן'!$C$42</f>
        <v>-6.8617770054122312E-5</v>
      </c>
    </row>
    <row r="14" spans="2:51">
      <c r="B14" s="77" t="s">
        <v>1420</v>
      </c>
      <c r="C14" s="74" t="s">
        <v>1421</v>
      </c>
      <c r="D14" s="87" t="s">
        <v>689</v>
      </c>
      <c r="E14" s="87" t="s">
        <v>154</v>
      </c>
      <c r="F14" s="96">
        <v>43894</v>
      </c>
      <c r="G14" s="84">
        <v>299534.08329500002</v>
      </c>
      <c r="H14" s="86">
        <v>-1.7673000000000001</v>
      </c>
      <c r="I14" s="84">
        <v>-5.2937768509999996</v>
      </c>
      <c r="J14" s="85">
        <f t="shared" si="0"/>
        <v>6.9000419344068281E-2</v>
      </c>
      <c r="K14" s="85">
        <f>I14/'סכום נכסי הקרן'!$C$42</f>
        <v>-1.8540273823073562E-5</v>
      </c>
    </row>
    <row r="15" spans="2:51">
      <c r="B15" s="77" t="s">
        <v>1422</v>
      </c>
      <c r="C15" s="74" t="s">
        <v>1423</v>
      </c>
      <c r="D15" s="87" t="s">
        <v>689</v>
      </c>
      <c r="E15" s="87" t="s">
        <v>154</v>
      </c>
      <c r="F15" s="96">
        <v>43888</v>
      </c>
      <c r="G15" s="84">
        <v>329710.59676500002</v>
      </c>
      <c r="H15" s="86">
        <v>-1.849</v>
      </c>
      <c r="I15" s="84">
        <v>-6.0963082289999999</v>
      </c>
      <c r="J15" s="85">
        <f t="shared" si="0"/>
        <v>7.946081523482304E-2</v>
      </c>
      <c r="K15" s="85">
        <f>I15/'סכום נכסי הקרן'!$C$42</f>
        <v>-2.1350961148686442E-5</v>
      </c>
    </row>
    <row r="16" spans="2:51" s="7" customFormat="1">
      <c r="B16" s="77" t="s">
        <v>1424</v>
      </c>
      <c r="C16" s="74" t="s">
        <v>1425</v>
      </c>
      <c r="D16" s="87" t="s">
        <v>689</v>
      </c>
      <c r="E16" s="87" t="s">
        <v>154</v>
      </c>
      <c r="F16" s="96">
        <v>43893</v>
      </c>
      <c r="G16" s="84">
        <v>207290.67666999999</v>
      </c>
      <c r="H16" s="86">
        <v>-1.5469999999999999</v>
      </c>
      <c r="I16" s="84">
        <v>-3.2067164429999999</v>
      </c>
      <c r="J16" s="85">
        <f t="shared" si="0"/>
        <v>4.1797148899980908E-2</v>
      </c>
      <c r="K16" s="85">
        <f>I16/'סכום נכסי הקרן'!$C$42</f>
        <v>-1.1230809797912365E-5</v>
      </c>
      <c r="AW16" s="1"/>
      <c r="AY16" s="1"/>
    </row>
    <row r="17" spans="2:51" s="7" customFormat="1">
      <c r="B17" s="77" t="s">
        <v>1426</v>
      </c>
      <c r="C17" s="74" t="s">
        <v>1427</v>
      </c>
      <c r="D17" s="87" t="s">
        <v>689</v>
      </c>
      <c r="E17" s="87" t="s">
        <v>154</v>
      </c>
      <c r="F17" s="96">
        <v>43894</v>
      </c>
      <c r="G17" s="84">
        <v>343208.01684599998</v>
      </c>
      <c r="H17" s="86">
        <v>-1.2388999999999999</v>
      </c>
      <c r="I17" s="84">
        <v>-4.25203313</v>
      </c>
      <c r="J17" s="85">
        <f t="shared" si="0"/>
        <v>5.5422069590910158E-2</v>
      </c>
      <c r="K17" s="85">
        <f>I17/'סכום נכסי הקרן'!$C$42</f>
        <v>-1.4891798569123433E-5</v>
      </c>
      <c r="AW17" s="1"/>
      <c r="AY17" s="1"/>
    </row>
    <row r="18" spans="2:51" s="7" customFormat="1">
      <c r="B18" s="77" t="s">
        <v>1428</v>
      </c>
      <c r="C18" s="74" t="s">
        <v>1429</v>
      </c>
      <c r="D18" s="87" t="s">
        <v>689</v>
      </c>
      <c r="E18" s="87" t="s">
        <v>154</v>
      </c>
      <c r="F18" s="96">
        <v>43895</v>
      </c>
      <c r="G18" s="84">
        <v>361610.222664</v>
      </c>
      <c r="H18" s="86">
        <v>-1.1478999999999999</v>
      </c>
      <c r="I18" s="84">
        <v>-4.1508090050000002</v>
      </c>
      <c r="J18" s="85">
        <f t="shared" si="0"/>
        <v>5.4102688878552213E-2</v>
      </c>
      <c r="K18" s="85">
        <f>I18/'סכום נכסי הקרן'!$C$42</f>
        <v>-1.4537283626800824E-5</v>
      </c>
      <c r="AW18" s="1"/>
      <c r="AY18" s="1"/>
    </row>
    <row r="19" spans="2:51">
      <c r="B19" s="77" t="s">
        <v>1430</v>
      </c>
      <c r="C19" s="74" t="s">
        <v>1431</v>
      </c>
      <c r="D19" s="87" t="s">
        <v>689</v>
      </c>
      <c r="E19" s="87" t="s">
        <v>154</v>
      </c>
      <c r="F19" s="96">
        <v>43895</v>
      </c>
      <c r="G19" s="84">
        <v>361694.87916000001</v>
      </c>
      <c r="H19" s="86">
        <v>-1.137</v>
      </c>
      <c r="I19" s="84">
        <v>-4.1126492070000005</v>
      </c>
      <c r="J19" s="85">
        <f t="shared" si="0"/>
        <v>5.3605304470747503E-2</v>
      </c>
      <c r="K19" s="85">
        <f>I19/'סכום נכסי הקרן'!$C$42</f>
        <v>-1.4403637437347349E-5</v>
      </c>
    </row>
    <row r="20" spans="2:51">
      <c r="B20" s="77" t="s">
        <v>1432</v>
      </c>
      <c r="C20" s="74" t="s">
        <v>1433</v>
      </c>
      <c r="D20" s="87" t="s">
        <v>689</v>
      </c>
      <c r="E20" s="87" t="s">
        <v>154</v>
      </c>
      <c r="F20" s="96">
        <v>44011</v>
      </c>
      <c r="G20" s="84">
        <v>363235.62738700002</v>
      </c>
      <c r="H20" s="86">
        <v>-0.92190000000000005</v>
      </c>
      <c r="I20" s="84">
        <v>-3.3484976990000002</v>
      </c>
      <c r="J20" s="85">
        <f t="shared" si="0"/>
        <v>4.3645161461613673E-2</v>
      </c>
      <c r="K20" s="85">
        <f>I20/'סכום נכסי הקרן'!$C$42</f>
        <v>-1.1727367054329915E-5</v>
      </c>
    </row>
    <row r="21" spans="2:51">
      <c r="B21" s="77" t="s">
        <v>1434</v>
      </c>
      <c r="C21" s="74" t="s">
        <v>1435</v>
      </c>
      <c r="D21" s="87" t="s">
        <v>689</v>
      </c>
      <c r="E21" s="87" t="s">
        <v>154</v>
      </c>
      <c r="F21" s="96">
        <v>43992</v>
      </c>
      <c r="G21" s="84">
        <v>9759204</v>
      </c>
      <c r="H21" s="86">
        <v>-0.64249999999999996</v>
      </c>
      <c r="I21" s="84">
        <v>-62.69997</v>
      </c>
      <c r="J21" s="85">
        <f t="shared" si="0"/>
        <v>0.81724718374618577</v>
      </c>
      <c r="K21" s="85">
        <f>I21/'סכום נכסי הקרן'!$C$42</f>
        <v>-2.1959267366528779E-4</v>
      </c>
    </row>
    <row r="22" spans="2:51">
      <c r="B22" s="77" t="s">
        <v>1436</v>
      </c>
      <c r="C22" s="74" t="s">
        <v>1437</v>
      </c>
      <c r="D22" s="87" t="s">
        <v>689</v>
      </c>
      <c r="E22" s="87" t="s">
        <v>154</v>
      </c>
      <c r="F22" s="96">
        <v>44012</v>
      </c>
      <c r="G22" s="84">
        <v>367148.65561900003</v>
      </c>
      <c r="H22" s="86">
        <v>-0.48230000000000001</v>
      </c>
      <c r="I22" s="84">
        <v>-1.7706098620000001</v>
      </c>
      <c r="J22" s="85">
        <f t="shared" si="0"/>
        <v>2.3078574411323046E-2</v>
      </c>
      <c r="K22" s="85">
        <f>I22/'סכום נכסי הקרן'!$C$42</f>
        <v>-6.2011665015901325E-6</v>
      </c>
    </row>
    <row r="23" spans="2:51">
      <c r="B23" s="77" t="s">
        <v>1438</v>
      </c>
      <c r="C23" s="74" t="s">
        <v>1439</v>
      </c>
      <c r="D23" s="87" t="s">
        <v>689</v>
      </c>
      <c r="E23" s="87" t="s">
        <v>154</v>
      </c>
      <c r="F23" s="96">
        <v>44012</v>
      </c>
      <c r="G23" s="84">
        <v>315146.36903399997</v>
      </c>
      <c r="H23" s="86">
        <v>-0.33850000000000002</v>
      </c>
      <c r="I23" s="84">
        <v>-1.0668484249999999</v>
      </c>
      <c r="J23" s="85">
        <f t="shared" si="0"/>
        <v>1.3905570781218934E-2</v>
      </c>
      <c r="K23" s="85">
        <f>I23/'סכום נכסי הקרן'!$C$42</f>
        <v>-3.7363988856988483E-6</v>
      </c>
    </row>
    <row r="24" spans="2:51">
      <c r="B24" s="77" t="s">
        <v>1440</v>
      </c>
      <c r="C24" s="74" t="s">
        <v>1441</v>
      </c>
      <c r="D24" s="87" t="s">
        <v>689</v>
      </c>
      <c r="E24" s="87" t="s">
        <v>154</v>
      </c>
      <c r="F24" s="96">
        <v>43657</v>
      </c>
      <c r="G24" s="84">
        <v>5316080</v>
      </c>
      <c r="H24" s="86">
        <v>-0.30740000000000001</v>
      </c>
      <c r="I24" s="84">
        <v>-16.341519999999999</v>
      </c>
      <c r="J24" s="85">
        <f t="shared" si="0"/>
        <v>0.21299948306405839</v>
      </c>
      <c r="K24" s="85">
        <f>I24/'סכום נכסי הקרן'!$C$42</f>
        <v>-5.7232532464605221E-5</v>
      </c>
    </row>
    <row r="25" spans="2:51">
      <c r="B25" s="77" t="s">
        <v>1442</v>
      </c>
      <c r="C25" s="74" t="s">
        <v>1443</v>
      </c>
      <c r="D25" s="87" t="s">
        <v>689</v>
      </c>
      <c r="E25" s="87" t="s">
        <v>154</v>
      </c>
      <c r="F25" s="96">
        <v>43985</v>
      </c>
      <c r="G25" s="84">
        <v>122367.43761399999</v>
      </c>
      <c r="H25" s="86">
        <v>9.2499999999999999E-2</v>
      </c>
      <c r="I25" s="84">
        <v>0.11320841600000001</v>
      </c>
      <c r="J25" s="85">
        <f t="shared" si="0"/>
        <v>-1.4755869763951504E-3</v>
      </c>
      <c r="K25" s="85">
        <f>I25/'סכום נכסי הקרן'!$C$42</f>
        <v>3.9648725112391833E-7</v>
      </c>
    </row>
    <row r="26" spans="2:51">
      <c r="B26" s="77" t="s">
        <v>1444</v>
      </c>
      <c r="C26" s="74" t="s">
        <v>1445</v>
      </c>
      <c r="D26" s="87" t="s">
        <v>689</v>
      </c>
      <c r="E26" s="87" t="s">
        <v>154</v>
      </c>
      <c r="F26" s="96">
        <v>43985</v>
      </c>
      <c r="G26" s="84">
        <v>61196.064546000001</v>
      </c>
      <c r="H26" s="86">
        <v>0.12189999999999999</v>
      </c>
      <c r="I26" s="84">
        <v>7.4625300999999991E-2</v>
      </c>
      <c r="J26" s="85">
        <f t="shared" si="0"/>
        <v>-9.7268494830956718E-4</v>
      </c>
      <c r="K26" s="85">
        <f>I26/'סכום נכסי הקרן'!$C$42</f>
        <v>2.6135848820448993E-7</v>
      </c>
    </row>
    <row r="27" spans="2:51">
      <c r="B27" s="77" t="s">
        <v>1446</v>
      </c>
      <c r="C27" s="74" t="s">
        <v>1447</v>
      </c>
      <c r="D27" s="87" t="s">
        <v>689</v>
      </c>
      <c r="E27" s="87" t="s">
        <v>154</v>
      </c>
      <c r="F27" s="96">
        <v>43984</v>
      </c>
      <c r="G27" s="84">
        <v>246428.005148</v>
      </c>
      <c r="H27" s="86">
        <v>0.7853</v>
      </c>
      <c r="I27" s="84">
        <v>1.9352218189999999</v>
      </c>
      <c r="J27" s="85">
        <f t="shared" si="0"/>
        <v>-2.5224168073795263E-2</v>
      </c>
      <c r="K27" s="85">
        <f>I27/'סכום נכסי הקרן'!$C$42</f>
        <v>6.7776832009586545E-6</v>
      </c>
    </row>
    <row r="28" spans="2:51">
      <c r="B28" s="77" t="s">
        <v>1448</v>
      </c>
      <c r="C28" s="74" t="s">
        <v>1449</v>
      </c>
      <c r="D28" s="87" t="s">
        <v>689</v>
      </c>
      <c r="E28" s="87" t="s">
        <v>154</v>
      </c>
      <c r="F28" s="96">
        <v>43963</v>
      </c>
      <c r="G28" s="84">
        <v>425626.30230400001</v>
      </c>
      <c r="H28" s="86">
        <v>0.87980000000000003</v>
      </c>
      <c r="I28" s="84">
        <v>3.7446234199999999</v>
      </c>
      <c r="J28" s="85">
        <f t="shared" si="0"/>
        <v>-4.8808363770907873E-2</v>
      </c>
      <c r="K28" s="85">
        <f>I28/'סכום נכסי הקרן'!$C$42</f>
        <v>1.3114709124541109E-5</v>
      </c>
    </row>
    <row r="29" spans="2:51">
      <c r="B29" s="77" t="s">
        <v>1450</v>
      </c>
      <c r="C29" s="74" t="s">
        <v>1451</v>
      </c>
      <c r="D29" s="87" t="s">
        <v>689</v>
      </c>
      <c r="E29" s="87" t="s">
        <v>154</v>
      </c>
      <c r="F29" s="96">
        <v>43642</v>
      </c>
      <c r="G29" s="84">
        <v>420252</v>
      </c>
      <c r="H29" s="86">
        <v>1.1272</v>
      </c>
      <c r="I29" s="84">
        <v>4.7372399999999999</v>
      </c>
      <c r="J29" s="85">
        <f t="shared" si="0"/>
        <v>-6.1746378008311342E-2</v>
      </c>
      <c r="K29" s="85">
        <f>I29/'סכום נכסי הקרן'!$C$42</f>
        <v>1.6591127514002762E-5</v>
      </c>
    </row>
    <row r="30" spans="2:51">
      <c r="B30" s="77" t="s">
        <v>1452</v>
      </c>
      <c r="C30" s="74" t="s">
        <v>1453</v>
      </c>
      <c r="D30" s="87" t="s">
        <v>689</v>
      </c>
      <c r="E30" s="87" t="s">
        <v>154</v>
      </c>
      <c r="F30" s="96">
        <v>43964</v>
      </c>
      <c r="G30" s="84">
        <v>741379.26372000005</v>
      </c>
      <c r="H30" s="86">
        <v>1.0931999999999999</v>
      </c>
      <c r="I30" s="84">
        <v>8.1047634199999994</v>
      </c>
      <c r="J30" s="85">
        <f t="shared" si="0"/>
        <v>-0.10563952550414465</v>
      </c>
      <c r="K30" s="85">
        <f>I30/'סכום נכסי הקרן'!$C$42</f>
        <v>2.8385127916686748E-5</v>
      </c>
    </row>
    <row r="31" spans="2:51">
      <c r="B31" s="77" t="s">
        <v>1454</v>
      </c>
      <c r="C31" s="74" t="s">
        <v>1455</v>
      </c>
      <c r="D31" s="87" t="s">
        <v>689</v>
      </c>
      <c r="E31" s="87" t="s">
        <v>154</v>
      </c>
      <c r="F31" s="96">
        <v>43962</v>
      </c>
      <c r="G31" s="84">
        <v>373456.57575499994</v>
      </c>
      <c r="H31" s="86">
        <v>1.1097999999999999</v>
      </c>
      <c r="I31" s="84">
        <v>4.1447157060000004</v>
      </c>
      <c r="J31" s="85">
        <f t="shared" si="0"/>
        <v>-5.4023267286365279E-2</v>
      </c>
      <c r="K31" s="85">
        <f>I31/'סכום נכסי הקרן'!$C$42</f>
        <v>1.4515943204806174E-5</v>
      </c>
    </row>
    <row r="32" spans="2:51">
      <c r="B32" s="77" t="s">
        <v>1456</v>
      </c>
      <c r="C32" s="74" t="s">
        <v>1457</v>
      </c>
      <c r="D32" s="87" t="s">
        <v>689</v>
      </c>
      <c r="E32" s="87" t="s">
        <v>154</v>
      </c>
      <c r="F32" s="96">
        <v>43964</v>
      </c>
      <c r="G32" s="84">
        <v>267036.30054500001</v>
      </c>
      <c r="H32" s="86">
        <v>1.2194</v>
      </c>
      <c r="I32" s="84">
        <v>3.2562569060000004</v>
      </c>
      <c r="J32" s="85">
        <f t="shared" si="0"/>
        <v>-4.2442871758671792E-2</v>
      </c>
      <c r="K32" s="85">
        <f>I32/'סכום נכסי הקרן'!$C$42</f>
        <v>1.1404314230606455E-5</v>
      </c>
    </row>
    <row r="33" spans="2:11">
      <c r="B33" s="77" t="s">
        <v>1458</v>
      </c>
      <c r="C33" s="74" t="s">
        <v>1459</v>
      </c>
      <c r="D33" s="87" t="s">
        <v>689</v>
      </c>
      <c r="E33" s="87" t="s">
        <v>154</v>
      </c>
      <c r="F33" s="96">
        <v>43948</v>
      </c>
      <c r="G33" s="84">
        <v>433192.228328</v>
      </c>
      <c r="H33" s="86">
        <v>1.2210000000000001</v>
      </c>
      <c r="I33" s="84">
        <v>5.2894428260000002</v>
      </c>
      <c r="J33" s="85">
        <f t="shared" si="0"/>
        <v>-6.894392857181536E-2</v>
      </c>
      <c r="K33" s="85">
        <f>I33/'סכום נכסי הקרן'!$C$42</f>
        <v>1.8525094866249787E-5</v>
      </c>
    </row>
    <row r="34" spans="2:11">
      <c r="B34" s="77" t="s">
        <v>1460</v>
      </c>
      <c r="C34" s="74" t="s">
        <v>1461</v>
      </c>
      <c r="D34" s="87" t="s">
        <v>689</v>
      </c>
      <c r="E34" s="87" t="s">
        <v>154</v>
      </c>
      <c r="F34" s="96">
        <v>43962</v>
      </c>
      <c r="G34" s="84">
        <v>320571.42389999999</v>
      </c>
      <c r="H34" s="86">
        <v>1.2535000000000001</v>
      </c>
      <c r="I34" s="84">
        <v>4.0183997270000003</v>
      </c>
      <c r="J34" s="85">
        <f t="shared" si="0"/>
        <v>-5.237683303607947E-2</v>
      </c>
      <c r="K34" s="85">
        <f>I34/'סכום נכסי הקרן'!$C$42</f>
        <v>1.4073549634996517E-5</v>
      </c>
    </row>
    <row r="35" spans="2:11">
      <c r="B35" s="77" t="s">
        <v>1462</v>
      </c>
      <c r="C35" s="74" t="s">
        <v>1463</v>
      </c>
      <c r="D35" s="87" t="s">
        <v>689</v>
      </c>
      <c r="E35" s="87" t="s">
        <v>154</v>
      </c>
      <c r="F35" s="96">
        <v>43941</v>
      </c>
      <c r="G35" s="84">
        <v>248159.93596200002</v>
      </c>
      <c r="H35" s="86">
        <v>1.7393000000000001</v>
      </c>
      <c r="I35" s="84">
        <v>4.3162762810000004</v>
      </c>
      <c r="J35" s="85">
        <f t="shared" si="0"/>
        <v>-5.6259430984061248E-2</v>
      </c>
      <c r="K35" s="85">
        <f>I35/'סכום נכסי הקרן'!$C$42</f>
        <v>1.5116795890378497E-5</v>
      </c>
    </row>
    <row r="36" spans="2:11">
      <c r="B36" s="77" t="s">
        <v>1464</v>
      </c>
      <c r="C36" s="74" t="s">
        <v>1465</v>
      </c>
      <c r="D36" s="87" t="s">
        <v>689</v>
      </c>
      <c r="E36" s="87" t="s">
        <v>154</v>
      </c>
      <c r="F36" s="96">
        <v>43920</v>
      </c>
      <c r="G36" s="84">
        <v>703700</v>
      </c>
      <c r="H36" s="86">
        <v>1.7813000000000001</v>
      </c>
      <c r="I36" s="84">
        <v>12.5351</v>
      </c>
      <c r="J36" s="85">
        <f t="shared" si="0"/>
        <v>-0.16338564712194939</v>
      </c>
      <c r="K36" s="85">
        <f>I36/'סכום נכסי הקרן'!$C$42</f>
        <v>4.3901394588573945E-5</v>
      </c>
    </row>
    <row r="37" spans="2:11">
      <c r="B37" s="77" t="s">
        <v>1466</v>
      </c>
      <c r="C37" s="74" t="s">
        <v>1467</v>
      </c>
      <c r="D37" s="87" t="s">
        <v>689</v>
      </c>
      <c r="E37" s="87" t="s">
        <v>154</v>
      </c>
      <c r="F37" s="96">
        <v>43970</v>
      </c>
      <c r="G37" s="84">
        <v>429011.63396000001</v>
      </c>
      <c r="H37" s="86">
        <v>1.6257999999999999</v>
      </c>
      <c r="I37" s="84">
        <v>6.9748443849999999</v>
      </c>
      <c r="J37" s="85">
        <f t="shared" si="0"/>
        <v>-9.0911876524169738E-2</v>
      </c>
      <c r="K37" s="85">
        <f>I37/'סכום נכסי הקרן'!$C$42</f>
        <v>2.4427838273311292E-5</v>
      </c>
    </row>
    <row r="38" spans="2:11">
      <c r="B38" s="77" t="s">
        <v>1468</v>
      </c>
      <c r="C38" s="74" t="s">
        <v>1469</v>
      </c>
      <c r="D38" s="87" t="s">
        <v>689</v>
      </c>
      <c r="E38" s="87" t="s">
        <v>154</v>
      </c>
      <c r="F38" s="96">
        <v>43969</v>
      </c>
      <c r="G38" s="84">
        <v>249242.83364</v>
      </c>
      <c r="H38" s="86">
        <v>1.8994</v>
      </c>
      <c r="I38" s="84">
        <v>4.734114978</v>
      </c>
      <c r="J38" s="85">
        <f t="shared" si="0"/>
        <v>-6.1705645685335035E-2</v>
      </c>
      <c r="K38" s="85">
        <f>I38/'סכום נכסי הקרן'!$C$42</f>
        <v>1.6580182820787714E-5</v>
      </c>
    </row>
    <row r="39" spans="2:11">
      <c r="B39" s="77" t="s">
        <v>1470</v>
      </c>
      <c r="C39" s="74" t="s">
        <v>1471</v>
      </c>
      <c r="D39" s="87" t="s">
        <v>689</v>
      </c>
      <c r="E39" s="87" t="s">
        <v>154</v>
      </c>
      <c r="F39" s="96">
        <v>43965</v>
      </c>
      <c r="G39" s="84">
        <v>311703.45459500002</v>
      </c>
      <c r="H39" s="86">
        <v>1.9446000000000001</v>
      </c>
      <c r="I39" s="84">
        <v>6.0613539320000012</v>
      </c>
      <c r="J39" s="85">
        <f t="shared" si="0"/>
        <v>-7.9005212133528457E-2</v>
      </c>
      <c r="K39" s="85">
        <f>I39/'סכום נכסי הקרן'!$C$42</f>
        <v>2.1228541512212608E-5</v>
      </c>
    </row>
    <row r="40" spans="2:11">
      <c r="B40" s="77" t="s">
        <v>1472</v>
      </c>
      <c r="C40" s="74" t="s">
        <v>1473</v>
      </c>
      <c r="D40" s="87" t="s">
        <v>689</v>
      </c>
      <c r="E40" s="87" t="s">
        <v>154</v>
      </c>
      <c r="F40" s="96">
        <v>43927</v>
      </c>
      <c r="G40" s="84">
        <v>316844.57305000001</v>
      </c>
      <c r="H40" s="86">
        <v>3.5346000000000002</v>
      </c>
      <c r="I40" s="84">
        <v>11.199344029000002</v>
      </c>
      <c r="J40" s="85">
        <f t="shared" si="0"/>
        <v>-0.14597506773137073</v>
      </c>
      <c r="K40" s="85">
        <f>I40/'סכום נכסי הקרן'!$C$42</f>
        <v>3.9223206942929746E-5</v>
      </c>
    </row>
    <row r="41" spans="2:11">
      <c r="B41" s="77" t="s">
        <v>1474</v>
      </c>
      <c r="C41" s="74" t="s">
        <v>1475</v>
      </c>
      <c r="D41" s="87" t="s">
        <v>689</v>
      </c>
      <c r="E41" s="87" t="s">
        <v>154</v>
      </c>
      <c r="F41" s="96">
        <v>43908</v>
      </c>
      <c r="G41" s="84">
        <v>116294.6666</v>
      </c>
      <c r="H41" s="86">
        <v>9.2668999999999997</v>
      </c>
      <c r="I41" s="84">
        <v>10.776911007000001</v>
      </c>
      <c r="J41" s="85">
        <f t="shared" si="0"/>
        <v>-0.14046896944215478</v>
      </c>
      <c r="K41" s="85">
        <f>I41/'סכום נכסי הקרן'!$C$42</f>
        <v>3.7743729412948669E-5</v>
      </c>
    </row>
    <row r="42" spans="2:11">
      <c r="B42" s="77" t="s">
        <v>1476</v>
      </c>
      <c r="C42" s="74" t="s">
        <v>1477</v>
      </c>
      <c r="D42" s="87" t="s">
        <v>689</v>
      </c>
      <c r="E42" s="87" t="s">
        <v>154</v>
      </c>
      <c r="F42" s="96">
        <v>44012</v>
      </c>
      <c r="G42" s="84">
        <v>316552.86473999999</v>
      </c>
      <c r="H42" s="86">
        <v>2.8899999999999999E-2</v>
      </c>
      <c r="I42" s="84">
        <v>9.1479059000000015E-2</v>
      </c>
      <c r="J42" s="85">
        <f t="shared" si="0"/>
        <v>-1.1923610703402439E-3</v>
      </c>
      <c r="K42" s="85">
        <f>I42/'סכום נכסי הקרן'!$C$42</f>
        <v>3.2038502012352812E-7</v>
      </c>
    </row>
    <row r="43" spans="2:11">
      <c r="B43" s="77" t="s">
        <v>1476</v>
      </c>
      <c r="C43" s="74" t="s">
        <v>1478</v>
      </c>
      <c r="D43" s="87" t="s">
        <v>689</v>
      </c>
      <c r="E43" s="87" t="s">
        <v>154</v>
      </c>
      <c r="F43" s="96">
        <v>44012</v>
      </c>
      <c r="G43" s="84">
        <v>369311.67553000001</v>
      </c>
      <c r="H43" s="86">
        <v>0.17319999999999999</v>
      </c>
      <c r="I43" s="84">
        <v>0.63948765799999996</v>
      </c>
      <c r="J43" s="85">
        <f t="shared" si="0"/>
        <v>-8.3352430238952894E-3</v>
      </c>
      <c r="K43" s="85">
        <f>I43/'סכום נכסי הקרן'!$C$42</f>
        <v>2.2396630268909722E-6</v>
      </c>
    </row>
    <row r="44" spans="2:11">
      <c r="B44" s="73"/>
      <c r="C44" s="74"/>
      <c r="D44" s="74"/>
      <c r="E44" s="74"/>
      <c r="F44" s="74"/>
      <c r="G44" s="84"/>
      <c r="H44" s="86"/>
      <c r="I44" s="74"/>
      <c r="J44" s="85"/>
      <c r="K44" s="74"/>
    </row>
    <row r="45" spans="2:11">
      <c r="B45" s="92" t="s">
        <v>219</v>
      </c>
      <c r="C45" s="72"/>
      <c r="D45" s="72"/>
      <c r="E45" s="72"/>
      <c r="F45" s="72"/>
      <c r="G45" s="81"/>
      <c r="H45" s="83"/>
      <c r="I45" s="81">
        <v>-60.106938998000004</v>
      </c>
      <c r="J45" s="82">
        <f t="shared" ref="J45:J59" si="1">I45/$I$11</f>
        <v>0.78344896528210917</v>
      </c>
      <c r="K45" s="82">
        <f>I45/'סכום נכסי הקרן'!$C$42</f>
        <v>-2.1051116037866006E-4</v>
      </c>
    </row>
    <row r="46" spans="2:11">
      <c r="B46" s="77" t="s">
        <v>1479</v>
      </c>
      <c r="C46" s="74" t="s">
        <v>1480</v>
      </c>
      <c r="D46" s="87" t="s">
        <v>689</v>
      </c>
      <c r="E46" s="87" t="s">
        <v>156</v>
      </c>
      <c r="F46" s="96">
        <v>43920</v>
      </c>
      <c r="G46" s="84">
        <v>8217.6060670000006</v>
      </c>
      <c r="H46" s="86">
        <v>0.6079</v>
      </c>
      <c r="I46" s="84">
        <v>4.995428200000001E-2</v>
      </c>
      <c r="J46" s="85">
        <f t="shared" si="1"/>
        <v>-6.5111667965013042E-4</v>
      </c>
      <c r="K46" s="85">
        <f>I46/'סכום נכסי הקרן'!$C$42</f>
        <v>1.7495374153145148E-7</v>
      </c>
    </row>
    <row r="47" spans="2:11">
      <c r="B47" s="77" t="s">
        <v>1481</v>
      </c>
      <c r="C47" s="74" t="s">
        <v>1482</v>
      </c>
      <c r="D47" s="87" t="s">
        <v>689</v>
      </c>
      <c r="E47" s="87" t="s">
        <v>157</v>
      </c>
      <c r="F47" s="96">
        <v>43964</v>
      </c>
      <c r="G47" s="84">
        <v>233975.5</v>
      </c>
      <c r="H47" s="86">
        <v>-0.43359999999999999</v>
      </c>
      <c r="I47" s="84">
        <v>-1.0144600000000001</v>
      </c>
      <c r="J47" s="85">
        <f t="shared" si="1"/>
        <v>1.3222726869297636E-2</v>
      </c>
      <c r="K47" s="85">
        <f>I47/'סכום נכסי הקרן'!$C$42</f>
        <v>-3.5529201007032042E-6</v>
      </c>
    </row>
    <row r="48" spans="2:11">
      <c r="B48" s="77" t="s">
        <v>1483</v>
      </c>
      <c r="C48" s="74" t="s">
        <v>1484</v>
      </c>
      <c r="D48" s="87" t="s">
        <v>689</v>
      </c>
      <c r="E48" s="87" t="s">
        <v>157</v>
      </c>
      <c r="F48" s="96">
        <v>43985</v>
      </c>
      <c r="G48" s="84">
        <v>75028.583257000006</v>
      </c>
      <c r="H48" s="86">
        <v>-2.4182000000000001</v>
      </c>
      <c r="I48" s="84">
        <v>-1.8143628900000002</v>
      </c>
      <c r="J48" s="85">
        <f t="shared" si="1"/>
        <v>2.3648862386155697E-2</v>
      </c>
      <c r="K48" s="85">
        <f>I48/'סכום נכסי הקרן'!$C$42</f>
        <v>-6.3544017327947444E-6</v>
      </c>
    </row>
    <row r="49" spans="2:11">
      <c r="B49" s="77" t="s">
        <v>1483</v>
      </c>
      <c r="C49" s="74" t="s">
        <v>1485</v>
      </c>
      <c r="D49" s="87" t="s">
        <v>689</v>
      </c>
      <c r="E49" s="87" t="s">
        <v>157</v>
      </c>
      <c r="F49" s="96">
        <v>43985</v>
      </c>
      <c r="G49" s="84">
        <v>112542.87488600001</v>
      </c>
      <c r="H49" s="86">
        <v>-2.4182000000000001</v>
      </c>
      <c r="I49" s="84">
        <v>-2.7215443349999999</v>
      </c>
      <c r="J49" s="85">
        <f t="shared" si="1"/>
        <v>3.5473293579233546E-2</v>
      </c>
      <c r="K49" s="85">
        <f>I49/'סכום נכסי הקרן'!$C$42</f>
        <v>-9.531602599192114E-6</v>
      </c>
    </row>
    <row r="50" spans="2:11">
      <c r="B50" s="77" t="s">
        <v>1486</v>
      </c>
      <c r="C50" s="74" t="s">
        <v>1487</v>
      </c>
      <c r="D50" s="87" t="s">
        <v>689</v>
      </c>
      <c r="E50" s="87" t="s">
        <v>158</v>
      </c>
      <c r="F50" s="96">
        <v>44007</v>
      </c>
      <c r="G50" s="84">
        <v>262081.94</v>
      </c>
      <c r="H50" s="86">
        <v>0.3367</v>
      </c>
      <c r="I50" s="84">
        <v>0.88251999999999997</v>
      </c>
      <c r="J50" s="85">
        <f t="shared" si="1"/>
        <v>-1.1502987714343146E-2</v>
      </c>
      <c r="K50" s="85">
        <f>I50/'סכום נכסי הקרן'!$C$42</f>
        <v>3.0908296505259853E-6</v>
      </c>
    </row>
    <row r="51" spans="2:11">
      <c r="B51" s="77" t="s">
        <v>1488</v>
      </c>
      <c r="C51" s="74" t="s">
        <v>1489</v>
      </c>
      <c r="D51" s="87" t="s">
        <v>689</v>
      </c>
      <c r="E51" s="87" t="s">
        <v>156</v>
      </c>
      <c r="F51" s="96">
        <v>43942</v>
      </c>
      <c r="G51" s="84">
        <v>263201.45</v>
      </c>
      <c r="H51" s="86">
        <v>-3.3168000000000002</v>
      </c>
      <c r="I51" s="84">
        <v>-8.7298899999999993</v>
      </c>
      <c r="J51" s="85">
        <f t="shared" si="1"/>
        <v>0.11378758262426583</v>
      </c>
      <c r="K51" s="85">
        <f>I51/'סכום נכסי הקרן'!$C$42</f>
        <v>-3.0574494467921736E-5</v>
      </c>
    </row>
    <row r="52" spans="2:11">
      <c r="B52" s="77" t="s">
        <v>1490</v>
      </c>
      <c r="C52" s="74" t="s">
        <v>1491</v>
      </c>
      <c r="D52" s="87" t="s">
        <v>689</v>
      </c>
      <c r="E52" s="87" t="s">
        <v>156</v>
      </c>
      <c r="F52" s="96">
        <v>43948</v>
      </c>
      <c r="G52" s="84">
        <v>139552.10771000001</v>
      </c>
      <c r="H52" s="86">
        <v>-3.1576</v>
      </c>
      <c r="I52" s="84">
        <v>-4.4065331749999999</v>
      </c>
      <c r="J52" s="85">
        <f t="shared" si="1"/>
        <v>5.7435862048305419E-2</v>
      </c>
      <c r="K52" s="85">
        <f>I52/'סכום נכסי הקרן'!$C$42</f>
        <v>-1.5432900549921148E-5</v>
      </c>
    </row>
    <row r="53" spans="2:11">
      <c r="B53" s="77" t="s">
        <v>1492</v>
      </c>
      <c r="C53" s="74" t="s">
        <v>1493</v>
      </c>
      <c r="D53" s="87" t="s">
        <v>689</v>
      </c>
      <c r="E53" s="87" t="s">
        <v>156</v>
      </c>
      <c r="F53" s="96">
        <v>43914</v>
      </c>
      <c r="G53" s="84">
        <v>557117.84</v>
      </c>
      <c r="H53" s="86">
        <v>-2.6413000000000002</v>
      </c>
      <c r="I53" s="84">
        <v>-14.71537</v>
      </c>
      <c r="J53" s="85">
        <f t="shared" si="1"/>
        <v>0.19180383483888605</v>
      </c>
      <c r="K53" s="85">
        <f>I53/'סכום נכסי הקרן'!$C$42</f>
        <v>-5.1537304440081324E-5</v>
      </c>
    </row>
    <row r="54" spans="2:11">
      <c r="B54" s="77" t="s">
        <v>1494</v>
      </c>
      <c r="C54" s="74" t="s">
        <v>1495</v>
      </c>
      <c r="D54" s="87" t="s">
        <v>689</v>
      </c>
      <c r="E54" s="87" t="s">
        <v>156</v>
      </c>
      <c r="F54" s="96">
        <v>43923</v>
      </c>
      <c r="G54" s="84">
        <v>1336781.3700000001</v>
      </c>
      <c r="H54" s="86">
        <v>-2.5222000000000002</v>
      </c>
      <c r="I54" s="84">
        <v>-33.716160000000002</v>
      </c>
      <c r="J54" s="85">
        <f t="shared" si="1"/>
        <v>0.43946491213210787</v>
      </c>
      <c r="K54" s="85">
        <f>I54/'סכום נכסי הקרן'!$C$42</f>
        <v>-1.1808333752195783E-4</v>
      </c>
    </row>
    <row r="55" spans="2:11">
      <c r="B55" s="77" t="s">
        <v>1496</v>
      </c>
      <c r="C55" s="74" t="s">
        <v>1497</v>
      </c>
      <c r="D55" s="87" t="s">
        <v>689</v>
      </c>
      <c r="E55" s="87" t="s">
        <v>156</v>
      </c>
      <c r="F55" s="96">
        <v>43971</v>
      </c>
      <c r="G55" s="84">
        <v>114371.76</v>
      </c>
      <c r="H55" s="86">
        <v>-2.0108999999999999</v>
      </c>
      <c r="I55" s="84">
        <v>-2.29989</v>
      </c>
      <c r="J55" s="85">
        <f t="shared" si="1"/>
        <v>2.9977344892286473E-2</v>
      </c>
      <c r="K55" s="85">
        <f>I55/'סכום נכסי הקרן'!$C$42</f>
        <v>-8.0548522469158878E-6</v>
      </c>
    </row>
    <row r="56" spans="2:11">
      <c r="B56" s="77" t="s">
        <v>1498</v>
      </c>
      <c r="C56" s="74" t="s">
        <v>1499</v>
      </c>
      <c r="D56" s="87" t="s">
        <v>689</v>
      </c>
      <c r="E56" s="87" t="s">
        <v>156</v>
      </c>
      <c r="F56" s="96">
        <v>43894</v>
      </c>
      <c r="G56" s="84">
        <v>8256.8223419999995</v>
      </c>
      <c r="H56" s="86">
        <v>0.31830000000000003</v>
      </c>
      <c r="I56" s="84">
        <v>2.6284872000000001E-2</v>
      </c>
      <c r="J56" s="85">
        <f t="shared" si="1"/>
        <v>-3.426036346927913E-4</v>
      </c>
      <c r="K56" s="85">
        <f>I56/'סכום נכסי הקרן'!$C$42</f>
        <v>9.2056907195168681E-8</v>
      </c>
    </row>
    <row r="57" spans="2:11">
      <c r="B57" s="77" t="s">
        <v>1500</v>
      </c>
      <c r="C57" s="74" t="s">
        <v>1501</v>
      </c>
      <c r="D57" s="87" t="s">
        <v>689</v>
      </c>
      <c r="E57" s="87" t="s">
        <v>157</v>
      </c>
      <c r="F57" s="96">
        <v>43908</v>
      </c>
      <c r="G57" s="84">
        <v>288309.02698899998</v>
      </c>
      <c r="H57" s="86">
        <v>-4.0952999999999999</v>
      </c>
      <c r="I57" s="84">
        <v>-11.807153632</v>
      </c>
      <c r="J57" s="85">
        <f t="shared" si="1"/>
        <v>0.15389741101647336</v>
      </c>
      <c r="K57" s="85">
        <f>I57/'סכום נכסי הקרן'!$C$42</f>
        <v>-4.1351924640915989E-5</v>
      </c>
    </row>
    <row r="58" spans="2:11">
      <c r="B58" s="77" t="s">
        <v>1502</v>
      </c>
      <c r="C58" s="74" t="s">
        <v>1503</v>
      </c>
      <c r="D58" s="87" t="s">
        <v>689</v>
      </c>
      <c r="E58" s="87" t="s">
        <v>157</v>
      </c>
      <c r="F58" s="96">
        <v>43969</v>
      </c>
      <c r="G58" s="84">
        <v>74070.063607999997</v>
      </c>
      <c r="H58" s="86">
        <v>-1.3412999999999999</v>
      </c>
      <c r="I58" s="84">
        <v>-0.99348283400000004</v>
      </c>
      <c r="J58" s="85">
        <f t="shared" si="1"/>
        <v>1.2949305209981431E-2</v>
      </c>
      <c r="K58" s="85">
        <f>I58/'סכום נכסי הקרן'!$C$42</f>
        <v>-3.4794522510716874E-6</v>
      </c>
    </row>
    <row r="59" spans="2:11">
      <c r="B59" s="77" t="s">
        <v>1504</v>
      </c>
      <c r="C59" s="74" t="s">
        <v>1505</v>
      </c>
      <c r="D59" s="87" t="s">
        <v>689</v>
      </c>
      <c r="E59" s="87" t="s">
        <v>157</v>
      </c>
      <c r="F59" s="96">
        <v>43958</v>
      </c>
      <c r="G59" s="84">
        <v>506184</v>
      </c>
      <c r="H59" s="86">
        <v>0.7893</v>
      </c>
      <c r="I59" s="84">
        <v>3.9951399999999997</v>
      </c>
      <c r="J59" s="85">
        <f t="shared" si="1"/>
        <v>-5.2073659902416802E-2</v>
      </c>
      <c r="K59" s="85">
        <f>I59/'סכום נכסי הקרן'!$C$42</f>
        <v>1.3992087624079211E-5</v>
      </c>
    </row>
    <row r="60" spans="2:11">
      <c r="B60" s="77" t="s">
        <v>1506</v>
      </c>
      <c r="C60" s="74" t="s">
        <v>1507</v>
      </c>
      <c r="D60" s="87" t="s">
        <v>689</v>
      </c>
      <c r="E60" s="87" t="s">
        <v>157</v>
      </c>
      <c r="F60" s="96">
        <v>43845</v>
      </c>
      <c r="G60" s="84">
        <v>119871.00044</v>
      </c>
      <c r="H60" s="86">
        <v>6.1125999999999996</v>
      </c>
      <c r="I60" s="84">
        <v>7.3272345800000007</v>
      </c>
      <c r="J60" s="85">
        <f>I60/$I$11</f>
        <v>-9.5505018984102658E-2</v>
      </c>
      <c r="K60" s="85">
        <f>I60/'סכום נכסי הקרן'!$C$42</f>
        <v>2.5662006409172956E-5</v>
      </c>
    </row>
    <row r="61" spans="2:11">
      <c r="B61" s="77" t="s">
        <v>1508</v>
      </c>
      <c r="C61" s="74" t="s">
        <v>1509</v>
      </c>
      <c r="D61" s="87" t="s">
        <v>689</v>
      </c>
      <c r="E61" s="87" t="s">
        <v>157</v>
      </c>
      <c r="F61" s="96">
        <v>43845</v>
      </c>
      <c r="G61" s="84">
        <v>159889.12963099999</v>
      </c>
      <c r="H61" s="86">
        <v>6.1485000000000003</v>
      </c>
      <c r="I61" s="84">
        <v>9.8307741339999986</v>
      </c>
      <c r="J61" s="85">
        <f>I61/$I$11</f>
        <v>-0.1281367833996786</v>
      </c>
      <c r="K61" s="85">
        <f>I61/'סכום נכסי הקרן'!$C$42</f>
        <v>3.4430095840310827E-5</v>
      </c>
    </row>
    <row r="62" spans="2:11">
      <c r="B62" s="73"/>
      <c r="C62" s="74"/>
      <c r="D62" s="74"/>
      <c r="E62" s="74"/>
      <c r="F62" s="74"/>
      <c r="G62" s="84"/>
      <c r="H62" s="86"/>
      <c r="I62" s="74"/>
      <c r="J62" s="85"/>
      <c r="K62" s="74"/>
    </row>
    <row r="63" spans="2:11">
      <c r="B63" s="92" t="s">
        <v>218</v>
      </c>
      <c r="C63" s="72"/>
      <c r="D63" s="72"/>
      <c r="E63" s="72"/>
      <c r="F63" s="72"/>
      <c r="G63" s="81"/>
      <c r="H63" s="83"/>
      <c r="I63" s="81">
        <v>-8.3837563500000005</v>
      </c>
      <c r="J63" s="82">
        <f t="shared" ref="J63:J65" si="2">I63/$I$11</f>
        <v>0.10927598954595516</v>
      </c>
      <c r="K63" s="82">
        <f>I63/'סכום נכסי הקרן'!$C$42</f>
        <v>-2.9362238486794082E-5</v>
      </c>
    </row>
    <row r="64" spans="2:11">
      <c r="B64" s="77" t="s">
        <v>1510</v>
      </c>
      <c r="C64" s="74" t="s">
        <v>1511</v>
      </c>
      <c r="D64" s="87" t="s">
        <v>689</v>
      </c>
      <c r="E64" s="87" t="s">
        <v>155</v>
      </c>
      <c r="F64" s="96">
        <v>43626</v>
      </c>
      <c r="G64" s="84">
        <v>875153.2</v>
      </c>
      <c r="H64" s="86">
        <v>0.87070000000000003</v>
      </c>
      <c r="I64" s="84">
        <v>7.6202888450000001</v>
      </c>
      <c r="J64" s="85">
        <f t="shared" si="2"/>
        <v>-9.9324762004012523E-2</v>
      </c>
      <c r="K64" s="85">
        <f>I64/'סכום נכסי הקרן'!$C$42</f>
        <v>2.6688363671869663E-5</v>
      </c>
    </row>
    <row r="65" spans="2:11">
      <c r="B65" s="77" t="s">
        <v>1510</v>
      </c>
      <c r="C65" s="74" t="s">
        <v>1512</v>
      </c>
      <c r="D65" s="87" t="s">
        <v>689</v>
      </c>
      <c r="E65" s="87" t="s">
        <v>155</v>
      </c>
      <c r="F65" s="96">
        <v>43881</v>
      </c>
      <c r="G65" s="84">
        <v>875153.2</v>
      </c>
      <c r="H65" s="86">
        <v>-1.8287</v>
      </c>
      <c r="I65" s="84">
        <v>-16.004045195000003</v>
      </c>
      <c r="J65" s="85">
        <f t="shared" si="2"/>
        <v>0.20860075154996771</v>
      </c>
      <c r="K65" s="85">
        <f>I65/'סכום נכסי הקרן'!$C$42</f>
        <v>-5.6050602158663752E-5</v>
      </c>
    </row>
    <row r="66" spans="2:11">
      <c r="B66" s="73"/>
      <c r="C66" s="74"/>
      <c r="D66" s="74"/>
      <c r="E66" s="74"/>
      <c r="F66" s="74"/>
      <c r="G66" s="84"/>
      <c r="H66" s="86"/>
      <c r="I66" s="74"/>
      <c r="J66" s="85"/>
      <c r="K66" s="74"/>
    </row>
    <row r="67" spans="2:11">
      <c r="B67" s="71" t="s">
        <v>222</v>
      </c>
      <c r="C67" s="72"/>
      <c r="D67" s="72"/>
      <c r="E67" s="72"/>
      <c r="F67" s="72"/>
      <c r="G67" s="81"/>
      <c r="H67" s="83"/>
      <c r="I67" s="81">
        <v>11.362087959</v>
      </c>
      <c r="J67" s="82">
        <f t="shared" ref="J67:J69" si="3">I67/$I$11</f>
        <v>-0.14809631305994561</v>
      </c>
      <c r="K67" s="82">
        <f>I67/'סכום נכסי הקרן'!$C$42</f>
        <v>3.9793181293978016E-5</v>
      </c>
    </row>
    <row r="68" spans="2:11">
      <c r="B68" s="73" t="s">
        <v>218</v>
      </c>
      <c r="C68" s="74"/>
      <c r="D68" s="74"/>
      <c r="E68" s="74"/>
      <c r="F68" s="74"/>
      <c r="G68" s="84"/>
      <c r="H68" s="86"/>
      <c r="I68" s="84">
        <v>11.362087959</v>
      </c>
      <c r="J68" s="85">
        <f t="shared" si="3"/>
        <v>-0.14809631305994561</v>
      </c>
      <c r="K68" s="85">
        <f>I68/'סכום נכסי הקרן'!$C$42</f>
        <v>3.9793181293978016E-5</v>
      </c>
    </row>
    <row r="69" spans="2:11">
      <c r="B69" s="77" t="s">
        <v>1513</v>
      </c>
      <c r="C69" s="74" t="s">
        <v>1514</v>
      </c>
      <c r="D69" s="87" t="s">
        <v>689</v>
      </c>
      <c r="E69" s="87" t="s">
        <v>154</v>
      </c>
      <c r="F69" s="96">
        <v>43955</v>
      </c>
      <c r="G69" s="84">
        <v>305645.22409999999</v>
      </c>
      <c r="H69" s="86">
        <v>3.7174</v>
      </c>
      <c r="I69" s="84">
        <v>11.362087959</v>
      </c>
      <c r="J69" s="85">
        <f t="shared" si="3"/>
        <v>-0.14809631305994561</v>
      </c>
      <c r="K69" s="85">
        <f>I69/'סכום נכסי הקרן'!$C$42</f>
        <v>3.9793181293978016E-5</v>
      </c>
    </row>
    <row r="70" spans="2:11">
      <c r="C70" s="1"/>
      <c r="D70" s="1"/>
    </row>
    <row r="71" spans="2:11">
      <c r="C71" s="1"/>
      <c r="D71" s="1"/>
    </row>
    <row r="72" spans="2:11">
      <c r="C72" s="1"/>
      <c r="D72" s="1"/>
    </row>
    <row r="73" spans="2:11">
      <c r="B73" s="89" t="s">
        <v>241</v>
      </c>
      <c r="C73" s="1"/>
      <c r="D73" s="1"/>
    </row>
    <row r="74" spans="2:11">
      <c r="B74" s="89" t="s">
        <v>103</v>
      </c>
      <c r="C74" s="1"/>
      <c r="D74" s="1"/>
    </row>
    <row r="75" spans="2:11">
      <c r="B75" s="89" t="s">
        <v>223</v>
      </c>
      <c r="C75" s="1"/>
      <c r="D75" s="1"/>
    </row>
    <row r="76" spans="2:11">
      <c r="B76" s="89" t="s">
        <v>231</v>
      </c>
      <c r="C76" s="1"/>
      <c r="D76" s="1"/>
    </row>
    <row r="77" spans="2:11">
      <c r="C77" s="1"/>
      <c r="D77" s="1"/>
    </row>
    <row r="78" spans="2:11">
      <c r="C78" s="1"/>
      <c r="D78" s="1"/>
    </row>
    <row r="79" spans="2:11">
      <c r="C79" s="1"/>
      <c r="D79" s="1"/>
    </row>
    <row r="80" spans="2:11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D43:XFD1048576 AH40:XFD42 D40:AF42 A1:B1048576 C5:C1048576 D1:XFD39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170</v>
      </c>
      <c r="C1" s="68" t="s" vm="1">
        <v>248</v>
      </c>
    </row>
    <row r="2" spans="2:78">
      <c r="B2" s="47" t="s">
        <v>169</v>
      </c>
      <c r="C2" s="68" t="s">
        <v>249</v>
      </c>
    </row>
    <row r="3" spans="2:78">
      <c r="B3" s="47" t="s">
        <v>171</v>
      </c>
      <c r="C3" s="68" t="s">
        <v>250</v>
      </c>
    </row>
    <row r="4" spans="2:78">
      <c r="B4" s="47" t="s">
        <v>172</v>
      </c>
      <c r="C4" s="68">
        <v>2144</v>
      </c>
    </row>
    <row r="6" spans="2:78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78" ht="26.25" customHeight="1">
      <c r="B7" s="134" t="s">
        <v>93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78" s="3" customFormat="1" ht="47.25">
      <c r="B8" s="22" t="s">
        <v>107</v>
      </c>
      <c r="C8" s="30" t="s">
        <v>41</v>
      </c>
      <c r="D8" s="30" t="s">
        <v>45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225</v>
      </c>
      <c r="M8" s="30" t="s">
        <v>224</v>
      </c>
      <c r="N8" s="30" t="s">
        <v>102</v>
      </c>
      <c r="O8" s="30" t="s">
        <v>53</v>
      </c>
      <c r="P8" s="30" t="s">
        <v>173</v>
      </c>
      <c r="Q8" s="31" t="s">
        <v>175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232</v>
      </c>
      <c r="M9" s="16"/>
      <c r="N9" s="16" t="s">
        <v>228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104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5">
        <v>0</v>
      </c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C227"/>
  <sheetViews>
    <sheetView rightToLeft="1" zoomScale="90" zoomScaleNormal="90" workbookViewId="0">
      <selection activeCell="D11" sqref="D11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9.28515625" style="2" bestFit="1" customWidth="1"/>
    <col min="4" max="4" width="10.1406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5">
      <c r="B1" s="47" t="s">
        <v>170</v>
      </c>
      <c r="C1" s="68" t="s" vm="1">
        <v>248</v>
      </c>
    </row>
    <row r="2" spans="2:55">
      <c r="B2" s="47" t="s">
        <v>169</v>
      </c>
      <c r="C2" s="68" t="s">
        <v>249</v>
      </c>
    </row>
    <row r="3" spans="2:55">
      <c r="B3" s="47" t="s">
        <v>171</v>
      </c>
      <c r="C3" s="68" t="s">
        <v>250</v>
      </c>
    </row>
    <row r="4" spans="2:55">
      <c r="B4" s="47" t="s">
        <v>172</v>
      </c>
      <c r="C4" s="68">
        <v>2144</v>
      </c>
    </row>
    <row r="6" spans="2:55" ht="26.25" customHeight="1">
      <c r="B6" s="134" t="s">
        <v>202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55" s="3" customFormat="1" ht="78.75">
      <c r="B7" s="48" t="s">
        <v>107</v>
      </c>
      <c r="C7" s="49" t="s">
        <v>214</v>
      </c>
      <c r="D7" s="49" t="s">
        <v>41</v>
      </c>
      <c r="E7" s="49" t="s">
        <v>108</v>
      </c>
      <c r="F7" s="49" t="s">
        <v>14</v>
      </c>
      <c r="G7" s="49" t="s">
        <v>95</v>
      </c>
      <c r="H7" s="49" t="s">
        <v>61</v>
      </c>
      <c r="I7" s="49" t="s">
        <v>17</v>
      </c>
      <c r="J7" s="49" t="s">
        <v>247</v>
      </c>
      <c r="K7" s="49" t="s">
        <v>94</v>
      </c>
      <c r="L7" s="49" t="s">
        <v>32</v>
      </c>
      <c r="M7" s="49" t="s">
        <v>18</v>
      </c>
      <c r="N7" s="49" t="s">
        <v>225</v>
      </c>
      <c r="O7" s="49" t="s">
        <v>224</v>
      </c>
      <c r="P7" s="49" t="s">
        <v>102</v>
      </c>
      <c r="Q7" s="49" t="s">
        <v>173</v>
      </c>
      <c r="R7" s="51" t="s">
        <v>175</v>
      </c>
      <c r="BB7" s="3" t="s">
        <v>153</v>
      </c>
      <c r="BC7" s="3" t="s">
        <v>155</v>
      </c>
    </row>
    <row r="8" spans="2:55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232</v>
      </c>
      <c r="O8" s="16"/>
      <c r="P8" s="16" t="s">
        <v>228</v>
      </c>
      <c r="Q8" s="16" t="s">
        <v>19</v>
      </c>
      <c r="R8" s="17" t="s">
        <v>19</v>
      </c>
      <c r="BB8" s="3" t="s">
        <v>151</v>
      </c>
      <c r="BC8" s="3" t="s">
        <v>154</v>
      </c>
    </row>
    <row r="9" spans="2:55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104</v>
      </c>
      <c r="R9" s="20" t="s">
        <v>105</v>
      </c>
      <c r="BB9" s="4" t="s">
        <v>152</v>
      </c>
      <c r="BC9" s="4" t="s">
        <v>156</v>
      </c>
    </row>
    <row r="10" spans="2:55" s="4" customFormat="1" ht="18" customHeight="1">
      <c r="B10" s="69" t="s">
        <v>37</v>
      </c>
      <c r="C10" s="70"/>
      <c r="D10" s="70"/>
      <c r="E10" s="70"/>
      <c r="F10" s="70"/>
      <c r="G10" s="70"/>
      <c r="H10" s="70"/>
      <c r="I10" s="78">
        <v>5.5826753660977095</v>
      </c>
      <c r="J10" s="70"/>
      <c r="K10" s="70"/>
      <c r="L10" s="70"/>
      <c r="M10" s="93">
        <v>3.2407965103450939E-2</v>
      </c>
      <c r="N10" s="78"/>
      <c r="O10" s="80"/>
      <c r="P10" s="78">
        <f>P11+P136</f>
        <v>10921.405420000001</v>
      </c>
      <c r="Q10" s="79">
        <f>P10/$P$10</f>
        <v>1</v>
      </c>
      <c r="R10" s="79">
        <f>P10/'סכום נכסי הקרן'!$C$42</f>
        <v>3.82497888971935E-2</v>
      </c>
      <c r="BB10" s="1" t="s">
        <v>27</v>
      </c>
      <c r="BC10" s="4" t="s">
        <v>157</v>
      </c>
    </row>
    <row r="11" spans="2:55" ht="21.75" customHeight="1">
      <c r="B11" s="71" t="s">
        <v>35</v>
      </c>
      <c r="C11" s="72"/>
      <c r="D11" s="72"/>
      <c r="E11" s="72"/>
      <c r="F11" s="72"/>
      <c r="G11" s="72"/>
      <c r="H11" s="72"/>
      <c r="I11" s="81">
        <v>6.266433564314946</v>
      </c>
      <c r="J11" s="72"/>
      <c r="K11" s="72"/>
      <c r="L11" s="72"/>
      <c r="M11" s="94">
        <v>3.1482472070870737E-2</v>
      </c>
      <c r="N11" s="81"/>
      <c r="O11" s="83"/>
      <c r="P11" s="81">
        <f>P12+P33</f>
        <v>6800.1833600000009</v>
      </c>
      <c r="Q11" s="82">
        <f t="shared" ref="Q11:Q31" si="0">P11/$P$10</f>
        <v>0.62264727830239275</v>
      </c>
      <c r="R11" s="82">
        <f>P11/'סכום נכסי הקרן'!$C$42</f>
        <v>2.381612695247861E-2</v>
      </c>
      <c r="BC11" s="1" t="s">
        <v>163</v>
      </c>
    </row>
    <row r="12" spans="2:55">
      <c r="B12" s="92" t="s">
        <v>33</v>
      </c>
      <c r="C12" s="72"/>
      <c r="D12" s="72"/>
      <c r="E12" s="72"/>
      <c r="F12" s="72"/>
      <c r="G12" s="72"/>
      <c r="H12" s="72"/>
      <c r="I12" s="81">
        <v>8.0682694632858727</v>
      </c>
      <c r="J12" s="72"/>
      <c r="K12" s="72"/>
      <c r="L12" s="72"/>
      <c r="M12" s="94">
        <v>1.858469943457345E-2</v>
      </c>
      <c r="N12" s="81"/>
      <c r="O12" s="83"/>
      <c r="P12" s="81">
        <f>SUM(P13:P31)</f>
        <v>2621.8156100000001</v>
      </c>
      <c r="Q12" s="82">
        <f t="shared" si="0"/>
        <v>0.24006210823368554</v>
      </c>
      <c r="R12" s="82">
        <f>P12/'סכום נכסי הקרן'!$C$42</f>
        <v>9.1823249621536887E-3</v>
      </c>
      <c r="BC12" s="1" t="s">
        <v>158</v>
      </c>
    </row>
    <row r="13" spans="2:55">
      <c r="B13" s="77" t="s">
        <v>1578</v>
      </c>
      <c r="C13" s="87" t="s">
        <v>1545</v>
      </c>
      <c r="D13" s="74">
        <v>6028</v>
      </c>
      <c r="E13" s="74"/>
      <c r="F13" s="74" t="s">
        <v>690</v>
      </c>
      <c r="G13" s="96">
        <v>43100</v>
      </c>
      <c r="H13" s="74"/>
      <c r="I13" s="84">
        <v>10.11</v>
      </c>
      <c r="J13" s="87" t="s">
        <v>27</v>
      </c>
      <c r="K13" s="87" t="s">
        <v>155</v>
      </c>
      <c r="L13" s="88">
        <v>2.1000000000000005E-2</v>
      </c>
      <c r="M13" s="88">
        <v>2.1000000000000005E-2</v>
      </c>
      <c r="N13" s="84">
        <v>70421.53</v>
      </c>
      <c r="O13" s="86">
        <v>100.53</v>
      </c>
      <c r="P13" s="130">
        <v>70.794759999999997</v>
      </c>
      <c r="Q13" s="85">
        <f t="shared" si="0"/>
        <v>6.4822023610950239E-3</v>
      </c>
      <c r="R13" s="85">
        <f>P13/'סכום נכסי הקרן'!$C$42</f>
        <v>2.4794287190077393E-4</v>
      </c>
      <c r="BC13" s="1" t="s">
        <v>159</v>
      </c>
    </row>
    <row r="14" spans="2:55">
      <c r="B14" s="77" t="s">
        <v>1578</v>
      </c>
      <c r="C14" s="87" t="s">
        <v>1545</v>
      </c>
      <c r="D14" s="74">
        <v>6869</v>
      </c>
      <c r="E14" s="74"/>
      <c r="F14" s="74" t="s">
        <v>690</v>
      </c>
      <c r="G14" s="96">
        <v>43555</v>
      </c>
      <c r="H14" s="74"/>
      <c r="I14" s="84">
        <v>4.8099999999999996</v>
      </c>
      <c r="J14" s="87" t="s">
        <v>27</v>
      </c>
      <c r="K14" s="87" t="s">
        <v>155</v>
      </c>
      <c r="L14" s="88">
        <v>3.4700000000000002E-2</v>
      </c>
      <c r="M14" s="88">
        <v>3.4700000000000002E-2</v>
      </c>
      <c r="N14" s="84">
        <v>18218.86</v>
      </c>
      <c r="O14" s="86">
        <v>111.13</v>
      </c>
      <c r="P14" s="130">
        <v>20.24662</v>
      </c>
      <c r="Q14" s="85">
        <f t="shared" si="0"/>
        <v>1.8538474876981536E-3</v>
      </c>
      <c r="R14" s="85">
        <f>P14/'סכום נכסי הקרן'!$C$42</f>
        <v>7.0909275052046902E-5</v>
      </c>
      <c r="BC14" s="1" t="s">
        <v>160</v>
      </c>
    </row>
    <row r="15" spans="2:55">
      <c r="B15" s="77" t="s">
        <v>1578</v>
      </c>
      <c r="C15" s="87" t="s">
        <v>1545</v>
      </c>
      <c r="D15" s="74">
        <v>6870</v>
      </c>
      <c r="E15" s="74"/>
      <c r="F15" s="74" t="s">
        <v>690</v>
      </c>
      <c r="G15" s="96">
        <v>43555</v>
      </c>
      <c r="H15" s="74"/>
      <c r="I15" s="84">
        <v>6.71</v>
      </c>
      <c r="J15" s="87" t="s">
        <v>27</v>
      </c>
      <c r="K15" s="87" t="s">
        <v>155</v>
      </c>
      <c r="L15" s="88">
        <v>1.24E-2</v>
      </c>
      <c r="M15" s="88">
        <v>1.24E-2</v>
      </c>
      <c r="N15" s="84">
        <v>179555.34</v>
      </c>
      <c r="O15" s="86">
        <v>101.01</v>
      </c>
      <c r="P15" s="130">
        <v>181.36885000000001</v>
      </c>
      <c r="Q15" s="85">
        <f t="shared" si="0"/>
        <v>1.6606731736912298E-2</v>
      </c>
      <c r="R15" s="85">
        <f>P15/'סכום נכסי הקרן'!$C$42</f>
        <v>6.3520398320921899E-4</v>
      </c>
      <c r="BC15" s="1" t="s">
        <v>162</v>
      </c>
    </row>
    <row r="16" spans="2:55">
      <c r="B16" s="77" t="s">
        <v>1578</v>
      </c>
      <c r="C16" s="87" t="s">
        <v>1545</v>
      </c>
      <c r="D16" s="74">
        <v>6868</v>
      </c>
      <c r="E16" s="74"/>
      <c r="F16" s="74" t="s">
        <v>690</v>
      </c>
      <c r="G16" s="96">
        <v>43555</v>
      </c>
      <c r="H16" s="74"/>
      <c r="I16" s="84">
        <v>6.38</v>
      </c>
      <c r="J16" s="87" t="s">
        <v>27</v>
      </c>
      <c r="K16" s="87" t="s">
        <v>155</v>
      </c>
      <c r="L16" s="88">
        <v>3.2199999999999999E-2</v>
      </c>
      <c r="M16" s="88">
        <v>3.2199999999999999E-2</v>
      </c>
      <c r="N16" s="84">
        <v>32719.62</v>
      </c>
      <c r="O16" s="86">
        <v>110.55</v>
      </c>
      <c r="P16" s="130">
        <v>36.17154</v>
      </c>
      <c r="Q16" s="85">
        <f t="shared" si="0"/>
        <v>3.3119858304829779E-3</v>
      </c>
      <c r="R16" s="85">
        <f>P16/'סכום נכסי הקרן'!$C$42</f>
        <v>1.2668275884646999E-4</v>
      </c>
      <c r="BC16" s="1" t="s">
        <v>161</v>
      </c>
    </row>
    <row r="17" spans="2:55">
      <c r="B17" s="77" t="s">
        <v>1578</v>
      </c>
      <c r="C17" s="87" t="s">
        <v>1545</v>
      </c>
      <c r="D17" s="74">
        <v>6867</v>
      </c>
      <c r="E17" s="74"/>
      <c r="F17" s="74" t="s">
        <v>690</v>
      </c>
      <c r="G17" s="96">
        <v>43555</v>
      </c>
      <c r="H17" s="74"/>
      <c r="I17" s="84">
        <v>6.5</v>
      </c>
      <c r="J17" s="87" t="s">
        <v>27</v>
      </c>
      <c r="K17" s="87" t="s">
        <v>155</v>
      </c>
      <c r="L17" s="88">
        <v>1.84E-2</v>
      </c>
      <c r="M17" s="88">
        <v>1.84E-2</v>
      </c>
      <c r="N17" s="84">
        <v>82758.66</v>
      </c>
      <c r="O17" s="86">
        <v>107.18</v>
      </c>
      <c r="P17" s="130">
        <v>88.700729999999993</v>
      </c>
      <c r="Q17" s="85">
        <f t="shared" si="0"/>
        <v>8.1217321936941696E-3</v>
      </c>
      <c r="R17" s="85">
        <f>P17/'סכום נכסי הקרן'!$C$42</f>
        <v>3.1065454188834219E-4</v>
      </c>
      <c r="BC17" s="1" t="s">
        <v>164</v>
      </c>
    </row>
    <row r="18" spans="2:55">
      <c r="B18" s="77" t="s">
        <v>1578</v>
      </c>
      <c r="C18" s="87" t="s">
        <v>1545</v>
      </c>
      <c r="D18" s="74">
        <v>6866</v>
      </c>
      <c r="E18" s="74"/>
      <c r="F18" s="74" t="s">
        <v>690</v>
      </c>
      <c r="G18" s="96">
        <v>43555</v>
      </c>
      <c r="H18" s="74"/>
      <c r="I18" s="84">
        <v>7.37</v>
      </c>
      <c r="J18" s="87" t="s">
        <v>27</v>
      </c>
      <c r="K18" s="87" t="s">
        <v>155</v>
      </c>
      <c r="L18" s="88">
        <v>3.3999999999999998E-3</v>
      </c>
      <c r="M18" s="88">
        <v>3.3999999999999998E-3</v>
      </c>
      <c r="N18" s="84">
        <v>115997.69</v>
      </c>
      <c r="O18" s="86">
        <v>105.55</v>
      </c>
      <c r="P18" s="130">
        <v>122.43555000000001</v>
      </c>
      <c r="Q18" s="85">
        <f t="shared" si="0"/>
        <v>1.1210603882151277E-2</v>
      </c>
      <c r="R18" s="85">
        <f>P18/'סכום נכסי הקרן'!$C$42</f>
        <v>4.2880323190234423E-4</v>
      </c>
      <c r="BC18" s="1" t="s">
        <v>165</v>
      </c>
    </row>
    <row r="19" spans="2:55">
      <c r="B19" s="77" t="s">
        <v>1578</v>
      </c>
      <c r="C19" s="87" t="s">
        <v>1545</v>
      </c>
      <c r="D19" s="74">
        <v>6865</v>
      </c>
      <c r="E19" s="74"/>
      <c r="F19" s="74" t="s">
        <v>690</v>
      </c>
      <c r="G19" s="96">
        <v>43555</v>
      </c>
      <c r="H19" s="74"/>
      <c r="I19" s="84">
        <v>4.8</v>
      </c>
      <c r="J19" s="87" t="s">
        <v>27</v>
      </c>
      <c r="K19" s="87" t="s">
        <v>155</v>
      </c>
      <c r="L19" s="88">
        <v>2.1000000000000001E-2</v>
      </c>
      <c r="M19" s="88">
        <v>2.1000000000000001E-2</v>
      </c>
      <c r="N19" s="84">
        <v>78767.240000000005</v>
      </c>
      <c r="O19" s="86">
        <v>113.69</v>
      </c>
      <c r="P19" s="130">
        <v>89.550490000000011</v>
      </c>
      <c r="Q19" s="85">
        <f t="shared" si="0"/>
        <v>8.1995390296572285E-3</v>
      </c>
      <c r="R19" s="85">
        <f>P19/'סכום נכסי הקרן'!$C$42</f>
        <v>3.1363063693868785E-4</v>
      </c>
      <c r="BC19" s="1" t="s">
        <v>166</v>
      </c>
    </row>
    <row r="20" spans="2:55">
      <c r="B20" s="77" t="s">
        <v>1578</v>
      </c>
      <c r="C20" s="87" t="s">
        <v>1545</v>
      </c>
      <c r="D20" s="74">
        <v>5212</v>
      </c>
      <c r="E20" s="74"/>
      <c r="F20" s="74" t="s">
        <v>690</v>
      </c>
      <c r="G20" s="96">
        <v>42643</v>
      </c>
      <c r="H20" s="74"/>
      <c r="I20" s="84">
        <v>8.56</v>
      </c>
      <c r="J20" s="87" t="s">
        <v>27</v>
      </c>
      <c r="K20" s="87" t="s">
        <v>155</v>
      </c>
      <c r="L20" s="88">
        <v>1.7000000000000001E-2</v>
      </c>
      <c r="M20" s="88">
        <v>1.7000000000000001E-2</v>
      </c>
      <c r="N20" s="84">
        <v>160290.18</v>
      </c>
      <c r="O20" s="86">
        <v>99.09</v>
      </c>
      <c r="P20" s="130">
        <v>158.83101000000002</v>
      </c>
      <c r="Q20" s="85">
        <f t="shared" si="0"/>
        <v>1.4543092568392174E-2</v>
      </c>
      <c r="R20" s="85">
        <f>P20/'סכום נכסי הקרן'!$C$42</f>
        <v>5.5627022065334421E-4</v>
      </c>
      <c r="BC20" s="1" t="s">
        <v>167</v>
      </c>
    </row>
    <row r="21" spans="2:55">
      <c r="B21" s="77" t="s">
        <v>1578</v>
      </c>
      <c r="C21" s="87" t="s">
        <v>1545</v>
      </c>
      <c r="D21" s="74">
        <v>5211</v>
      </c>
      <c r="E21" s="74"/>
      <c r="F21" s="74" t="s">
        <v>690</v>
      </c>
      <c r="G21" s="96">
        <v>42643</v>
      </c>
      <c r="H21" s="74"/>
      <c r="I21" s="84">
        <v>5.63</v>
      </c>
      <c r="J21" s="87" t="s">
        <v>27</v>
      </c>
      <c r="K21" s="87" t="s">
        <v>155</v>
      </c>
      <c r="L21" s="88">
        <v>2.8000000000000004E-2</v>
      </c>
      <c r="M21" s="88">
        <v>2.8000000000000004E-2</v>
      </c>
      <c r="N21" s="84">
        <v>148315.5</v>
      </c>
      <c r="O21" s="86">
        <v>106.05</v>
      </c>
      <c r="P21" s="130">
        <v>157.28859</v>
      </c>
      <c r="Q21" s="85">
        <f t="shared" si="0"/>
        <v>1.4401863492033975E-2</v>
      </c>
      <c r="R21" s="85">
        <f>P21/'סכום נכסי הקרן'!$C$42</f>
        <v>5.5086823829649748E-4</v>
      </c>
      <c r="BC21" s="1" t="s">
        <v>168</v>
      </c>
    </row>
    <row r="22" spans="2:55">
      <c r="B22" s="77" t="s">
        <v>1578</v>
      </c>
      <c r="C22" s="87" t="s">
        <v>1545</v>
      </c>
      <c r="D22" s="74">
        <v>6027</v>
      </c>
      <c r="E22" s="74"/>
      <c r="F22" s="74" t="s">
        <v>690</v>
      </c>
      <c r="G22" s="96">
        <v>43100</v>
      </c>
      <c r="H22" s="74"/>
      <c r="I22" s="84">
        <v>10.180000000000001</v>
      </c>
      <c r="J22" s="87" t="s">
        <v>27</v>
      </c>
      <c r="K22" s="87" t="s">
        <v>155</v>
      </c>
      <c r="L22" s="88">
        <v>1.6700000000000003E-2</v>
      </c>
      <c r="M22" s="88">
        <v>1.6700000000000003E-2</v>
      </c>
      <c r="N22" s="84">
        <v>270290.11</v>
      </c>
      <c r="O22" s="86">
        <v>100.75</v>
      </c>
      <c r="P22" s="130">
        <v>272.31728999999996</v>
      </c>
      <c r="Q22" s="85">
        <f t="shared" si="0"/>
        <v>2.4934271691930281E-2</v>
      </c>
      <c r="R22" s="85">
        <f>P22/'סכום נכסי הקרן'!$C$42</f>
        <v>9.5373062852160094E-4</v>
      </c>
      <c r="BC22" s="1" t="s">
        <v>27</v>
      </c>
    </row>
    <row r="23" spans="2:55">
      <c r="B23" s="77" t="s">
        <v>1578</v>
      </c>
      <c r="C23" s="87" t="s">
        <v>1545</v>
      </c>
      <c r="D23" s="74">
        <v>5025</v>
      </c>
      <c r="E23" s="74"/>
      <c r="F23" s="74" t="s">
        <v>690</v>
      </c>
      <c r="G23" s="96">
        <v>42551</v>
      </c>
      <c r="H23" s="74"/>
      <c r="I23" s="84">
        <v>9.5500000000000007</v>
      </c>
      <c r="J23" s="87" t="s">
        <v>27</v>
      </c>
      <c r="K23" s="87" t="s">
        <v>155</v>
      </c>
      <c r="L23" s="88">
        <v>1.95E-2</v>
      </c>
      <c r="M23" s="88">
        <v>1.95E-2</v>
      </c>
      <c r="N23" s="84">
        <v>154772.19</v>
      </c>
      <c r="O23" s="86">
        <v>97.49</v>
      </c>
      <c r="P23" s="130">
        <v>150.86825000000002</v>
      </c>
      <c r="Q23" s="85">
        <f t="shared" si="0"/>
        <v>1.3813995928007588E-2</v>
      </c>
      <c r="R23" s="85">
        <f>P23/'סכום נכסי הקרן'!$C$42</f>
        <v>5.283824280729808E-4</v>
      </c>
    </row>
    <row r="24" spans="2:55">
      <c r="B24" s="77" t="s">
        <v>1578</v>
      </c>
      <c r="C24" s="87" t="s">
        <v>1545</v>
      </c>
      <c r="D24" s="74">
        <v>5024</v>
      </c>
      <c r="E24" s="74"/>
      <c r="F24" s="74" t="s">
        <v>690</v>
      </c>
      <c r="G24" s="96">
        <v>42551</v>
      </c>
      <c r="H24" s="74"/>
      <c r="I24" s="84">
        <v>6.8</v>
      </c>
      <c r="J24" s="87" t="s">
        <v>27</v>
      </c>
      <c r="K24" s="87" t="s">
        <v>155</v>
      </c>
      <c r="L24" s="88">
        <v>2.9100000000000001E-2</v>
      </c>
      <c r="M24" s="88">
        <v>2.9100000000000001E-2</v>
      </c>
      <c r="N24" s="84">
        <v>115762.39</v>
      </c>
      <c r="O24" s="86">
        <v>110.08</v>
      </c>
      <c r="P24" s="130">
        <v>127.40495</v>
      </c>
      <c r="Q24" s="85">
        <f t="shared" si="0"/>
        <v>1.1665618581166085E-2</v>
      </c>
      <c r="R24" s="85">
        <f>P24/'סכום נכסי הקרן'!$C$42</f>
        <v>4.4620744808478066E-4</v>
      </c>
    </row>
    <row r="25" spans="2:55">
      <c r="B25" s="77" t="s">
        <v>1578</v>
      </c>
      <c r="C25" s="87" t="s">
        <v>1545</v>
      </c>
      <c r="D25" s="74">
        <v>6026</v>
      </c>
      <c r="E25" s="74"/>
      <c r="F25" s="74" t="s">
        <v>690</v>
      </c>
      <c r="G25" s="96">
        <v>43100</v>
      </c>
      <c r="H25" s="74"/>
      <c r="I25" s="84">
        <v>7.5900000000000007</v>
      </c>
      <c r="J25" s="87" t="s">
        <v>27</v>
      </c>
      <c r="K25" s="87" t="s">
        <v>155</v>
      </c>
      <c r="L25" s="88">
        <v>2.7099999999999999E-2</v>
      </c>
      <c r="M25" s="88">
        <v>2.7099999999999999E-2</v>
      </c>
      <c r="N25" s="84">
        <v>359740.8</v>
      </c>
      <c r="O25" s="86">
        <v>108.22</v>
      </c>
      <c r="P25" s="130">
        <v>389.31148999999999</v>
      </c>
      <c r="Q25" s="85">
        <f t="shared" si="0"/>
        <v>3.564664757221328E-2</v>
      </c>
      <c r="R25" s="85">
        <f>P25/'סכום נכסי הקרן'!$C$42</f>
        <v>1.363476744529813E-3</v>
      </c>
    </row>
    <row r="26" spans="2:55">
      <c r="B26" s="77" t="s">
        <v>1578</v>
      </c>
      <c r="C26" s="87" t="s">
        <v>1545</v>
      </c>
      <c r="D26" s="74">
        <v>5023</v>
      </c>
      <c r="E26" s="74"/>
      <c r="F26" s="74" t="s">
        <v>690</v>
      </c>
      <c r="G26" s="96">
        <v>42551</v>
      </c>
      <c r="H26" s="74"/>
      <c r="I26" s="84">
        <v>9.65</v>
      </c>
      <c r="J26" s="87" t="s">
        <v>27</v>
      </c>
      <c r="K26" s="87" t="s">
        <v>155</v>
      </c>
      <c r="L26" s="88">
        <v>1.3300000000000003E-2</v>
      </c>
      <c r="M26" s="88">
        <v>1.3300000000000003E-2</v>
      </c>
      <c r="N26" s="84">
        <v>139244.01</v>
      </c>
      <c r="O26" s="86">
        <v>100.49</v>
      </c>
      <c r="P26" s="130">
        <v>139.90088999999998</v>
      </c>
      <c r="Q26" s="85">
        <f t="shared" si="0"/>
        <v>1.2809788174679808E-2</v>
      </c>
      <c r="R26" s="85">
        <f>P26/'סכום נכסי הקרן'!$C$42</f>
        <v>4.8997169349926828E-4</v>
      </c>
    </row>
    <row r="27" spans="2:55">
      <c r="B27" s="77" t="s">
        <v>1578</v>
      </c>
      <c r="C27" s="87" t="s">
        <v>1545</v>
      </c>
      <c r="D27" s="74">
        <v>5210</v>
      </c>
      <c r="E27" s="74"/>
      <c r="F27" s="74" t="s">
        <v>690</v>
      </c>
      <c r="G27" s="96">
        <v>42643</v>
      </c>
      <c r="H27" s="74"/>
      <c r="I27" s="84">
        <v>8.7899999999999991</v>
      </c>
      <c r="J27" s="87" t="s">
        <v>27</v>
      </c>
      <c r="K27" s="87" t="s">
        <v>155</v>
      </c>
      <c r="L27" s="88">
        <v>6.4000000000000012E-3</v>
      </c>
      <c r="M27" s="88">
        <v>6.4000000000000012E-3</v>
      </c>
      <c r="N27" s="84">
        <v>116733.82</v>
      </c>
      <c r="O27" s="86">
        <v>106.3</v>
      </c>
      <c r="P27" s="130">
        <v>124.07903</v>
      </c>
      <c r="Q27" s="85">
        <f t="shared" si="0"/>
        <v>1.1361086346339479E-2</v>
      </c>
      <c r="R27" s="85">
        <f>P27/'סכום נכסי הקרן'!$C$42</f>
        <v>4.3455915439027248E-4</v>
      </c>
    </row>
    <row r="28" spans="2:55">
      <c r="B28" s="77" t="s">
        <v>1578</v>
      </c>
      <c r="C28" s="87" t="s">
        <v>1545</v>
      </c>
      <c r="D28" s="74">
        <v>6025</v>
      </c>
      <c r="E28" s="74"/>
      <c r="F28" s="74" t="s">
        <v>690</v>
      </c>
      <c r="G28" s="96">
        <v>43100</v>
      </c>
      <c r="H28" s="74"/>
      <c r="I28" s="84">
        <v>10.19</v>
      </c>
      <c r="J28" s="87" t="s">
        <v>27</v>
      </c>
      <c r="K28" s="87" t="s">
        <v>155</v>
      </c>
      <c r="L28" s="88">
        <v>1.0599999999999998E-2</v>
      </c>
      <c r="M28" s="88">
        <v>1.0599999999999998E-2</v>
      </c>
      <c r="N28" s="84">
        <v>150787.35999999999</v>
      </c>
      <c r="O28" s="86">
        <v>109.21</v>
      </c>
      <c r="P28" s="130">
        <v>164.67487</v>
      </c>
      <c r="Q28" s="85">
        <f t="shared" si="0"/>
        <v>1.5078175717058948E-2</v>
      </c>
      <c r="R28" s="85">
        <f>P28/'סכום נכסי הקרן'!$C$42</f>
        <v>5.76737038132294E-4</v>
      </c>
    </row>
    <row r="29" spans="2:55">
      <c r="B29" s="77" t="s">
        <v>1578</v>
      </c>
      <c r="C29" s="87" t="s">
        <v>1545</v>
      </c>
      <c r="D29" s="74">
        <v>5022</v>
      </c>
      <c r="E29" s="74"/>
      <c r="F29" s="74" t="s">
        <v>690</v>
      </c>
      <c r="G29" s="96">
        <v>42551</v>
      </c>
      <c r="H29" s="74"/>
      <c r="I29" s="84">
        <v>7.93</v>
      </c>
      <c r="J29" s="87" t="s">
        <v>27</v>
      </c>
      <c r="K29" s="87" t="s">
        <v>155</v>
      </c>
      <c r="L29" s="88">
        <v>2.1099999999999997E-2</v>
      </c>
      <c r="M29" s="88">
        <v>2.1099999999999997E-2</v>
      </c>
      <c r="N29" s="84">
        <v>101602.26</v>
      </c>
      <c r="O29" s="86">
        <v>105.56</v>
      </c>
      <c r="P29" s="130">
        <v>107.25131</v>
      </c>
      <c r="Q29" s="85">
        <f t="shared" si="0"/>
        <v>9.8202846497754126E-3</v>
      </c>
      <c r="R29" s="85">
        <f>P29/'סכום נכסי הקרן'!$C$42</f>
        <v>3.7562381476425932E-4</v>
      </c>
    </row>
    <row r="30" spans="2:55">
      <c r="B30" s="77" t="s">
        <v>1578</v>
      </c>
      <c r="C30" s="87" t="s">
        <v>1545</v>
      </c>
      <c r="D30" s="74">
        <v>6024</v>
      </c>
      <c r="E30" s="74"/>
      <c r="F30" s="74" t="s">
        <v>690</v>
      </c>
      <c r="G30" s="96">
        <v>43100</v>
      </c>
      <c r="H30" s="74"/>
      <c r="I30" s="84">
        <v>8.6300000000000008</v>
      </c>
      <c r="J30" s="87" t="s">
        <v>27</v>
      </c>
      <c r="K30" s="87" t="s">
        <v>155</v>
      </c>
      <c r="L30" s="88">
        <v>1.5600000000000001E-2</v>
      </c>
      <c r="M30" s="88">
        <v>1.5600000000000001E-2</v>
      </c>
      <c r="N30" s="84">
        <v>116668.44</v>
      </c>
      <c r="O30" s="86">
        <v>110.95</v>
      </c>
      <c r="P30" s="130">
        <v>129.44364999999999</v>
      </c>
      <c r="Q30" s="85">
        <f t="shared" si="0"/>
        <v>1.1852288695642981E-2</v>
      </c>
      <c r="R30" s="85">
        <f>P30/'סכום נכסי הקרן'!$C$42</f>
        <v>4.5334754055693688E-4</v>
      </c>
    </row>
    <row r="31" spans="2:55">
      <c r="B31" s="77" t="s">
        <v>1578</v>
      </c>
      <c r="C31" s="87" t="s">
        <v>1545</v>
      </c>
      <c r="D31" s="74">
        <v>5209</v>
      </c>
      <c r="E31" s="74"/>
      <c r="F31" s="74" t="s">
        <v>690</v>
      </c>
      <c r="G31" s="96">
        <v>42643</v>
      </c>
      <c r="H31" s="74"/>
      <c r="I31" s="84">
        <v>6.7799999999999994</v>
      </c>
      <c r="J31" s="87" t="s">
        <v>27</v>
      </c>
      <c r="K31" s="87" t="s">
        <v>155</v>
      </c>
      <c r="L31" s="88">
        <v>1.8199999999999997E-2</v>
      </c>
      <c r="M31" s="88">
        <v>1.8199999999999997E-2</v>
      </c>
      <c r="N31" s="84">
        <v>85942.59</v>
      </c>
      <c r="O31" s="86">
        <v>106.09</v>
      </c>
      <c r="P31" s="130">
        <v>91.175740000000005</v>
      </c>
      <c r="Q31" s="85">
        <f t="shared" si="0"/>
        <v>8.3483522947543874E-3</v>
      </c>
      <c r="R31" s="85">
        <f>P31/'סכום נכסי הקרן'!$C$42</f>
        <v>3.1932271291375622E-4</v>
      </c>
    </row>
    <row r="32" spans="2:55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84"/>
      <c r="O32" s="86"/>
      <c r="P32" s="74"/>
      <c r="Q32" s="85"/>
      <c r="R32" s="74"/>
    </row>
    <row r="33" spans="2:18">
      <c r="B33" s="92" t="s">
        <v>34</v>
      </c>
      <c r="C33" s="72"/>
      <c r="D33" s="72"/>
      <c r="E33" s="72"/>
      <c r="F33" s="72"/>
      <c r="G33" s="72"/>
      <c r="H33" s="72"/>
      <c r="I33" s="81">
        <v>5.1357721277314194</v>
      </c>
      <c r="J33" s="72"/>
      <c r="K33" s="72"/>
      <c r="L33" s="72"/>
      <c r="M33" s="94">
        <v>3.9575891757986759E-2</v>
      </c>
      <c r="N33" s="81"/>
      <c r="O33" s="83"/>
      <c r="P33" s="81">
        <f>SUM(P34:P133)</f>
        <v>4178.3677500000003</v>
      </c>
      <c r="Q33" s="82">
        <f t="shared" ref="Q33:Q99" si="1">P33/$P$10</f>
        <v>0.38258517006870713</v>
      </c>
      <c r="R33" s="82">
        <f>P33/'סכום נכסי הקרן'!$C$42</f>
        <v>1.4633801990324921E-2</v>
      </c>
    </row>
    <row r="34" spans="2:18">
      <c r="B34" s="77" t="s">
        <v>1579</v>
      </c>
      <c r="C34" s="87" t="s">
        <v>1544</v>
      </c>
      <c r="D34" s="74">
        <v>91102700</v>
      </c>
      <c r="E34" s="74"/>
      <c r="F34" s="74" t="s">
        <v>431</v>
      </c>
      <c r="G34" s="96">
        <v>43093</v>
      </c>
      <c r="H34" s="74" t="s">
        <v>151</v>
      </c>
      <c r="I34" s="84">
        <v>3.4500000000000006</v>
      </c>
      <c r="J34" s="87" t="s">
        <v>685</v>
      </c>
      <c r="K34" s="87" t="s">
        <v>155</v>
      </c>
      <c r="L34" s="88">
        <v>2.6089999999999999E-2</v>
      </c>
      <c r="M34" s="88">
        <v>3.3299999999999996E-2</v>
      </c>
      <c r="N34" s="84">
        <v>50782.5</v>
      </c>
      <c r="O34" s="86">
        <v>99.68</v>
      </c>
      <c r="P34" s="84">
        <v>50.619990000000001</v>
      </c>
      <c r="Q34" s="85">
        <f t="shared" si="1"/>
        <v>4.6349336970223009E-3</v>
      </c>
      <c r="R34" s="85">
        <f>P34/'סכום נכסי הקרן'!$C$42</f>
        <v>1.7728523546359161E-4</v>
      </c>
    </row>
    <row r="35" spans="2:18">
      <c r="B35" s="77" t="s">
        <v>1579</v>
      </c>
      <c r="C35" s="87" t="s">
        <v>1544</v>
      </c>
      <c r="D35" s="74">
        <v>91102701</v>
      </c>
      <c r="E35" s="74"/>
      <c r="F35" s="74" t="s">
        <v>431</v>
      </c>
      <c r="G35" s="96">
        <v>43363</v>
      </c>
      <c r="H35" s="74" t="s">
        <v>151</v>
      </c>
      <c r="I35" s="84">
        <v>3.4499999999999997</v>
      </c>
      <c r="J35" s="87" t="s">
        <v>685</v>
      </c>
      <c r="K35" s="87" t="s">
        <v>155</v>
      </c>
      <c r="L35" s="88">
        <v>2.6849999999999999E-2</v>
      </c>
      <c r="M35" s="88">
        <v>3.1300000000000001E-2</v>
      </c>
      <c r="N35" s="84">
        <v>71095.5</v>
      </c>
      <c r="O35" s="86">
        <v>99.87</v>
      </c>
      <c r="P35" s="84">
        <v>71.003070000000008</v>
      </c>
      <c r="Q35" s="85">
        <f t="shared" si="1"/>
        <v>6.5012759136268746E-3</v>
      </c>
      <c r="R35" s="85">
        <f>P35/'סכום נכסי הקרן'!$C$42</f>
        <v>2.4867243125863673E-4</v>
      </c>
    </row>
    <row r="36" spans="2:18">
      <c r="B36" s="77" t="s">
        <v>1580</v>
      </c>
      <c r="C36" s="87" t="s">
        <v>1545</v>
      </c>
      <c r="D36" s="74">
        <v>6686</v>
      </c>
      <c r="E36" s="74"/>
      <c r="F36" s="74" t="s">
        <v>1194</v>
      </c>
      <c r="G36" s="96">
        <v>43471</v>
      </c>
      <c r="H36" s="74" t="s">
        <v>1543</v>
      </c>
      <c r="I36" s="84">
        <v>0.52000000000000013</v>
      </c>
      <c r="J36" s="87" t="s">
        <v>147</v>
      </c>
      <c r="K36" s="87" t="s">
        <v>155</v>
      </c>
      <c r="L36" s="88">
        <v>2.2970000000000001E-2</v>
      </c>
      <c r="M36" s="88">
        <v>1.8300000000000004E-2</v>
      </c>
      <c r="N36" s="84">
        <v>191850</v>
      </c>
      <c r="O36" s="86">
        <v>101.35</v>
      </c>
      <c r="P36" s="84">
        <v>194.43996999999999</v>
      </c>
      <c r="Q36" s="85">
        <f t="shared" si="1"/>
        <v>1.7803566713486218E-2</v>
      </c>
      <c r="R36" s="85">
        <f>P36/'סכום נכסי הקרן'!$C$42</f>
        <v>6.809826684079489E-4</v>
      </c>
    </row>
    <row r="37" spans="2:18">
      <c r="B37" s="77" t="s">
        <v>1581</v>
      </c>
      <c r="C37" s="87" t="s">
        <v>1544</v>
      </c>
      <c r="D37" s="74">
        <v>11898602</v>
      </c>
      <c r="E37" s="74"/>
      <c r="F37" s="74" t="s">
        <v>516</v>
      </c>
      <c r="G37" s="96">
        <v>43431</v>
      </c>
      <c r="H37" s="74" t="s">
        <v>334</v>
      </c>
      <c r="I37" s="84">
        <v>9.52</v>
      </c>
      <c r="J37" s="87" t="s">
        <v>1546</v>
      </c>
      <c r="K37" s="87" t="s">
        <v>155</v>
      </c>
      <c r="L37" s="88">
        <v>3.9599999999999996E-2</v>
      </c>
      <c r="M37" s="88">
        <v>3.0099999999999998E-2</v>
      </c>
      <c r="N37" s="84">
        <v>11623.16</v>
      </c>
      <c r="O37" s="86">
        <v>109.56</v>
      </c>
      <c r="P37" s="84">
        <v>12.73433</v>
      </c>
      <c r="Q37" s="85">
        <f t="shared" si="1"/>
        <v>1.1659973703274536E-3</v>
      </c>
      <c r="R37" s="85">
        <f>P37/'סכום נכסי הקרן'!$C$42</f>
        <v>4.459915326970785E-5</v>
      </c>
    </row>
    <row r="38" spans="2:18">
      <c r="B38" s="77" t="s">
        <v>1581</v>
      </c>
      <c r="C38" s="87" t="s">
        <v>1544</v>
      </c>
      <c r="D38" s="74">
        <v>11898601</v>
      </c>
      <c r="E38" s="74"/>
      <c r="F38" s="74" t="s">
        <v>516</v>
      </c>
      <c r="G38" s="96">
        <v>43276</v>
      </c>
      <c r="H38" s="74" t="s">
        <v>334</v>
      </c>
      <c r="I38" s="84">
        <v>9.58</v>
      </c>
      <c r="J38" s="87" t="s">
        <v>1546</v>
      </c>
      <c r="K38" s="87" t="s">
        <v>155</v>
      </c>
      <c r="L38" s="88">
        <v>3.56E-2</v>
      </c>
      <c r="M38" s="88">
        <v>3.1300000000000001E-2</v>
      </c>
      <c r="N38" s="84">
        <v>11602.96</v>
      </c>
      <c r="O38" s="86">
        <v>104.5</v>
      </c>
      <c r="P38" s="84">
        <v>12.12509</v>
      </c>
      <c r="Q38" s="85">
        <f t="shared" si="1"/>
        <v>1.1102133410225512E-3</v>
      </c>
      <c r="R38" s="85">
        <f>P38/'סכום נכסי הקרן'!$C$42</f>
        <v>4.2465425924960477E-5</v>
      </c>
    </row>
    <row r="39" spans="2:18">
      <c r="B39" s="77" t="s">
        <v>1581</v>
      </c>
      <c r="C39" s="87" t="s">
        <v>1544</v>
      </c>
      <c r="D39" s="74">
        <v>11898600</v>
      </c>
      <c r="E39" s="74"/>
      <c r="F39" s="74" t="s">
        <v>516</v>
      </c>
      <c r="G39" s="96">
        <v>43222</v>
      </c>
      <c r="H39" s="74" t="s">
        <v>334</v>
      </c>
      <c r="I39" s="84">
        <v>9.59</v>
      </c>
      <c r="J39" s="87" t="s">
        <v>1546</v>
      </c>
      <c r="K39" s="87" t="s">
        <v>155</v>
      </c>
      <c r="L39" s="88">
        <v>3.5200000000000002E-2</v>
      </c>
      <c r="M39" s="88">
        <v>3.1400000000000004E-2</v>
      </c>
      <c r="N39" s="84">
        <v>55457.78</v>
      </c>
      <c r="O39" s="86">
        <v>104.87</v>
      </c>
      <c r="P39" s="84">
        <v>58.158569999999997</v>
      </c>
      <c r="Q39" s="85">
        <f t="shared" si="1"/>
        <v>5.3251910137404272E-3</v>
      </c>
      <c r="R39" s="85">
        <f>P39/'סכום נכסי הקרן'!$C$42</f>
        <v>2.0368743211280317E-4</v>
      </c>
    </row>
    <row r="40" spans="2:18">
      <c r="B40" s="77" t="s">
        <v>1581</v>
      </c>
      <c r="C40" s="87" t="s">
        <v>1544</v>
      </c>
      <c r="D40" s="74">
        <v>11898611</v>
      </c>
      <c r="E40" s="74"/>
      <c r="F40" s="74" t="s">
        <v>516</v>
      </c>
      <c r="G40" s="96">
        <v>43922</v>
      </c>
      <c r="H40" s="74" t="s">
        <v>334</v>
      </c>
      <c r="I40" s="84">
        <v>9.9600000000000009</v>
      </c>
      <c r="J40" s="87" t="s">
        <v>1546</v>
      </c>
      <c r="K40" s="87" t="s">
        <v>155</v>
      </c>
      <c r="L40" s="88">
        <v>3.0699999999999998E-2</v>
      </c>
      <c r="M40" s="88">
        <v>2.23E-2</v>
      </c>
      <c r="N40" s="84">
        <v>13373.07</v>
      </c>
      <c r="O40" s="86">
        <v>108.73</v>
      </c>
      <c r="P40" s="84">
        <v>14.54054</v>
      </c>
      <c r="Q40" s="85">
        <f t="shared" si="1"/>
        <v>1.3313799315033577E-3</v>
      </c>
      <c r="R40" s="85">
        <f>P40/'סכום נכסי הקרן'!$C$42</f>
        <v>5.092500132196337E-5</v>
      </c>
    </row>
    <row r="41" spans="2:18">
      <c r="B41" s="77" t="s">
        <v>1581</v>
      </c>
      <c r="C41" s="87" t="s">
        <v>1544</v>
      </c>
      <c r="D41" s="74">
        <v>11898603</v>
      </c>
      <c r="E41" s="74"/>
      <c r="F41" s="74" t="s">
        <v>516</v>
      </c>
      <c r="G41" s="96">
        <v>43500</v>
      </c>
      <c r="H41" s="74" t="s">
        <v>334</v>
      </c>
      <c r="I41" s="84">
        <v>9.6500000000000021</v>
      </c>
      <c r="J41" s="87" t="s">
        <v>1546</v>
      </c>
      <c r="K41" s="87" t="s">
        <v>155</v>
      </c>
      <c r="L41" s="88">
        <v>3.7499999999999999E-2</v>
      </c>
      <c r="M41" s="88">
        <v>2.7100000000000003E-2</v>
      </c>
      <c r="N41" s="84">
        <v>21838.34</v>
      </c>
      <c r="O41" s="86">
        <v>110.53</v>
      </c>
      <c r="P41" s="84">
        <v>24.137919999999998</v>
      </c>
      <c r="Q41" s="85">
        <f t="shared" si="1"/>
        <v>2.2101477851739705E-3</v>
      </c>
      <c r="R41" s="85">
        <f>P41/'סכום נכסי הקרן'!$C$42</f>
        <v>8.4537686214504132E-5</v>
      </c>
    </row>
    <row r="42" spans="2:18">
      <c r="B42" s="77" t="s">
        <v>1581</v>
      </c>
      <c r="C42" s="87" t="s">
        <v>1544</v>
      </c>
      <c r="D42" s="74">
        <v>11898604</v>
      </c>
      <c r="E42" s="74"/>
      <c r="F42" s="74" t="s">
        <v>516</v>
      </c>
      <c r="G42" s="96">
        <v>43556</v>
      </c>
      <c r="H42" s="74" t="s">
        <v>334</v>
      </c>
      <c r="I42" s="84">
        <v>9.75</v>
      </c>
      <c r="J42" s="87" t="s">
        <v>1546</v>
      </c>
      <c r="K42" s="87" t="s">
        <v>155</v>
      </c>
      <c r="L42" s="88">
        <v>3.3500000000000002E-2</v>
      </c>
      <c r="M42" s="88">
        <v>2.7200000000000002E-2</v>
      </c>
      <c r="N42" s="84">
        <v>22066.29</v>
      </c>
      <c r="O42" s="86">
        <v>106.44</v>
      </c>
      <c r="P42" s="84">
        <v>23.487359999999999</v>
      </c>
      <c r="Q42" s="85">
        <f t="shared" si="1"/>
        <v>2.1505803600137753E-3</v>
      </c>
      <c r="R42" s="85">
        <f>P42/'סכום נכסי הקרן'!$C$42</f>
        <v>8.2259244776977292E-5</v>
      </c>
    </row>
    <row r="43" spans="2:18">
      <c r="B43" s="77" t="s">
        <v>1581</v>
      </c>
      <c r="C43" s="87" t="s">
        <v>1544</v>
      </c>
      <c r="D43" s="74">
        <v>11898606</v>
      </c>
      <c r="E43" s="74"/>
      <c r="F43" s="74" t="s">
        <v>516</v>
      </c>
      <c r="G43" s="96">
        <v>43647</v>
      </c>
      <c r="H43" s="74" t="s">
        <v>334</v>
      </c>
      <c r="I43" s="84">
        <v>9.65</v>
      </c>
      <c r="J43" s="87" t="s">
        <v>1546</v>
      </c>
      <c r="K43" s="87" t="s">
        <v>155</v>
      </c>
      <c r="L43" s="88">
        <v>3.2000000000000001E-2</v>
      </c>
      <c r="M43" s="88">
        <v>3.2000000000000008E-2</v>
      </c>
      <c r="N43" s="84">
        <v>20499.54</v>
      </c>
      <c r="O43" s="86">
        <v>100.37</v>
      </c>
      <c r="P43" s="84">
        <v>20.575389999999999</v>
      </c>
      <c r="Q43" s="85">
        <f t="shared" si="1"/>
        <v>1.8839507562205301E-3</v>
      </c>
      <c r="R43" s="85">
        <f>P43/'סכום נכסי הקרן'!$C$42</f>
        <v>7.2060718718143334E-5</v>
      </c>
    </row>
    <row r="44" spans="2:18">
      <c r="B44" s="77" t="s">
        <v>1581</v>
      </c>
      <c r="C44" s="87" t="s">
        <v>1544</v>
      </c>
      <c r="D44" s="74">
        <v>11898607</v>
      </c>
      <c r="E44" s="74"/>
      <c r="F44" s="74" t="s">
        <v>516</v>
      </c>
      <c r="G44" s="96">
        <v>43703</v>
      </c>
      <c r="H44" s="74" t="s">
        <v>334</v>
      </c>
      <c r="I44" s="84">
        <v>9.85</v>
      </c>
      <c r="J44" s="87" t="s">
        <v>1546</v>
      </c>
      <c r="K44" s="87" t="s">
        <v>155</v>
      </c>
      <c r="L44" s="88">
        <v>2.6800000000000001E-2</v>
      </c>
      <c r="M44" s="88">
        <v>3.0200000000000001E-2</v>
      </c>
      <c r="N44" s="84">
        <v>1459.48</v>
      </c>
      <c r="O44" s="86">
        <v>96.98</v>
      </c>
      <c r="P44" s="84">
        <v>1.4154100000000001</v>
      </c>
      <c r="Q44" s="85">
        <f t="shared" si="1"/>
        <v>1.2959962070522603E-4</v>
      </c>
      <c r="R44" s="85">
        <f>P44/'סכום נכסי הקרן'!$C$42</f>
        <v>4.9571581331312437E-6</v>
      </c>
    </row>
    <row r="45" spans="2:18">
      <c r="B45" s="77" t="s">
        <v>1581</v>
      </c>
      <c r="C45" s="87" t="s">
        <v>1544</v>
      </c>
      <c r="D45" s="74">
        <v>11898608</v>
      </c>
      <c r="E45" s="74"/>
      <c r="F45" s="74" t="s">
        <v>516</v>
      </c>
      <c r="G45" s="96">
        <v>43740</v>
      </c>
      <c r="H45" s="74" t="s">
        <v>334</v>
      </c>
      <c r="I45" s="84">
        <v>9.7099999999999991</v>
      </c>
      <c r="J45" s="87" t="s">
        <v>1546</v>
      </c>
      <c r="K45" s="87" t="s">
        <v>155</v>
      </c>
      <c r="L45" s="88">
        <v>2.7300000000000001E-2</v>
      </c>
      <c r="M45" s="88">
        <v>3.4500000000000003E-2</v>
      </c>
      <c r="N45" s="84">
        <v>21562.87</v>
      </c>
      <c r="O45" s="86">
        <v>93.6</v>
      </c>
      <c r="P45" s="84">
        <v>20.182849999999998</v>
      </c>
      <c r="Q45" s="85">
        <f t="shared" si="1"/>
        <v>1.8480084955952488E-3</v>
      </c>
      <c r="R45" s="85">
        <f>P45/'סכום נכסי הקרן'!$C$42</f>
        <v>7.0685934836738407E-5</v>
      </c>
    </row>
    <row r="46" spans="2:18">
      <c r="B46" s="77" t="s">
        <v>1581</v>
      </c>
      <c r="C46" s="87" t="s">
        <v>1544</v>
      </c>
      <c r="D46" s="74">
        <v>11898609</v>
      </c>
      <c r="E46" s="74"/>
      <c r="F46" s="74" t="s">
        <v>516</v>
      </c>
      <c r="G46" s="96">
        <v>43831</v>
      </c>
      <c r="H46" s="74" t="s">
        <v>334</v>
      </c>
      <c r="I46" s="84">
        <v>9.59</v>
      </c>
      <c r="J46" s="87" t="s">
        <v>1546</v>
      </c>
      <c r="K46" s="87" t="s">
        <v>155</v>
      </c>
      <c r="L46" s="88">
        <v>2.6800000000000001E-2</v>
      </c>
      <c r="M46" s="88">
        <v>3.9000000000000007E-2</v>
      </c>
      <c r="N46" s="84">
        <v>22385.65</v>
      </c>
      <c r="O46" s="86">
        <v>89.34</v>
      </c>
      <c r="P46" s="84">
        <v>19.99934</v>
      </c>
      <c r="Q46" s="85">
        <f t="shared" si="1"/>
        <v>1.8312057130830328E-3</v>
      </c>
      <c r="R46" s="85">
        <f>P46/'סכום נכסי הקרן'!$C$42</f>
        <v>7.0043231952760689E-5</v>
      </c>
    </row>
    <row r="47" spans="2:18">
      <c r="B47" s="77" t="s">
        <v>1581</v>
      </c>
      <c r="C47" s="87" t="s">
        <v>1544</v>
      </c>
      <c r="D47" s="74">
        <v>11898612</v>
      </c>
      <c r="E47" s="74"/>
      <c r="F47" s="74" t="s">
        <v>516</v>
      </c>
      <c r="G47" s="96">
        <v>43978</v>
      </c>
      <c r="H47" s="74" t="s">
        <v>334</v>
      </c>
      <c r="I47" s="84">
        <v>9.86</v>
      </c>
      <c r="J47" s="87" t="s">
        <v>1546</v>
      </c>
      <c r="K47" s="87" t="s">
        <v>155</v>
      </c>
      <c r="L47" s="88">
        <v>2.6000000000000002E-2</v>
      </c>
      <c r="M47" s="88">
        <v>3.0200000000000001E-2</v>
      </c>
      <c r="N47" s="84">
        <v>5623.11</v>
      </c>
      <c r="O47" s="86">
        <v>96.25</v>
      </c>
      <c r="P47" s="84">
        <v>5.4122399999999997</v>
      </c>
      <c r="Q47" s="85">
        <f>P47/$P$10</f>
        <v>4.9556259399442739E-4</v>
      </c>
      <c r="R47" s="85">
        <f>P47/'סכום נכסי הקרן'!$C$42</f>
        <v>1.895516460563246E-5</v>
      </c>
    </row>
    <row r="48" spans="2:18">
      <c r="B48" s="77" t="s">
        <v>1581</v>
      </c>
      <c r="C48" s="87" t="s">
        <v>1544</v>
      </c>
      <c r="D48" s="74">
        <v>11898613</v>
      </c>
      <c r="E48" s="74"/>
      <c r="F48" s="74" t="s">
        <v>516</v>
      </c>
      <c r="G48" s="96">
        <v>44010</v>
      </c>
      <c r="H48" s="74" t="s">
        <v>334</v>
      </c>
      <c r="I48" s="84">
        <v>10</v>
      </c>
      <c r="J48" s="87" t="s">
        <v>1546</v>
      </c>
      <c r="K48" s="87" t="s">
        <v>155</v>
      </c>
      <c r="L48" s="88">
        <v>2.5000000000000001E-2</v>
      </c>
      <c r="M48" s="88">
        <v>2.6600000000000006E-2</v>
      </c>
      <c r="N48" s="84">
        <v>8820.2099999999991</v>
      </c>
      <c r="O48" s="86">
        <v>98.65</v>
      </c>
      <c r="P48" s="84">
        <v>8.7011399999999988</v>
      </c>
      <c r="Q48" s="85">
        <f>P48/$P$10</f>
        <v>7.96705155186886E-4</v>
      </c>
      <c r="R48" s="85">
        <f>P48/'סכום נכסי הקרן'!$C$42</f>
        <v>3.0473803999204176E-5</v>
      </c>
    </row>
    <row r="49" spans="2:18">
      <c r="B49" s="77" t="s">
        <v>1582</v>
      </c>
      <c r="C49" s="87" t="s">
        <v>1545</v>
      </c>
      <c r="D49" s="74">
        <v>7699</v>
      </c>
      <c r="E49" s="74"/>
      <c r="F49" s="74" t="s">
        <v>1547</v>
      </c>
      <c r="G49" s="96">
        <v>43977</v>
      </c>
      <c r="H49" s="74" t="s">
        <v>1543</v>
      </c>
      <c r="I49" s="84">
        <v>10.290000000000001</v>
      </c>
      <c r="J49" s="87" t="s">
        <v>395</v>
      </c>
      <c r="K49" s="87" t="s">
        <v>155</v>
      </c>
      <c r="L49" s="88">
        <v>1.908E-2</v>
      </c>
      <c r="M49" s="88">
        <v>2.5000000000000005E-2</v>
      </c>
      <c r="N49" s="84">
        <v>77036.14</v>
      </c>
      <c r="O49" s="86">
        <v>94.31</v>
      </c>
      <c r="P49" s="84">
        <v>72.652789999999996</v>
      </c>
      <c r="Q49" s="85">
        <f t="shared" si="1"/>
        <v>6.6523297328522748E-3</v>
      </c>
      <c r="R49" s="85">
        <f>P49/'סכום נכסי הקרן'!$C$42</f>
        <v>2.5445020795612317E-4</v>
      </c>
    </row>
    <row r="50" spans="2:18">
      <c r="B50" s="77" t="s">
        <v>1582</v>
      </c>
      <c r="C50" s="87" t="s">
        <v>1545</v>
      </c>
      <c r="D50" s="74">
        <v>7567</v>
      </c>
      <c r="E50" s="74"/>
      <c r="F50" s="74" t="s">
        <v>1547</v>
      </c>
      <c r="G50" s="96">
        <v>43919</v>
      </c>
      <c r="H50" s="74" t="s">
        <v>1543</v>
      </c>
      <c r="I50" s="84">
        <v>10.01</v>
      </c>
      <c r="J50" s="87" t="s">
        <v>395</v>
      </c>
      <c r="K50" s="87" t="s">
        <v>155</v>
      </c>
      <c r="L50" s="88">
        <v>2.69E-2</v>
      </c>
      <c r="M50" s="88">
        <v>1.8699999999999998E-2</v>
      </c>
      <c r="N50" s="84">
        <v>42797.85</v>
      </c>
      <c r="O50" s="86">
        <v>108.53</v>
      </c>
      <c r="P50" s="84">
        <v>46.448509999999999</v>
      </c>
      <c r="Q50" s="85">
        <f t="shared" si="1"/>
        <v>4.2529791921230584E-3</v>
      </c>
      <c r="R50" s="85">
        <f>P50/'סכום נכסי הקרן'!$C$42</f>
        <v>1.6267555628286353E-4</v>
      </c>
    </row>
    <row r="51" spans="2:18">
      <c r="B51" s="77" t="s">
        <v>1582</v>
      </c>
      <c r="C51" s="87" t="s">
        <v>1545</v>
      </c>
      <c r="D51" s="74">
        <v>7566</v>
      </c>
      <c r="E51" s="74"/>
      <c r="F51" s="74" t="s">
        <v>1547</v>
      </c>
      <c r="G51" s="96">
        <v>43919</v>
      </c>
      <c r="H51" s="74" t="s">
        <v>1543</v>
      </c>
      <c r="I51" s="84">
        <v>9.6300000000000008</v>
      </c>
      <c r="J51" s="87" t="s">
        <v>395</v>
      </c>
      <c r="K51" s="87" t="s">
        <v>155</v>
      </c>
      <c r="L51" s="88">
        <v>2.69E-2</v>
      </c>
      <c r="M51" s="88">
        <v>1.8600000000000002E-2</v>
      </c>
      <c r="N51" s="84">
        <v>42797.85</v>
      </c>
      <c r="O51" s="86">
        <v>108.33</v>
      </c>
      <c r="P51" s="84">
        <v>46.362919999999995</v>
      </c>
      <c r="Q51" s="85">
        <f t="shared" si="1"/>
        <v>4.2451422886561055E-3</v>
      </c>
      <c r="R51" s="85">
        <f>P51/'סכום נכסי הקרן'!$C$42</f>
        <v>1.6237579637964488E-4</v>
      </c>
    </row>
    <row r="52" spans="2:18">
      <c r="B52" s="77" t="s">
        <v>1582</v>
      </c>
      <c r="C52" s="87" t="s">
        <v>1545</v>
      </c>
      <c r="D52" s="74">
        <v>7700</v>
      </c>
      <c r="E52" s="74"/>
      <c r="F52" s="74" t="s">
        <v>1547</v>
      </c>
      <c r="G52" s="96">
        <v>43977</v>
      </c>
      <c r="H52" s="74" t="s">
        <v>1543</v>
      </c>
      <c r="I52" s="84">
        <v>9.91</v>
      </c>
      <c r="J52" s="87" t="s">
        <v>395</v>
      </c>
      <c r="K52" s="87" t="s">
        <v>155</v>
      </c>
      <c r="L52" s="88">
        <v>1.8769999999999998E-2</v>
      </c>
      <c r="M52" s="88">
        <v>2.4900000000000002E-2</v>
      </c>
      <c r="N52" s="84">
        <v>51357.42</v>
      </c>
      <c r="O52" s="86">
        <v>94.33</v>
      </c>
      <c r="P52" s="84">
        <v>48.445449999999994</v>
      </c>
      <c r="Q52" s="85">
        <f t="shared" si="1"/>
        <v>4.4358256228894753E-3</v>
      </c>
      <c r="R52" s="85">
        <f>P52/'סכום נכסי הקרן'!$C$42</f>
        <v>1.6966939366028428E-4</v>
      </c>
    </row>
    <row r="53" spans="2:18">
      <c r="B53" s="77" t="s">
        <v>1583</v>
      </c>
      <c r="C53" s="87" t="s">
        <v>1545</v>
      </c>
      <c r="D53" s="74">
        <v>458870</v>
      </c>
      <c r="E53" s="74"/>
      <c r="F53" s="74" t="s">
        <v>1547</v>
      </c>
      <c r="G53" s="96">
        <v>42759</v>
      </c>
      <c r="H53" s="74" t="s">
        <v>1543</v>
      </c>
      <c r="I53" s="84">
        <v>3.17</v>
      </c>
      <c r="J53" s="87" t="s">
        <v>142</v>
      </c>
      <c r="K53" s="87" t="s">
        <v>155</v>
      </c>
      <c r="L53" s="88">
        <v>2.5499999999999998E-2</v>
      </c>
      <c r="M53" s="88">
        <v>1.4499999999999999E-2</v>
      </c>
      <c r="N53" s="84">
        <v>49318.36</v>
      </c>
      <c r="O53" s="86">
        <v>104.16</v>
      </c>
      <c r="P53" s="84">
        <v>51.37</v>
      </c>
      <c r="Q53" s="85">
        <f t="shared" si="1"/>
        <v>4.7036070930878415E-3</v>
      </c>
      <c r="R53" s="85">
        <f>P53/'סכום נכסי הקרן'!$C$42</f>
        <v>1.7991197836595189E-4</v>
      </c>
    </row>
    <row r="54" spans="2:18">
      <c r="B54" s="77" t="s">
        <v>1583</v>
      </c>
      <c r="C54" s="87" t="s">
        <v>1545</v>
      </c>
      <c r="D54" s="74">
        <v>458869</v>
      </c>
      <c r="E54" s="74"/>
      <c r="F54" s="74" t="s">
        <v>1547</v>
      </c>
      <c r="G54" s="96">
        <v>42759</v>
      </c>
      <c r="H54" s="74" t="s">
        <v>1543</v>
      </c>
      <c r="I54" s="84">
        <v>3.08</v>
      </c>
      <c r="J54" s="87" t="s">
        <v>142</v>
      </c>
      <c r="K54" s="87" t="s">
        <v>155</v>
      </c>
      <c r="L54" s="88">
        <v>3.8800000000000001E-2</v>
      </c>
      <c r="M54" s="88">
        <v>2.53E-2</v>
      </c>
      <c r="N54" s="84">
        <v>49318.36</v>
      </c>
      <c r="O54" s="86">
        <v>105.94</v>
      </c>
      <c r="P54" s="84">
        <v>52.247879999999995</v>
      </c>
      <c r="Q54" s="85">
        <f t="shared" si="1"/>
        <v>4.7839886892505805E-3</v>
      </c>
      <c r="R54" s="85">
        <f>P54/'סכום נכסי הקרן'!$C$42</f>
        <v>1.8298655745039615E-4</v>
      </c>
    </row>
    <row r="55" spans="2:18">
      <c r="B55" s="77" t="s">
        <v>1584</v>
      </c>
      <c r="C55" s="87" t="s">
        <v>1544</v>
      </c>
      <c r="D55" s="74">
        <v>9912270</v>
      </c>
      <c r="E55" s="74"/>
      <c r="F55" s="74" t="s">
        <v>635</v>
      </c>
      <c r="G55" s="96">
        <v>43801</v>
      </c>
      <c r="H55" s="74" t="s">
        <v>334</v>
      </c>
      <c r="I55" s="84">
        <v>6.45</v>
      </c>
      <c r="J55" s="87" t="s">
        <v>459</v>
      </c>
      <c r="K55" s="87" t="s">
        <v>156</v>
      </c>
      <c r="L55" s="88">
        <v>2.3629999999999998E-2</v>
      </c>
      <c r="M55" s="88">
        <v>3.7399999999999996E-2</v>
      </c>
      <c r="N55" s="84">
        <v>125301.51</v>
      </c>
      <c r="O55" s="86">
        <v>91.98</v>
      </c>
      <c r="P55" s="84">
        <v>447.50175000000002</v>
      </c>
      <c r="Q55" s="85">
        <f t="shared" si="1"/>
        <v>4.0974740227160251E-2</v>
      </c>
      <c r="R55" s="85">
        <f>P55/'סכום נכסי הקרן'!$C$42</f>
        <v>1.567275163806222E-3</v>
      </c>
    </row>
    <row r="56" spans="2:18">
      <c r="B56" s="77" t="s">
        <v>1585</v>
      </c>
      <c r="C56" s="87" t="s">
        <v>1545</v>
      </c>
      <c r="D56" s="74">
        <v>7497</v>
      </c>
      <c r="E56" s="74"/>
      <c r="F56" s="74" t="s">
        <v>322</v>
      </c>
      <c r="G56" s="96">
        <v>43902</v>
      </c>
      <c r="H56" s="74" t="s">
        <v>1543</v>
      </c>
      <c r="I56" s="84">
        <v>8.06</v>
      </c>
      <c r="J56" s="87" t="s">
        <v>395</v>
      </c>
      <c r="K56" s="87" t="s">
        <v>155</v>
      </c>
      <c r="L56" s="88">
        <v>2.7000000000000003E-2</v>
      </c>
      <c r="M56" s="88">
        <v>1.7899999999999996E-2</v>
      </c>
      <c r="N56" s="84">
        <v>89542.21</v>
      </c>
      <c r="O56" s="86">
        <v>107.63</v>
      </c>
      <c r="P56" s="84">
        <v>96.374279999999999</v>
      </c>
      <c r="Q56" s="85">
        <f t="shared" si="1"/>
        <v>8.824347809990923E-3</v>
      </c>
      <c r="R56" s="85">
        <f>P56/'סכום נכסי הקרן'!$C$42</f>
        <v>3.3752944088756456E-4</v>
      </c>
    </row>
    <row r="57" spans="2:18">
      <c r="B57" s="77" t="s">
        <v>1585</v>
      </c>
      <c r="C57" s="87" t="s">
        <v>1545</v>
      </c>
      <c r="D57" s="74">
        <v>7583</v>
      </c>
      <c r="E57" s="74"/>
      <c r="F57" s="74" t="s">
        <v>322</v>
      </c>
      <c r="G57" s="96">
        <v>43926</v>
      </c>
      <c r="H57" s="74" t="s">
        <v>1543</v>
      </c>
      <c r="I57" s="84">
        <v>8.0300000000000011</v>
      </c>
      <c r="J57" s="87" t="s">
        <v>395</v>
      </c>
      <c r="K57" s="87" t="s">
        <v>155</v>
      </c>
      <c r="L57" s="88">
        <v>2.7000000000000003E-2</v>
      </c>
      <c r="M57" s="88">
        <v>2.23E-2</v>
      </c>
      <c r="N57" s="84">
        <v>4382.5200000000004</v>
      </c>
      <c r="O57" s="86">
        <v>103.96</v>
      </c>
      <c r="P57" s="84">
        <v>4.5560700000000001</v>
      </c>
      <c r="Q57" s="85">
        <f t="shared" si="1"/>
        <v>4.1716883723193931E-4</v>
      </c>
      <c r="R57" s="85">
        <f>P57/'סכום נכסי הקרן'!$C$42</f>
        <v>1.5956619958609353E-5</v>
      </c>
    </row>
    <row r="58" spans="2:18">
      <c r="B58" s="77" t="s">
        <v>1585</v>
      </c>
      <c r="C58" s="87" t="s">
        <v>1545</v>
      </c>
      <c r="D58" s="74">
        <v>7658</v>
      </c>
      <c r="E58" s="74"/>
      <c r="F58" s="74" t="s">
        <v>322</v>
      </c>
      <c r="G58" s="96">
        <v>43956</v>
      </c>
      <c r="H58" s="74" t="s">
        <v>1543</v>
      </c>
      <c r="I58" s="84">
        <v>7.99</v>
      </c>
      <c r="J58" s="87" t="s">
        <v>395</v>
      </c>
      <c r="K58" s="87" t="s">
        <v>155</v>
      </c>
      <c r="L58" s="88">
        <v>2.7000000000000003E-2</v>
      </c>
      <c r="M58" s="88">
        <v>2.7300000000000001E-2</v>
      </c>
      <c r="N58" s="84">
        <v>6396.09</v>
      </c>
      <c r="O58" s="86">
        <v>99.96</v>
      </c>
      <c r="P58" s="84">
        <v>6.3935300000000002</v>
      </c>
      <c r="Q58" s="85">
        <f t="shared" si="1"/>
        <v>5.8541275175919612E-4</v>
      </c>
      <c r="R58" s="85">
        <f>P58/'סכום נכסי הקרן'!$C$42</f>
        <v>2.2391914172514394E-5</v>
      </c>
    </row>
    <row r="59" spans="2:18">
      <c r="B59" s="77" t="s">
        <v>1585</v>
      </c>
      <c r="C59" s="87" t="s">
        <v>1545</v>
      </c>
      <c r="D59" s="74">
        <v>7716</v>
      </c>
      <c r="E59" s="74"/>
      <c r="F59" s="74" t="s">
        <v>322</v>
      </c>
      <c r="G59" s="96">
        <v>43986</v>
      </c>
      <c r="H59" s="74" t="s">
        <v>1543</v>
      </c>
      <c r="I59" s="84">
        <v>7.9799999999999995</v>
      </c>
      <c r="J59" s="87" t="s">
        <v>395</v>
      </c>
      <c r="K59" s="87" t="s">
        <v>155</v>
      </c>
      <c r="L59" s="88">
        <v>2.7000000000000003E-2</v>
      </c>
      <c r="M59" s="88">
        <v>2.9300000000000003E-2</v>
      </c>
      <c r="N59" s="84">
        <v>5700.54</v>
      </c>
      <c r="O59" s="86">
        <v>98.44</v>
      </c>
      <c r="P59" s="84">
        <v>5.6116200000000003</v>
      </c>
      <c r="Q59" s="85">
        <f t="shared" si="1"/>
        <v>5.1381848619259473E-4</v>
      </c>
      <c r="R59" s="85">
        <f>P59/'סכום נכסי הקרן'!$C$42</f>
        <v>1.9653448628342283E-5</v>
      </c>
    </row>
    <row r="60" spans="2:18">
      <c r="B60" s="77" t="s">
        <v>1586</v>
      </c>
      <c r="C60" s="87" t="s">
        <v>1545</v>
      </c>
      <c r="D60" s="74">
        <v>7490</v>
      </c>
      <c r="E60" s="74"/>
      <c r="F60" s="74" t="s">
        <v>322</v>
      </c>
      <c r="G60" s="96">
        <v>43899</v>
      </c>
      <c r="H60" s="74" t="s">
        <v>1543</v>
      </c>
      <c r="I60" s="84">
        <v>4.67</v>
      </c>
      <c r="J60" s="87" t="s">
        <v>147</v>
      </c>
      <c r="K60" s="87" t="s">
        <v>155</v>
      </c>
      <c r="L60" s="88">
        <v>2.3889999999999998E-2</v>
      </c>
      <c r="M60" s="88">
        <v>2.2399999999999996E-2</v>
      </c>
      <c r="N60" s="84">
        <v>63479.19</v>
      </c>
      <c r="O60" s="86">
        <v>100.73</v>
      </c>
      <c r="P60" s="84">
        <v>63.94258</v>
      </c>
      <c r="Q60" s="85">
        <f t="shared" si="1"/>
        <v>5.8547940984686924E-3</v>
      </c>
      <c r="R60" s="85">
        <f>P60/'סכום נכסי הקרן'!$C$42</f>
        <v>2.2394463830296182E-4</v>
      </c>
    </row>
    <row r="61" spans="2:18">
      <c r="B61" s="77" t="s">
        <v>1586</v>
      </c>
      <c r="C61" s="87" t="s">
        <v>1545</v>
      </c>
      <c r="D61" s="74">
        <v>7491</v>
      </c>
      <c r="E61" s="74"/>
      <c r="F61" s="74" t="s">
        <v>322</v>
      </c>
      <c r="G61" s="96">
        <v>43899</v>
      </c>
      <c r="H61" s="74" t="s">
        <v>1543</v>
      </c>
      <c r="I61" s="84">
        <v>4.84</v>
      </c>
      <c r="J61" s="87" t="s">
        <v>147</v>
      </c>
      <c r="K61" s="87" t="s">
        <v>155</v>
      </c>
      <c r="L61" s="88">
        <v>1.2969999999999999E-2</v>
      </c>
      <c r="M61" s="88">
        <v>1.03E-2</v>
      </c>
      <c r="N61" s="84">
        <v>126958.37</v>
      </c>
      <c r="O61" s="86">
        <v>101.29</v>
      </c>
      <c r="P61" s="84">
        <v>128.59613999999999</v>
      </c>
      <c r="Q61" s="85">
        <f t="shared" si="1"/>
        <v>1.177468787712122E-2</v>
      </c>
      <c r="R61" s="85">
        <f>P61/'סכום נכסי הקרן'!$C$42</f>
        <v>4.5037932563023007E-4</v>
      </c>
    </row>
    <row r="62" spans="2:18">
      <c r="B62" s="77" t="s">
        <v>1587</v>
      </c>
      <c r="C62" s="87" t="s">
        <v>1544</v>
      </c>
      <c r="D62" s="74">
        <v>90840015</v>
      </c>
      <c r="E62" s="74"/>
      <c r="F62" s="74" t="s">
        <v>631</v>
      </c>
      <c r="G62" s="96">
        <v>43924</v>
      </c>
      <c r="H62" s="74" t="s">
        <v>151</v>
      </c>
      <c r="I62" s="84">
        <v>9.98</v>
      </c>
      <c r="J62" s="87" t="s">
        <v>1546</v>
      </c>
      <c r="K62" s="87" t="s">
        <v>155</v>
      </c>
      <c r="L62" s="88">
        <v>3.1400000000000004E-2</v>
      </c>
      <c r="M62" s="88">
        <v>1.9300000000000001E-2</v>
      </c>
      <c r="N62" s="84">
        <v>12034.58</v>
      </c>
      <c r="O62" s="86">
        <v>109.87</v>
      </c>
      <c r="P62" s="84">
        <v>13.222389999999999</v>
      </c>
      <c r="Q62" s="85">
        <f>P62/$P$10</f>
        <v>1.210685758060614E-3</v>
      </c>
      <c r="R62" s="85">
        <f>P62/'סכום נכסי הקרן'!$C$42</f>
        <v>4.6308474666657167E-5</v>
      </c>
    </row>
    <row r="63" spans="2:18">
      <c r="B63" s="77" t="s">
        <v>1587</v>
      </c>
      <c r="C63" s="87" t="s">
        <v>1544</v>
      </c>
      <c r="D63" s="74">
        <v>90840002</v>
      </c>
      <c r="E63" s="74"/>
      <c r="F63" s="74" t="s">
        <v>631</v>
      </c>
      <c r="G63" s="96">
        <v>43011</v>
      </c>
      <c r="H63" s="74" t="s">
        <v>151</v>
      </c>
      <c r="I63" s="84">
        <v>7.9600000000000009</v>
      </c>
      <c r="J63" s="87" t="s">
        <v>1546</v>
      </c>
      <c r="K63" s="87" t="s">
        <v>155</v>
      </c>
      <c r="L63" s="88">
        <v>3.9E-2</v>
      </c>
      <c r="M63" s="88">
        <v>3.32E-2</v>
      </c>
      <c r="N63" s="84">
        <v>9794.5300000000007</v>
      </c>
      <c r="O63" s="86">
        <v>106</v>
      </c>
      <c r="P63" s="84">
        <v>10.382209999999999</v>
      </c>
      <c r="Q63" s="85">
        <f t="shared" si="1"/>
        <v>9.5062948409436467E-4</v>
      </c>
      <c r="R63" s="85">
        <f>P63/'סכום נכסי הקרן'!$C$42</f>
        <v>3.6361377086057413E-5</v>
      </c>
    </row>
    <row r="64" spans="2:18">
      <c r="B64" s="77" t="s">
        <v>1587</v>
      </c>
      <c r="C64" s="87" t="s">
        <v>1544</v>
      </c>
      <c r="D64" s="74">
        <v>90840004</v>
      </c>
      <c r="E64" s="74"/>
      <c r="F64" s="74" t="s">
        <v>631</v>
      </c>
      <c r="G64" s="96">
        <v>43104</v>
      </c>
      <c r="H64" s="74" t="s">
        <v>151</v>
      </c>
      <c r="I64" s="84">
        <v>7.94</v>
      </c>
      <c r="J64" s="87" t="s">
        <v>1546</v>
      </c>
      <c r="K64" s="87" t="s">
        <v>155</v>
      </c>
      <c r="L64" s="88">
        <v>3.8199999999999998E-2</v>
      </c>
      <c r="M64" s="88">
        <v>3.8200000000000005E-2</v>
      </c>
      <c r="N64" s="84">
        <v>17424.490000000002</v>
      </c>
      <c r="O64" s="86">
        <v>99.27</v>
      </c>
      <c r="P64" s="84">
        <v>17.2973</v>
      </c>
      <c r="Q64" s="85">
        <f t="shared" si="1"/>
        <v>1.5837979943793717E-3</v>
      </c>
      <c r="R64" s="85">
        <f>P64/'סכום נכסי הקרן'!$C$42</f>
        <v>6.0579938940809418E-5</v>
      </c>
    </row>
    <row r="65" spans="2:18">
      <c r="B65" s="77" t="s">
        <v>1587</v>
      </c>
      <c r="C65" s="87" t="s">
        <v>1544</v>
      </c>
      <c r="D65" s="74">
        <v>90840006</v>
      </c>
      <c r="E65" s="74"/>
      <c r="F65" s="74" t="s">
        <v>631</v>
      </c>
      <c r="G65" s="96">
        <v>43194</v>
      </c>
      <c r="H65" s="74" t="s">
        <v>151</v>
      </c>
      <c r="I65" s="84">
        <v>8</v>
      </c>
      <c r="J65" s="87" t="s">
        <v>1546</v>
      </c>
      <c r="K65" s="87" t="s">
        <v>155</v>
      </c>
      <c r="L65" s="88">
        <v>3.7900000000000003E-2</v>
      </c>
      <c r="M65" s="88">
        <v>3.2899999999999999E-2</v>
      </c>
      <c r="N65" s="84">
        <v>11247.25</v>
      </c>
      <c r="O65" s="86">
        <v>103.49</v>
      </c>
      <c r="P65" s="84">
        <v>11.639790000000001</v>
      </c>
      <c r="Q65" s="85">
        <f t="shared" si="1"/>
        <v>1.0657776680173825E-3</v>
      </c>
      <c r="R65" s="85">
        <f>P65/'סכום נכסי הקרן'!$C$42</f>
        <v>4.0765770813008047E-5</v>
      </c>
    </row>
    <row r="66" spans="2:18">
      <c r="B66" s="77" t="s">
        <v>1587</v>
      </c>
      <c r="C66" s="87" t="s">
        <v>1544</v>
      </c>
      <c r="D66" s="74">
        <v>90840008</v>
      </c>
      <c r="E66" s="74"/>
      <c r="F66" s="74" t="s">
        <v>631</v>
      </c>
      <c r="G66" s="96">
        <v>43285</v>
      </c>
      <c r="H66" s="74" t="s">
        <v>151</v>
      </c>
      <c r="I66" s="84">
        <v>7.98</v>
      </c>
      <c r="J66" s="87" t="s">
        <v>1546</v>
      </c>
      <c r="K66" s="87" t="s">
        <v>155</v>
      </c>
      <c r="L66" s="88">
        <v>4.0099999999999997E-2</v>
      </c>
      <c r="M66" s="88">
        <v>3.2899999999999999E-2</v>
      </c>
      <c r="N66" s="84">
        <v>14955.65</v>
      </c>
      <c r="O66" s="86">
        <v>104.16</v>
      </c>
      <c r="P66" s="84">
        <v>15.5778</v>
      </c>
      <c r="Q66" s="85">
        <f t="shared" si="1"/>
        <v>1.4263548875745333E-3</v>
      </c>
      <c r="R66" s="85">
        <f>P66/'סכום נכסי הקרן'!$C$42</f>
        <v>5.4557773342206062E-5</v>
      </c>
    </row>
    <row r="67" spans="2:18">
      <c r="B67" s="77" t="s">
        <v>1587</v>
      </c>
      <c r="C67" s="87" t="s">
        <v>1544</v>
      </c>
      <c r="D67" s="74">
        <v>90840010</v>
      </c>
      <c r="E67" s="74"/>
      <c r="F67" s="74" t="s">
        <v>631</v>
      </c>
      <c r="G67" s="96">
        <v>43377</v>
      </c>
      <c r="H67" s="74" t="s">
        <v>151</v>
      </c>
      <c r="I67" s="84">
        <v>7.96</v>
      </c>
      <c r="J67" s="87" t="s">
        <v>1546</v>
      </c>
      <c r="K67" s="87" t="s">
        <v>155</v>
      </c>
      <c r="L67" s="88">
        <v>3.9699999999999999E-2</v>
      </c>
      <c r="M67" s="88">
        <v>3.4799999999999998E-2</v>
      </c>
      <c r="N67" s="84">
        <v>29918.91</v>
      </c>
      <c r="O67" s="86">
        <v>102.28</v>
      </c>
      <c r="P67" s="84">
        <v>30.60106</v>
      </c>
      <c r="Q67" s="85">
        <f t="shared" si="1"/>
        <v>2.8019342587503721E-3</v>
      </c>
      <c r="R67" s="85">
        <f>P67/'סכום נכסי הקרן'!$C$42</f>
        <v>1.0717339390101608E-4</v>
      </c>
    </row>
    <row r="68" spans="2:18">
      <c r="B68" s="77" t="s">
        <v>1587</v>
      </c>
      <c r="C68" s="87" t="s">
        <v>1544</v>
      </c>
      <c r="D68" s="74">
        <v>90840012</v>
      </c>
      <c r="E68" s="74"/>
      <c r="F68" s="74" t="s">
        <v>631</v>
      </c>
      <c r="G68" s="96">
        <v>43469</v>
      </c>
      <c r="H68" s="74" t="s">
        <v>151</v>
      </c>
      <c r="I68" s="84">
        <v>9.6399999999999988</v>
      </c>
      <c r="J68" s="87" t="s">
        <v>1546</v>
      </c>
      <c r="K68" s="87" t="s">
        <v>155</v>
      </c>
      <c r="L68" s="88">
        <v>4.1700000000000001E-2</v>
      </c>
      <c r="M68" s="88">
        <v>2.5099999999999997E-2</v>
      </c>
      <c r="N68" s="84">
        <v>21072.240000000002</v>
      </c>
      <c r="O68" s="86">
        <v>114.26</v>
      </c>
      <c r="P68" s="84">
        <v>24.077150000000003</v>
      </c>
      <c r="Q68" s="85">
        <f t="shared" si="1"/>
        <v>2.2045834829927959E-3</v>
      </c>
      <c r="R68" s="85">
        <f>P68/'סכום נכסי הקרן'!$C$42</f>
        <v>8.4324852830714022E-5</v>
      </c>
    </row>
    <row r="69" spans="2:18">
      <c r="B69" s="77" t="s">
        <v>1587</v>
      </c>
      <c r="C69" s="87" t="s">
        <v>1544</v>
      </c>
      <c r="D69" s="74">
        <v>90840013</v>
      </c>
      <c r="E69" s="74"/>
      <c r="F69" s="74" t="s">
        <v>631</v>
      </c>
      <c r="G69" s="96">
        <v>43559</v>
      </c>
      <c r="H69" s="74" t="s">
        <v>151</v>
      </c>
      <c r="I69" s="84">
        <v>9.58</v>
      </c>
      <c r="J69" s="87" t="s">
        <v>1546</v>
      </c>
      <c r="K69" s="87" t="s">
        <v>155</v>
      </c>
      <c r="L69" s="88">
        <v>3.7200000000000004E-2</v>
      </c>
      <c r="M69" s="88">
        <v>3.0699999999999998E-2</v>
      </c>
      <c r="N69" s="84">
        <v>50371.87</v>
      </c>
      <c r="O69" s="86">
        <v>104.01</v>
      </c>
      <c r="P69" s="84">
        <v>52.39179</v>
      </c>
      <c r="Q69" s="85">
        <f t="shared" si="1"/>
        <v>4.7971655647959634E-3</v>
      </c>
      <c r="R69" s="85">
        <f>P69/'סכום נכסי הקרן'!$C$42</f>
        <v>1.8349057015833162E-4</v>
      </c>
    </row>
    <row r="70" spans="2:18">
      <c r="B70" s="77" t="s">
        <v>1587</v>
      </c>
      <c r="C70" s="87" t="s">
        <v>1544</v>
      </c>
      <c r="D70" s="74">
        <v>90840014</v>
      </c>
      <c r="E70" s="74"/>
      <c r="F70" s="74" t="s">
        <v>631</v>
      </c>
      <c r="G70" s="96">
        <v>43742</v>
      </c>
      <c r="H70" s="74" t="s">
        <v>151</v>
      </c>
      <c r="I70" s="84">
        <v>9.39</v>
      </c>
      <c r="J70" s="87" t="s">
        <v>1546</v>
      </c>
      <c r="K70" s="87" t="s">
        <v>155</v>
      </c>
      <c r="L70" s="88">
        <v>3.1E-2</v>
      </c>
      <c r="M70" s="88">
        <v>4.1099999999999998E-2</v>
      </c>
      <c r="N70" s="84">
        <v>59186.84</v>
      </c>
      <c r="O70" s="86">
        <v>91.47</v>
      </c>
      <c r="P70" s="84">
        <v>54.138199999999998</v>
      </c>
      <c r="Q70" s="85">
        <f t="shared" si="1"/>
        <v>4.9570726401987186E-3</v>
      </c>
      <c r="R70" s="85">
        <f>P70/'סכום נכסי הקרן'!$C$42</f>
        <v>1.8960698203565461E-4</v>
      </c>
    </row>
    <row r="71" spans="2:18">
      <c r="B71" s="77" t="s">
        <v>1587</v>
      </c>
      <c r="C71" s="87" t="s">
        <v>1544</v>
      </c>
      <c r="D71" s="74">
        <v>90840000</v>
      </c>
      <c r="E71" s="74"/>
      <c r="F71" s="74" t="s">
        <v>631</v>
      </c>
      <c r="G71" s="96">
        <v>42935</v>
      </c>
      <c r="H71" s="74" t="s">
        <v>151</v>
      </c>
      <c r="I71" s="84">
        <v>9.5399999999999991</v>
      </c>
      <c r="J71" s="87" t="s">
        <v>1546</v>
      </c>
      <c r="K71" s="87" t="s">
        <v>155</v>
      </c>
      <c r="L71" s="88">
        <v>4.0800000000000003E-2</v>
      </c>
      <c r="M71" s="88">
        <v>2.9900000000000003E-2</v>
      </c>
      <c r="N71" s="84">
        <v>45755.32</v>
      </c>
      <c r="O71" s="86">
        <v>109.59</v>
      </c>
      <c r="P71" s="84">
        <v>50.143250000000002</v>
      </c>
      <c r="Q71" s="85">
        <f t="shared" si="1"/>
        <v>4.5912818059271349E-3</v>
      </c>
      <c r="R71" s="85">
        <f>P71/'סכום נכסי הקרן'!$C$42</f>
        <v>1.7561555984423822E-4</v>
      </c>
    </row>
    <row r="72" spans="2:18">
      <c r="B72" s="77" t="s">
        <v>1588</v>
      </c>
      <c r="C72" s="87" t="s">
        <v>1544</v>
      </c>
      <c r="D72" s="74">
        <v>90136004</v>
      </c>
      <c r="E72" s="74"/>
      <c r="F72" s="74" t="s">
        <v>322</v>
      </c>
      <c r="G72" s="96">
        <v>42521</v>
      </c>
      <c r="H72" s="74" t="s">
        <v>1543</v>
      </c>
      <c r="I72" s="84">
        <v>3.21</v>
      </c>
      <c r="J72" s="87" t="s">
        <v>147</v>
      </c>
      <c r="K72" s="87" t="s">
        <v>155</v>
      </c>
      <c r="L72" s="88">
        <v>2.3E-2</v>
      </c>
      <c r="M72" s="88">
        <v>3.0799999999999998E-2</v>
      </c>
      <c r="N72" s="84">
        <v>16246.59</v>
      </c>
      <c r="O72" s="86">
        <v>99.22</v>
      </c>
      <c r="P72" s="84">
        <v>16.119870000000002</v>
      </c>
      <c r="Q72" s="85">
        <f t="shared" si="1"/>
        <v>1.475988609531904E-3</v>
      </c>
      <c r="R72" s="85">
        <f>P72/'סכום נכסי הקרן'!$C$42</f>
        <v>5.6456252729257494E-5</v>
      </c>
    </row>
    <row r="73" spans="2:18">
      <c r="B73" s="77" t="s">
        <v>1588</v>
      </c>
      <c r="C73" s="87" t="s">
        <v>1544</v>
      </c>
      <c r="D73" s="74">
        <v>90136001</v>
      </c>
      <c r="E73" s="74"/>
      <c r="F73" s="74" t="s">
        <v>322</v>
      </c>
      <c r="G73" s="96">
        <v>42474</v>
      </c>
      <c r="H73" s="74" t="s">
        <v>1543</v>
      </c>
      <c r="I73" s="84">
        <v>2.09</v>
      </c>
      <c r="J73" s="87" t="s">
        <v>147</v>
      </c>
      <c r="K73" s="87" t="s">
        <v>155</v>
      </c>
      <c r="L73" s="88">
        <v>2.2000000000000002E-2</v>
      </c>
      <c r="M73" s="88">
        <v>3.1600000000000003E-2</v>
      </c>
      <c r="N73" s="84">
        <v>30587.45</v>
      </c>
      <c r="O73" s="86">
        <v>98.2</v>
      </c>
      <c r="P73" s="84">
        <v>30.03688</v>
      </c>
      <c r="Q73" s="85">
        <f t="shared" si="1"/>
        <v>2.7502760720698525E-3</v>
      </c>
      <c r="R73" s="85">
        <f>P73/'סכום נכסי הקרן'!$C$42</f>
        <v>1.0519747916567439E-4</v>
      </c>
    </row>
    <row r="74" spans="2:18">
      <c r="B74" s="77" t="s">
        <v>1588</v>
      </c>
      <c r="C74" s="87" t="s">
        <v>1544</v>
      </c>
      <c r="D74" s="74">
        <v>90136005</v>
      </c>
      <c r="E74" s="74"/>
      <c r="F74" s="74" t="s">
        <v>322</v>
      </c>
      <c r="G74" s="96">
        <v>42562</v>
      </c>
      <c r="H74" s="74" t="s">
        <v>1543</v>
      </c>
      <c r="I74" s="84">
        <v>3.2</v>
      </c>
      <c r="J74" s="87" t="s">
        <v>147</v>
      </c>
      <c r="K74" s="87" t="s">
        <v>155</v>
      </c>
      <c r="L74" s="88">
        <v>3.3700000000000001E-2</v>
      </c>
      <c r="M74" s="88">
        <v>3.27E-2</v>
      </c>
      <c r="N74" s="84">
        <v>8322.9699999999993</v>
      </c>
      <c r="O74" s="86">
        <v>100.59</v>
      </c>
      <c r="P74" s="84">
        <v>8.372069999999999</v>
      </c>
      <c r="Q74" s="85">
        <f t="shared" si="1"/>
        <v>7.665744176723364E-4</v>
      </c>
      <c r="R74" s="85">
        <f>P74/'סכום נכסי הקרן'!$C$42</f>
        <v>2.9321309649955903E-5</v>
      </c>
    </row>
    <row r="75" spans="2:18">
      <c r="B75" s="77" t="s">
        <v>1588</v>
      </c>
      <c r="C75" s="87" t="s">
        <v>1544</v>
      </c>
      <c r="D75" s="74">
        <v>90136035</v>
      </c>
      <c r="E75" s="74"/>
      <c r="F75" s="74" t="s">
        <v>322</v>
      </c>
      <c r="G75" s="96">
        <v>42717</v>
      </c>
      <c r="H75" s="74" t="s">
        <v>1543</v>
      </c>
      <c r="I75" s="84">
        <v>3</v>
      </c>
      <c r="J75" s="87" t="s">
        <v>147</v>
      </c>
      <c r="K75" s="87" t="s">
        <v>155</v>
      </c>
      <c r="L75" s="88">
        <v>3.85E-2</v>
      </c>
      <c r="M75" s="88">
        <v>4.0300000000000002E-2</v>
      </c>
      <c r="N75" s="84">
        <v>2122.34</v>
      </c>
      <c r="O75" s="86">
        <v>99.83</v>
      </c>
      <c r="P75" s="84">
        <v>2.1187300000000002</v>
      </c>
      <c r="Q75" s="85">
        <f t="shared" si="1"/>
        <v>1.9399792595557725E-4</v>
      </c>
      <c r="R75" s="85">
        <f>P75/'סכום נכסי הקרן'!$C$42</f>
        <v>7.4203797142942051E-6</v>
      </c>
    </row>
    <row r="76" spans="2:18">
      <c r="B76" s="77" t="s">
        <v>1588</v>
      </c>
      <c r="C76" s="87" t="s">
        <v>1544</v>
      </c>
      <c r="D76" s="74">
        <v>90136025</v>
      </c>
      <c r="E76" s="74"/>
      <c r="F76" s="74" t="s">
        <v>322</v>
      </c>
      <c r="G76" s="96">
        <v>42710</v>
      </c>
      <c r="H76" s="74" t="s">
        <v>1543</v>
      </c>
      <c r="I76" s="84">
        <v>3</v>
      </c>
      <c r="J76" s="87" t="s">
        <v>147</v>
      </c>
      <c r="K76" s="87" t="s">
        <v>155</v>
      </c>
      <c r="L76" s="88">
        <v>3.8399999999999997E-2</v>
      </c>
      <c r="M76" s="88">
        <v>4.0199999999999993E-2</v>
      </c>
      <c r="N76" s="84">
        <v>6345.22</v>
      </c>
      <c r="O76" s="86">
        <v>99.83</v>
      </c>
      <c r="P76" s="84">
        <v>6.3344300000000002</v>
      </c>
      <c r="Q76" s="85">
        <f t="shared" si="1"/>
        <v>5.8000136030111774E-4</v>
      </c>
      <c r="R76" s="85">
        <f>P76/'סכום נכסי הקרן'!$C$42</f>
        <v>2.2184929591602818E-5</v>
      </c>
    </row>
    <row r="77" spans="2:18">
      <c r="B77" s="77" t="s">
        <v>1588</v>
      </c>
      <c r="C77" s="87" t="s">
        <v>1544</v>
      </c>
      <c r="D77" s="74">
        <v>90136003</v>
      </c>
      <c r="E77" s="74"/>
      <c r="F77" s="74" t="s">
        <v>322</v>
      </c>
      <c r="G77" s="96">
        <v>42474</v>
      </c>
      <c r="H77" s="74" t="s">
        <v>1543</v>
      </c>
      <c r="I77" s="84">
        <v>4.13</v>
      </c>
      <c r="J77" s="87" t="s">
        <v>147</v>
      </c>
      <c r="K77" s="87" t="s">
        <v>155</v>
      </c>
      <c r="L77" s="88">
        <v>3.6699999999999997E-2</v>
      </c>
      <c r="M77" s="88">
        <v>3.44E-2</v>
      </c>
      <c r="N77" s="84">
        <v>28888.91</v>
      </c>
      <c r="O77" s="86">
        <v>101.33</v>
      </c>
      <c r="P77" s="84">
        <v>29.273130000000002</v>
      </c>
      <c r="Q77" s="85">
        <f t="shared" si="1"/>
        <v>2.6803445961627896E-3</v>
      </c>
      <c r="R77" s="85">
        <f>P77/'סכום נכסי הקרן'!$C$42</f>
        <v>1.0252261497496005E-4</v>
      </c>
    </row>
    <row r="78" spans="2:18">
      <c r="B78" s="77" t="s">
        <v>1588</v>
      </c>
      <c r="C78" s="87" t="s">
        <v>1544</v>
      </c>
      <c r="D78" s="74">
        <v>90136002</v>
      </c>
      <c r="E78" s="74"/>
      <c r="F78" s="74" t="s">
        <v>322</v>
      </c>
      <c r="G78" s="96">
        <v>42474</v>
      </c>
      <c r="H78" s="74" t="s">
        <v>1543</v>
      </c>
      <c r="I78" s="84">
        <v>2.08</v>
      </c>
      <c r="J78" s="87" t="s">
        <v>147</v>
      </c>
      <c r="K78" s="87" t="s">
        <v>155</v>
      </c>
      <c r="L78" s="88">
        <v>3.1800000000000002E-2</v>
      </c>
      <c r="M78" s="88">
        <v>3.4099999999999998E-2</v>
      </c>
      <c r="N78" s="84">
        <v>31285.3</v>
      </c>
      <c r="O78" s="86">
        <v>99.76</v>
      </c>
      <c r="P78" s="84">
        <v>31.21021</v>
      </c>
      <c r="Q78" s="85">
        <f t="shared" si="1"/>
        <v>2.8577100473576229E-3</v>
      </c>
      <c r="R78" s="85">
        <f>P78/'סכום נכסי הקרן'!$C$42</f>
        <v>1.093068060408179E-4</v>
      </c>
    </row>
    <row r="79" spans="2:18">
      <c r="B79" s="77" t="s">
        <v>1589</v>
      </c>
      <c r="C79" s="87" t="s">
        <v>1545</v>
      </c>
      <c r="D79" s="74">
        <v>470540</v>
      </c>
      <c r="E79" s="74"/>
      <c r="F79" s="74" t="s">
        <v>322</v>
      </c>
      <c r="G79" s="96">
        <v>42884</v>
      </c>
      <c r="H79" s="74" t="s">
        <v>1543</v>
      </c>
      <c r="I79" s="84">
        <v>0.53999999999999992</v>
      </c>
      <c r="J79" s="87" t="s">
        <v>147</v>
      </c>
      <c r="K79" s="87" t="s">
        <v>155</v>
      </c>
      <c r="L79" s="88">
        <v>2.2099999999999998E-2</v>
      </c>
      <c r="M79" s="88">
        <v>2.29E-2</v>
      </c>
      <c r="N79" s="84">
        <v>13067.94</v>
      </c>
      <c r="O79" s="86">
        <v>100.15</v>
      </c>
      <c r="P79" s="84">
        <v>13.087540000000001</v>
      </c>
      <c r="Q79" s="85">
        <f t="shared" si="1"/>
        <v>1.1983384460788563E-3</v>
      </c>
      <c r="R79" s="85">
        <f>P79/'סכום נכסי הקרן'!$C$42</f>
        <v>4.583619258990715E-5</v>
      </c>
    </row>
    <row r="80" spans="2:18">
      <c r="B80" s="77" t="s">
        <v>1589</v>
      </c>
      <c r="C80" s="87" t="s">
        <v>1545</v>
      </c>
      <c r="D80" s="74">
        <v>484097</v>
      </c>
      <c r="E80" s="74"/>
      <c r="F80" s="74" t="s">
        <v>322</v>
      </c>
      <c r="G80" s="96">
        <v>43006</v>
      </c>
      <c r="H80" s="74" t="s">
        <v>1543</v>
      </c>
      <c r="I80" s="84">
        <v>0.74</v>
      </c>
      <c r="J80" s="87" t="s">
        <v>147</v>
      </c>
      <c r="K80" s="87" t="s">
        <v>155</v>
      </c>
      <c r="L80" s="88">
        <v>2.0799999999999999E-2</v>
      </c>
      <c r="M80" s="88">
        <v>2.53E-2</v>
      </c>
      <c r="N80" s="84">
        <v>16334.92</v>
      </c>
      <c r="O80" s="86">
        <v>99.7</v>
      </c>
      <c r="P80" s="84">
        <v>16.285910000000001</v>
      </c>
      <c r="Q80" s="85">
        <f t="shared" si="1"/>
        <v>1.4911917810665799E-3</v>
      </c>
      <c r="R80" s="85">
        <f>P80/'סכום נכסי הקרן'!$C$42</f>
        <v>5.703777083102667E-5</v>
      </c>
    </row>
    <row r="81" spans="2:18">
      <c r="B81" s="77" t="s">
        <v>1589</v>
      </c>
      <c r="C81" s="87" t="s">
        <v>1545</v>
      </c>
      <c r="D81" s="74">
        <v>523632</v>
      </c>
      <c r="E81" s="74"/>
      <c r="F81" s="74" t="s">
        <v>322</v>
      </c>
      <c r="G81" s="96">
        <v>43321</v>
      </c>
      <c r="H81" s="74" t="s">
        <v>1543</v>
      </c>
      <c r="I81" s="84">
        <v>1.0899999999999999</v>
      </c>
      <c r="J81" s="87" t="s">
        <v>147</v>
      </c>
      <c r="K81" s="87" t="s">
        <v>155</v>
      </c>
      <c r="L81" s="88">
        <v>2.3980000000000001E-2</v>
      </c>
      <c r="M81" s="88">
        <v>2.1899999999999996E-2</v>
      </c>
      <c r="N81" s="84">
        <v>34046.15</v>
      </c>
      <c r="O81" s="86">
        <v>100.58</v>
      </c>
      <c r="P81" s="84">
        <v>34.24362</v>
      </c>
      <c r="Q81" s="85">
        <f t="shared" si="1"/>
        <v>3.1354590991824931E-3</v>
      </c>
      <c r="R81" s="85">
        <f>P81/'סכום נכסי הקרן'!$C$42</f>
        <v>1.1993064863951485E-4</v>
      </c>
    </row>
    <row r="82" spans="2:18">
      <c r="B82" s="77" t="s">
        <v>1589</v>
      </c>
      <c r="C82" s="87" t="s">
        <v>1545</v>
      </c>
      <c r="D82" s="74">
        <v>524747</v>
      </c>
      <c r="E82" s="74"/>
      <c r="F82" s="74" t="s">
        <v>322</v>
      </c>
      <c r="G82" s="96">
        <v>43343</v>
      </c>
      <c r="H82" s="74" t="s">
        <v>1543</v>
      </c>
      <c r="I82" s="84">
        <v>1.1499999999999999</v>
      </c>
      <c r="J82" s="87" t="s">
        <v>147</v>
      </c>
      <c r="K82" s="87" t="s">
        <v>155</v>
      </c>
      <c r="L82" s="88">
        <v>2.3789999999999999E-2</v>
      </c>
      <c r="M82" s="88">
        <v>2.3199999999999998E-2</v>
      </c>
      <c r="N82" s="84">
        <v>34046.15</v>
      </c>
      <c r="O82" s="86">
        <v>100.28</v>
      </c>
      <c r="P82" s="84">
        <v>34.141480000000001</v>
      </c>
      <c r="Q82" s="85">
        <f t="shared" si="1"/>
        <v>3.1261068229806632E-3</v>
      </c>
      <c r="R82" s="85">
        <f>P82/'סכום נכסי הקרן'!$C$42</f>
        <v>1.1957292604908662E-4</v>
      </c>
    </row>
    <row r="83" spans="2:18">
      <c r="B83" s="77" t="s">
        <v>1589</v>
      </c>
      <c r="C83" s="87" t="s">
        <v>1545</v>
      </c>
      <c r="D83" s="74">
        <v>465782</v>
      </c>
      <c r="E83" s="74"/>
      <c r="F83" s="74" t="s">
        <v>322</v>
      </c>
      <c r="G83" s="96">
        <v>42828</v>
      </c>
      <c r="H83" s="74" t="s">
        <v>1543</v>
      </c>
      <c r="I83" s="84">
        <v>0.38</v>
      </c>
      <c r="J83" s="87" t="s">
        <v>147</v>
      </c>
      <c r="K83" s="87" t="s">
        <v>155</v>
      </c>
      <c r="L83" s="88">
        <v>2.2700000000000001E-2</v>
      </c>
      <c r="M83" s="88">
        <v>2.1799999999999996E-2</v>
      </c>
      <c r="N83" s="84">
        <v>13067.94</v>
      </c>
      <c r="O83" s="86">
        <v>100.59</v>
      </c>
      <c r="P83" s="84">
        <v>13.145040000000002</v>
      </c>
      <c r="Q83" s="85">
        <f t="shared" si="1"/>
        <v>1.2036033362453457E-3</v>
      </c>
      <c r="R83" s="85">
        <f>P83/'סכום נכסי הקרן'!$C$42</f>
        <v>4.6037573527342276E-5</v>
      </c>
    </row>
    <row r="84" spans="2:18">
      <c r="B84" s="77" t="s">
        <v>1589</v>
      </c>
      <c r="C84" s="87" t="s">
        <v>1545</v>
      </c>
      <c r="D84" s="74">
        <v>467404</v>
      </c>
      <c r="E84" s="74"/>
      <c r="F84" s="74" t="s">
        <v>322</v>
      </c>
      <c r="G84" s="96">
        <v>42859</v>
      </c>
      <c r="H84" s="74" t="s">
        <v>1543</v>
      </c>
      <c r="I84" s="84">
        <v>0.47000000000000003</v>
      </c>
      <c r="J84" s="87" t="s">
        <v>147</v>
      </c>
      <c r="K84" s="87" t="s">
        <v>155</v>
      </c>
      <c r="L84" s="88">
        <v>2.2799999999999997E-2</v>
      </c>
      <c r="M84" s="88">
        <v>2.1799999999999996E-2</v>
      </c>
      <c r="N84" s="84">
        <v>13067.94</v>
      </c>
      <c r="O84" s="86">
        <v>100.41</v>
      </c>
      <c r="P84" s="84">
        <v>13.12152</v>
      </c>
      <c r="Q84" s="85">
        <f t="shared" si="1"/>
        <v>1.2014497672589834E-3</v>
      </c>
      <c r="R84" s="85">
        <f>P84/'סכום נכסי הקרן'!$C$42</f>
        <v>4.5955199968238375E-5</v>
      </c>
    </row>
    <row r="85" spans="2:18">
      <c r="B85" s="77" t="s">
        <v>1589</v>
      </c>
      <c r="C85" s="87" t="s">
        <v>1545</v>
      </c>
      <c r="D85" s="74">
        <v>545876</v>
      </c>
      <c r="E85" s="74"/>
      <c r="F85" s="74" t="s">
        <v>322</v>
      </c>
      <c r="G85" s="96">
        <v>43614</v>
      </c>
      <c r="H85" s="74" t="s">
        <v>1543</v>
      </c>
      <c r="I85" s="84">
        <v>1.5</v>
      </c>
      <c r="J85" s="87" t="s">
        <v>147</v>
      </c>
      <c r="K85" s="87" t="s">
        <v>155</v>
      </c>
      <c r="L85" s="88">
        <v>2.427E-2</v>
      </c>
      <c r="M85" s="88">
        <v>2.52E-2</v>
      </c>
      <c r="N85" s="84">
        <v>45394.879999999997</v>
      </c>
      <c r="O85" s="86">
        <v>100.09</v>
      </c>
      <c r="P85" s="84">
        <v>45.435730000000007</v>
      </c>
      <c r="Q85" s="85">
        <f t="shared" si="1"/>
        <v>4.1602457058131995E-3</v>
      </c>
      <c r="R85" s="85">
        <f>P85/'סכום נכסי הקרן'!$C$42</f>
        <v>1.5912852000781065E-4</v>
      </c>
    </row>
    <row r="86" spans="2:18">
      <c r="B86" s="77" t="s">
        <v>1589</v>
      </c>
      <c r="C86" s="87" t="s">
        <v>1545</v>
      </c>
      <c r="D86" s="74">
        <v>7355</v>
      </c>
      <c r="E86" s="74"/>
      <c r="F86" s="74" t="s">
        <v>322</v>
      </c>
      <c r="G86" s="96">
        <v>43842</v>
      </c>
      <c r="H86" s="74" t="s">
        <v>1543</v>
      </c>
      <c r="I86" s="84">
        <v>1.7200000000000002</v>
      </c>
      <c r="J86" s="87" t="s">
        <v>147</v>
      </c>
      <c r="K86" s="87" t="s">
        <v>155</v>
      </c>
      <c r="L86" s="88">
        <v>2.0838000000000002E-2</v>
      </c>
      <c r="M86" s="88">
        <v>3.4200000000000001E-2</v>
      </c>
      <c r="N86" s="84">
        <v>56743.61</v>
      </c>
      <c r="O86" s="86">
        <v>98.25</v>
      </c>
      <c r="P86" s="84">
        <v>55.750599999999999</v>
      </c>
      <c r="Q86" s="85">
        <f t="shared" si="1"/>
        <v>5.1047093167978005E-3</v>
      </c>
      <c r="R86" s="85">
        <f>P86/'סכום נכסי הקרן'!$C$42</f>
        <v>1.9525405374905272E-4</v>
      </c>
    </row>
    <row r="87" spans="2:18">
      <c r="B87" s="77" t="s">
        <v>1590</v>
      </c>
      <c r="C87" s="87" t="s">
        <v>1544</v>
      </c>
      <c r="D87" s="74">
        <v>7127</v>
      </c>
      <c r="E87" s="74"/>
      <c r="F87" s="74" t="s">
        <v>322</v>
      </c>
      <c r="G87" s="96">
        <v>43631</v>
      </c>
      <c r="H87" s="74" t="s">
        <v>1543</v>
      </c>
      <c r="I87" s="84">
        <v>6.5600000000000005</v>
      </c>
      <c r="J87" s="87" t="s">
        <v>395</v>
      </c>
      <c r="K87" s="87" t="s">
        <v>155</v>
      </c>
      <c r="L87" s="88">
        <v>3.1E-2</v>
      </c>
      <c r="M87" s="88">
        <v>2.6699999999999998E-2</v>
      </c>
      <c r="N87" s="84">
        <v>92027.66</v>
      </c>
      <c r="O87" s="86">
        <v>103.12</v>
      </c>
      <c r="P87" s="84">
        <v>94.898920000000004</v>
      </c>
      <c r="Q87" s="85">
        <f t="shared" si="1"/>
        <v>8.6892589690164609E-3</v>
      </c>
      <c r="R87" s="85">
        <f>P87/'סכום נכסי הקרן'!$C$42</f>
        <v>3.3236232123792488E-4</v>
      </c>
    </row>
    <row r="88" spans="2:18">
      <c r="B88" s="77" t="s">
        <v>1590</v>
      </c>
      <c r="C88" s="87" t="s">
        <v>1544</v>
      </c>
      <c r="D88" s="74">
        <v>7128</v>
      </c>
      <c r="E88" s="74"/>
      <c r="F88" s="74" t="s">
        <v>322</v>
      </c>
      <c r="G88" s="96">
        <v>43634</v>
      </c>
      <c r="H88" s="74" t="s">
        <v>1543</v>
      </c>
      <c r="I88" s="84">
        <v>6.59</v>
      </c>
      <c r="J88" s="87" t="s">
        <v>395</v>
      </c>
      <c r="K88" s="87" t="s">
        <v>155</v>
      </c>
      <c r="L88" s="88">
        <v>2.4900000000000002E-2</v>
      </c>
      <c r="M88" s="88">
        <v>2.6200000000000001E-2</v>
      </c>
      <c r="N88" s="84">
        <v>39018.550000000003</v>
      </c>
      <c r="O88" s="86">
        <v>100.87</v>
      </c>
      <c r="P88" s="84">
        <v>39.357999999999997</v>
      </c>
      <c r="Q88" s="85">
        <f t="shared" si="1"/>
        <v>3.6037486464814339E-3</v>
      </c>
      <c r="R88" s="85">
        <f>P88/'סכום נכסי הקרן'!$C$42</f>
        <v>1.3784262496646164E-4</v>
      </c>
    </row>
    <row r="89" spans="2:18">
      <c r="B89" s="77" t="s">
        <v>1590</v>
      </c>
      <c r="C89" s="87" t="s">
        <v>1544</v>
      </c>
      <c r="D89" s="74">
        <v>7130</v>
      </c>
      <c r="E89" s="74"/>
      <c r="F89" s="74" t="s">
        <v>322</v>
      </c>
      <c r="G89" s="96">
        <v>43634</v>
      </c>
      <c r="H89" s="74" t="s">
        <v>1543</v>
      </c>
      <c r="I89" s="84">
        <v>6.9300000000000006</v>
      </c>
      <c r="J89" s="87" t="s">
        <v>395</v>
      </c>
      <c r="K89" s="87" t="s">
        <v>155</v>
      </c>
      <c r="L89" s="88">
        <v>3.6000000000000004E-2</v>
      </c>
      <c r="M89" s="88">
        <v>2.6700000000000005E-2</v>
      </c>
      <c r="N89" s="84">
        <v>24594.85</v>
      </c>
      <c r="O89" s="86">
        <v>106.83</v>
      </c>
      <c r="P89" s="84">
        <v>26.274669999999997</v>
      </c>
      <c r="Q89" s="85">
        <f t="shared" si="1"/>
        <v>2.4057956819260717E-3</v>
      </c>
      <c r="R89" s="85">
        <f>P89/'סכום נכסי הקרן'!$C$42</f>
        <v>9.2021176963451914E-5</v>
      </c>
    </row>
    <row r="90" spans="2:18">
      <c r="B90" s="77" t="s">
        <v>1591</v>
      </c>
      <c r="C90" s="87" t="s">
        <v>1544</v>
      </c>
      <c r="D90" s="74">
        <v>84666730</v>
      </c>
      <c r="E90" s="74"/>
      <c r="F90" s="74" t="s">
        <v>645</v>
      </c>
      <c r="G90" s="96">
        <v>43530</v>
      </c>
      <c r="H90" s="74" t="s">
        <v>151</v>
      </c>
      <c r="I90" s="84">
        <v>6.22</v>
      </c>
      <c r="J90" s="87" t="s">
        <v>459</v>
      </c>
      <c r="K90" s="87" t="s">
        <v>155</v>
      </c>
      <c r="L90" s="88">
        <v>3.4165000000000001E-2</v>
      </c>
      <c r="M90" s="88">
        <v>4.2199999999999994E-2</v>
      </c>
      <c r="N90" s="84">
        <v>88155.21</v>
      </c>
      <c r="O90" s="86">
        <v>95.38</v>
      </c>
      <c r="P90" s="84">
        <v>84.082440000000005</v>
      </c>
      <c r="Q90" s="85">
        <f t="shared" si="1"/>
        <v>7.6988662874855531E-3</v>
      </c>
      <c r="R90" s="85">
        <f>P90/'סכום נכסי הקרן'!$C$42</f>
        <v>2.9448001024404223E-4</v>
      </c>
    </row>
    <row r="91" spans="2:18">
      <c r="B91" s="77" t="s">
        <v>1592</v>
      </c>
      <c r="C91" s="87" t="s">
        <v>1544</v>
      </c>
      <c r="D91" s="74">
        <v>455954</v>
      </c>
      <c r="E91" s="74"/>
      <c r="F91" s="74" t="s">
        <v>933</v>
      </c>
      <c r="G91" s="96">
        <v>42732</v>
      </c>
      <c r="H91" s="74" t="s">
        <v>1543</v>
      </c>
      <c r="I91" s="84">
        <v>3.43</v>
      </c>
      <c r="J91" s="87" t="s">
        <v>147</v>
      </c>
      <c r="K91" s="87" t="s">
        <v>155</v>
      </c>
      <c r="L91" s="88">
        <v>2.1613000000000004E-2</v>
      </c>
      <c r="M91" s="88">
        <v>2.0099999999999996E-2</v>
      </c>
      <c r="N91" s="84">
        <v>84779.45</v>
      </c>
      <c r="O91" s="86">
        <v>101.71</v>
      </c>
      <c r="P91" s="84">
        <v>86.229169999999996</v>
      </c>
      <c r="Q91" s="85">
        <f t="shared" si="1"/>
        <v>7.8954279860439409E-3</v>
      </c>
      <c r="R91" s="85">
        <f>P91/'סכום נכסי הקרן'!$C$42</f>
        <v>3.0199845371917436E-4</v>
      </c>
    </row>
    <row r="92" spans="2:18">
      <c r="B92" s="77" t="s">
        <v>1593</v>
      </c>
      <c r="C92" s="87" t="s">
        <v>1545</v>
      </c>
      <c r="D92" s="74">
        <v>482154</v>
      </c>
      <c r="E92" s="74"/>
      <c r="F92" s="74" t="s">
        <v>933</v>
      </c>
      <c r="G92" s="96">
        <v>42978</v>
      </c>
      <c r="H92" s="74" t="s">
        <v>1543</v>
      </c>
      <c r="I92" s="84">
        <v>2.5099999999999998</v>
      </c>
      <c r="J92" s="87" t="s">
        <v>147</v>
      </c>
      <c r="K92" s="87" t="s">
        <v>155</v>
      </c>
      <c r="L92" s="88">
        <v>2.3E-2</v>
      </c>
      <c r="M92" s="88">
        <v>2.9500000000000002E-2</v>
      </c>
      <c r="N92" s="84">
        <v>14541.51</v>
      </c>
      <c r="O92" s="86">
        <v>99.22</v>
      </c>
      <c r="P92" s="84">
        <v>14.42774</v>
      </c>
      <c r="Q92" s="85">
        <f t="shared" si="1"/>
        <v>1.3210515904463144E-3</v>
      </c>
      <c r="R92" s="85">
        <f>P92/'סכום נכסי הקרן'!$C$42</f>
        <v>5.0529944456873254E-5</v>
      </c>
    </row>
    <row r="93" spans="2:18">
      <c r="B93" s="77" t="s">
        <v>1593</v>
      </c>
      <c r="C93" s="87" t="s">
        <v>1545</v>
      </c>
      <c r="D93" s="74">
        <v>482153</v>
      </c>
      <c r="E93" s="74"/>
      <c r="F93" s="74" t="s">
        <v>933</v>
      </c>
      <c r="G93" s="96">
        <v>42978</v>
      </c>
      <c r="H93" s="74" t="s">
        <v>1543</v>
      </c>
      <c r="I93" s="84">
        <v>2.5</v>
      </c>
      <c r="J93" s="87" t="s">
        <v>147</v>
      </c>
      <c r="K93" s="87" t="s">
        <v>155</v>
      </c>
      <c r="L93" s="88">
        <v>2.76E-2</v>
      </c>
      <c r="M93" s="88">
        <v>3.0200000000000001E-2</v>
      </c>
      <c r="N93" s="84">
        <v>33930.230000000003</v>
      </c>
      <c r="O93" s="86">
        <v>100.31</v>
      </c>
      <c r="P93" s="84">
        <v>34.035419999999995</v>
      </c>
      <c r="Q93" s="85">
        <f t="shared" si="1"/>
        <v>3.1163956186144393E-3</v>
      </c>
      <c r="R93" s="85">
        <f>P93/'סכום נכסי הקרן'!$C$42</f>
        <v>1.1920147453214105E-4</v>
      </c>
    </row>
    <row r="94" spans="2:18">
      <c r="B94" s="77" t="s">
        <v>1594</v>
      </c>
      <c r="C94" s="87" t="s">
        <v>1544</v>
      </c>
      <c r="D94" s="74">
        <v>90145362</v>
      </c>
      <c r="E94" s="74"/>
      <c r="F94" s="74" t="s">
        <v>645</v>
      </c>
      <c r="G94" s="96">
        <v>42794</v>
      </c>
      <c r="H94" s="74" t="s">
        <v>151</v>
      </c>
      <c r="I94" s="84">
        <v>6.5</v>
      </c>
      <c r="J94" s="87" t="s">
        <v>459</v>
      </c>
      <c r="K94" s="87" t="s">
        <v>155</v>
      </c>
      <c r="L94" s="88">
        <v>2.8999999999999998E-2</v>
      </c>
      <c r="M94" s="88">
        <v>2.0499999999999997E-2</v>
      </c>
      <c r="N94" s="84">
        <v>192687.87</v>
      </c>
      <c r="O94" s="86">
        <v>107.72</v>
      </c>
      <c r="P94" s="84">
        <v>207.56338</v>
      </c>
      <c r="Q94" s="85">
        <f t="shared" si="1"/>
        <v>1.9005189535395893E-2</v>
      </c>
      <c r="R94" s="85">
        <f>P94/'סכום נכסי הקרן'!$C$42</f>
        <v>7.2694448768004379E-4</v>
      </c>
    </row>
    <row r="95" spans="2:18">
      <c r="B95" s="77" t="s">
        <v>1595</v>
      </c>
      <c r="C95" s="87" t="s">
        <v>1544</v>
      </c>
      <c r="D95" s="74">
        <v>84666732</v>
      </c>
      <c r="E95" s="74"/>
      <c r="F95" s="74" t="s">
        <v>645</v>
      </c>
      <c r="G95" s="96">
        <v>43530</v>
      </c>
      <c r="H95" s="74" t="s">
        <v>151</v>
      </c>
      <c r="I95" s="84">
        <v>6.39</v>
      </c>
      <c r="J95" s="87" t="s">
        <v>459</v>
      </c>
      <c r="K95" s="87" t="s">
        <v>155</v>
      </c>
      <c r="L95" s="88">
        <v>3.4165000000000001E-2</v>
      </c>
      <c r="M95" s="88">
        <v>4.2199999999999994E-2</v>
      </c>
      <c r="N95" s="84">
        <v>184230.37</v>
      </c>
      <c r="O95" s="86">
        <v>95.26</v>
      </c>
      <c r="P95" s="84">
        <v>175.49785</v>
      </c>
      <c r="Q95" s="85">
        <f t="shared" si="1"/>
        <v>1.606916356008694E-2</v>
      </c>
      <c r="R95" s="85">
        <f>P95/'סכום נכסי הקרן'!$C$42</f>
        <v>6.1464211392779969E-4</v>
      </c>
    </row>
    <row r="96" spans="2:18">
      <c r="B96" s="77" t="s">
        <v>1596</v>
      </c>
      <c r="C96" s="87" t="s">
        <v>1544</v>
      </c>
      <c r="D96" s="74">
        <v>90310010</v>
      </c>
      <c r="E96" s="74"/>
      <c r="F96" s="74" t="s">
        <v>645</v>
      </c>
      <c r="G96" s="96">
        <v>43779</v>
      </c>
      <c r="H96" s="74" t="s">
        <v>151</v>
      </c>
      <c r="I96" s="84">
        <v>8.2799999999999994</v>
      </c>
      <c r="J96" s="87" t="s">
        <v>459</v>
      </c>
      <c r="K96" s="87" t="s">
        <v>155</v>
      </c>
      <c r="L96" s="88">
        <v>2.7243E-2</v>
      </c>
      <c r="M96" s="88">
        <v>3.4800000000000005E-2</v>
      </c>
      <c r="N96" s="84">
        <v>17791.43</v>
      </c>
      <c r="O96" s="86">
        <v>93.52</v>
      </c>
      <c r="P96" s="84">
        <v>16.638549999999999</v>
      </c>
      <c r="Q96" s="85">
        <f t="shared" si="1"/>
        <v>1.5234806657328538E-3</v>
      </c>
      <c r="R96" s="85">
        <f>P96/'סכום נכסי הקרן'!$C$42</f>
        <v>5.8272813853237468E-5</v>
      </c>
    </row>
    <row r="97" spans="2:18">
      <c r="B97" s="77" t="s">
        <v>1596</v>
      </c>
      <c r="C97" s="87" t="s">
        <v>1544</v>
      </c>
      <c r="D97" s="74">
        <v>90310011</v>
      </c>
      <c r="E97" s="74"/>
      <c r="F97" s="74" t="s">
        <v>645</v>
      </c>
      <c r="G97" s="96">
        <v>43835</v>
      </c>
      <c r="H97" s="74" t="s">
        <v>151</v>
      </c>
      <c r="I97" s="84">
        <v>8.2099999999999991</v>
      </c>
      <c r="J97" s="87" t="s">
        <v>459</v>
      </c>
      <c r="K97" s="87" t="s">
        <v>155</v>
      </c>
      <c r="L97" s="88">
        <v>2.7243E-2</v>
      </c>
      <c r="M97" s="88">
        <v>3.7399999999999996E-2</v>
      </c>
      <c r="N97" s="84">
        <v>9907.33</v>
      </c>
      <c r="O97" s="86">
        <v>91.6</v>
      </c>
      <c r="P97" s="84">
        <v>9.0751100000000005</v>
      </c>
      <c r="Q97" s="85">
        <f t="shared" si="1"/>
        <v>8.3094708519665958E-4</v>
      </c>
      <c r="R97" s="85">
        <f>P97/'סכום נכסי הקרן'!$C$42</f>
        <v>3.1783550593510492E-5</v>
      </c>
    </row>
    <row r="98" spans="2:18">
      <c r="B98" s="77" t="s">
        <v>1596</v>
      </c>
      <c r="C98" s="87" t="s">
        <v>1544</v>
      </c>
      <c r="D98" s="74">
        <v>90310002</v>
      </c>
      <c r="E98" s="74"/>
      <c r="F98" s="74" t="s">
        <v>645</v>
      </c>
      <c r="G98" s="96">
        <v>43227</v>
      </c>
      <c r="H98" s="74" t="s">
        <v>151</v>
      </c>
      <c r="I98" s="84">
        <v>8.5399999999999991</v>
      </c>
      <c r="J98" s="87" t="s">
        <v>459</v>
      </c>
      <c r="K98" s="87" t="s">
        <v>155</v>
      </c>
      <c r="L98" s="88">
        <v>2.9805999999999999E-2</v>
      </c>
      <c r="M98" s="88">
        <v>2.3399999999999997E-2</v>
      </c>
      <c r="N98" s="84">
        <v>5851.98</v>
      </c>
      <c r="O98" s="86">
        <v>105.84</v>
      </c>
      <c r="P98" s="84">
        <v>6.19374</v>
      </c>
      <c r="Q98" s="85">
        <f t="shared" si="1"/>
        <v>5.6711931860505915E-4</v>
      </c>
      <c r="R98" s="85">
        <f>P98/'סכום נכסי הקרן'!$C$42</f>
        <v>2.1692194216163732E-5</v>
      </c>
    </row>
    <row r="99" spans="2:18">
      <c r="B99" s="77" t="s">
        <v>1596</v>
      </c>
      <c r="C99" s="87" t="s">
        <v>1544</v>
      </c>
      <c r="D99" s="74">
        <v>90310003</v>
      </c>
      <c r="E99" s="74"/>
      <c r="F99" s="74" t="s">
        <v>645</v>
      </c>
      <c r="G99" s="96">
        <v>43279</v>
      </c>
      <c r="H99" s="74" t="s">
        <v>151</v>
      </c>
      <c r="I99" s="84">
        <v>8.5799999999999983</v>
      </c>
      <c r="J99" s="87" t="s">
        <v>459</v>
      </c>
      <c r="K99" s="87" t="s">
        <v>155</v>
      </c>
      <c r="L99" s="88">
        <v>2.9796999999999997E-2</v>
      </c>
      <c r="M99" s="88">
        <v>2.1799999999999996E-2</v>
      </c>
      <c r="N99" s="84">
        <v>6844.06</v>
      </c>
      <c r="O99" s="86">
        <v>106.36</v>
      </c>
      <c r="P99" s="84">
        <v>7.27935</v>
      </c>
      <c r="Q99" s="85">
        <f t="shared" si="1"/>
        <v>6.6652136058144794E-4</v>
      </c>
      <c r="R99" s="85">
        <f>P99/'סכום נכסי הקרן'!$C$42</f>
        <v>2.5494301337710569E-5</v>
      </c>
    </row>
    <row r="100" spans="2:18">
      <c r="B100" s="77" t="s">
        <v>1596</v>
      </c>
      <c r="C100" s="87" t="s">
        <v>1544</v>
      </c>
      <c r="D100" s="74">
        <v>90310004</v>
      </c>
      <c r="E100" s="74"/>
      <c r="F100" s="74" t="s">
        <v>645</v>
      </c>
      <c r="G100" s="96">
        <v>43321</v>
      </c>
      <c r="H100" s="74" t="s">
        <v>151</v>
      </c>
      <c r="I100" s="84">
        <v>8.59</v>
      </c>
      <c r="J100" s="87" t="s">
        <v>459</v>
      </c>
      <c r="K100" s="87" t="s">
        <v>155</v>
      </c>
      <c r="L100" s="88">
        <v>3.0529000000000001E-2</v>
      </c>
      <c r="M100" s="88">
        <v>2.1299999999999999E-2</v>
      </c>
      <c r="N100" s="84">
        <v>38339.449999999997</v>
      </c>
      <c r="O100" s="86">
        <v>107.49</v>
      </c>
      <c r="P100" s="84">
        <v>41.211069999999999</v>
      </c>
      <c r="Q100" s="85">
        <f t="shared" ref="Q100:Q133" si="2">P100/$P$10</f>
        <v>3.7734218642347583E-3</v>
      </c>
      <c r="R100" s="85">
        <f>P100/'סכום נכסי הקרן'!$C$42</f>
        <v>1.4433258972703386E-4</v>
      </c>
    </row>
    <row r="101" spans="2:18">
      <c r="B101" s="77" t="s">
        <v>1596</v>
      </c>
      <c r="C101" s="87" t="s">
        <v>1544</v>
      </c>
      <c r="D101" s="74">
        <v>90310001</v>
      </c>
      <c r="E101" s="74"/>
      <c r="F101" s="74" t="s">
        <v>645</v>
      </c>
      <c r="G101" s="96">
        <v>43138</v>
      </c>
      <c r="H101" s="74" t="s">
        <v>151</v>
      </c>
      <c r="I101" s="84">
        <v>8.4500000000000011</v>
      </c>
      <c r="J101" s="87" t="s">
        <v>459</v>
      </c>
      <c r="K101" s="87" t="s">
        <v>155</v>
      </c>
      <c r="L101" s="88">
        <v>2.8243000000000001E-2</v>
      </c>
      <c r="M101" s="88">
        <v>2.7800000000000002E-2</v>
      </c>
      <c r="N101" s="84">
        <v>36692.74</v>
      </c>
      <c r="O101" s="86">
        <v>100.61</v>
      </c>
      <c r="P101" s="84">
        <v>36.916580000000003</v>
      </c>
      <c r="Q101" s="85">
        <f t="shared" si="2"/>
        <v>3.3802041569115197E-3</v>
      </c>
      <c r="R101" s="85">
        <f>P101/'סכום נכסי הקרן'!$C$42</f>
        <v>1.2929209543128154E-4</v>
      </c>
    </row>
    <row r="102" spans="2:18">
      <c r="B102" s="77" t="s">
        <v>1596</v>
      </c>
      <c r="C102" s="87" t="s">
        <v>1544</v>
      </c>
      <c r="D102" s="74">
        <v>90310005</v>
      </c>
      <c r="E102" s="74"/>
      <c r="F102" s="74" t="s">
        <v>645</v>
      </c>
      <c r="G102" s="96">
        <v>43417</v>
      </c>
      <c r="H102" s="74" t="s">
        <v>151</v>
      </c>
      <c r="I102" s="84">
        <v>8.49</v>
      </c>
      <c r="J102" s="87" t="s">
        <v>459</v>
      </c>
      <c r="K102" s="87" t="s">
        <v>155</v>
      </c>
      <c r="L102" s="88">
        <v>3.2797E-2</v>
      </c>
      <c r="M102" s="88">
        <v>2.3099999999999999E-2</v>
      </c>
      <c r="N102" s="84">
        <v>43651.199999999997</v>
      </c>
      <c r="O102" s="86">
        <v>107.89</v>
      </c>
      <c r="P102" s="84">
        <v>47.095269999999999</v>
      </c>
      <c r="Q102" s="85">
        <f t="shared" si="2"/>
        <v>4.3121986767157292E-3</v>
      </c>
      <c r="R102" s="85">
        <f>P102/'סכום נכסי הקרן'!$C$42</f>
        <v>1.6494068906713381E-4</v>
      </c>
    </row>
    <row r="103" spans="2:18">
      <c r="B103" s="77" t="s">
        <v>1596</v>
      </c>
      <c r="C103" s="87" t="s">
        <v>1544</v>
      </c>
      <c r="D103" s="74">
        <v>90310006</v>
      </c>
      <c r="E103" s="74"/>
      <c r="F103" s="74" t="s">
        <v>645</v>
      </c>
      <c r="G103" s="96">
        <v>43485</v>
      </c>
      <c r="H103" s="74" t="s">
        <v>151</v>
      </c>
      <c r="I103" s="84">
        <v>8.58</v>
      </c>
      <c r="J103" s="87" t="s">
        <v>459</v>
      </c>
      <c r="K103" s="87" t="s">
        <v>155</v>
      </c>
      <c r="L103" s="88">
        <v>3.2190999999999997E-2</v>
      </c>
      <c r="M103" s="88">
        <v>0.02</v>
      </c>
      <c r="N103" s="84">
        <v>55161.94</v>
      </c>
      <c r="O103" s="86">
        <v>110.17</v>
      </c>
      <c r="P103" s="84">
        <v>60.771910000000005</v>
      </c>
      <c r="Q103" s="85">
        <f t="shared" si="2"/>
        <v>5.5644770670916091E-3</v>
      </c>
      <c r="R103" s="85">
        <f>P103/'סכום נכסי הקרן'!$C$42</f>
        <v>2.1284007313952845E-4</v>
      </c>
    </row>
    <row r="104" spans="2:18">
      <c r="B104" s="77" t="s">
        <v>1596</v>
      </c>
      <c r="C104" s="87" t="s">
        <v>1544</v>
      </c>
      <c r="D104" s="74">
        <v>90310008</v>
      </c>
      <c r="E104" s="74"/>
      <c r="F104" s="74" t="s">
        <v>645</v>
      </c>
      <c r="G104" s="96">
        <v>43613</v>
      </c>
      <c r="H104" s="74" t="s">
        <v>151</v>
      </c>
      <c r="I104" s="84">
        <v>8.6199999999999992</v>
      </c>
      <c r="J104" s="87" t="s">
        <v>459</v>
      </c>
      <c r="K104" s="87" t="s">
        <v>155</v>
      </c>
      <c r="L104" s="88">
        <v>2.7243E-2</v>
      </c>
      <c r="M104" s="88">
        <v>2.2499999999999999E-2</v>
      </c>
      <c r="N104" s="84">
        <v>14559.14</v>
      </c>
      <c r="O104" s="86">
        <v>103.47</v>
      </c>
      <c r="P104" s="84">
        <v>15.06434</v>
      </c>
      <c r="Q104" s="85">
        <f t="shared" si="2"/>
        <v>1.3793407918373933E-3</v>
      </c>
      <c r="R104" s="85">
        <f>P104/'סכום נכסי הקרן'!$C$42</f>
        <v>5.2759494105068012E-5</v>
      </c>
    </row>
    <row r="105" spans="2:18">
      <c r="B105" s="77" t="s">
        <v>1596</v>
      </c>
      <c r="C105" s="87" t="s">
        <v>1544</v>
      </c>
      <c r="D105" s="74">
        <v>90310009</v>
      </c>
      <c r="E105" s="74"/>
      <c r="F105" s="74" t="s">
        <v>645</v>
      </c>
      <c r="G105" s="96">
        <v>43657</v>
      </c>
      <c r="H105" s="74" t="s">
        <v>151</v>
      </c>
      <c r="I105" s="84">
        <v>8.4499999999999993</v>
      </c>
      <c r="J105" s="87" t="s">
        <v>459</v>
      </c>
      <c r="K105" s="87" t="s">
        <v>155</v>
      </c>
      <c r="L105" s="88">
        <v>2.7243E-2</v>
      </c>
      <c r="M105" s="88">
        <v>2.8500000000000001E-2</v>
      </c>
      <c r="N105" s="84">
        <v>14364.12</v>
      </c>
      <c r="O105" s="86">
        <v>98.42</v>
      </c>
      <c r="P105" s="84">
        <v>14.13716</v>
      </c>
      <c r="Q105" s="85">
        <f t="shared" si="2"/>
        <v>1.2944451246275591E-3</v>
      </c>
      <c r="R105" s="85">
        <f>P105/'סכום נכסי הקרן'!$C$42</f>
        <v>4.951225275600546E-5</v>
      </c>
    </row>
    <row r="106" spans="2:18">
      <c r="B106" s="77" t="s">
        <v>1596</v>
      </c>
      <c r="C106" s="87" t="s">
        <v>1544</v>
      </c>
      <c r="D106" s="74">
        <v>90310007</v>
      </c>
      <c r="E106" s="74"/>
      <c r="F106" s="74" t="s">
        <v>645</v>
      </c>
      <c r="G106" s="96">
        <v>43541</v>
      </c>
      <c r="H106" s="74" t="s">
        <v>151</v>
      </c>
      <c r="I106" s="84">
        <v>8.59</v>
      </c>
      <c r="J106" s="87" t="s">
        <v>459</v>
      </c>
      <c r="K106" s="87" t="s">
        <v>155</v>
      </c>
      <c r="L106" s="88">
        <v>2.9270999999999998E-2</v>
      </c>
      <c r="M106" s="88">
        <v>2.1899999999999996E-2</v>
      </c>
      <c r="N106" s="84">
        <v>4737.0200000000004</v>
      </c>
      <c r="O106" s="86">
        <v>105.8</v>
      </c>
      <c r="P106" s="84">
        <v>5.0117700000000003</v>
      </c>
      <c r="Q106" s="85">
        <f t="shared" si="2"/>
        <v>4.5889423634270685E-4</v>
      </c>
      <c r="R106" s="85">
        <f>P106/'סכום נכסי הקרן'!$C$42</f>
        <v>1.7552607666247359E-5</v>
      </c>
    </row>
    <row r="107" spans="2:18">
      <c r="B107" s="77" t="s">
        <v>1597</v>
      </c>
      <c r="C107" s="87" t="s">
        <v>1545</v>
      </c>
      <c r="D107" s="74">
        <v>7561</v>
      </c>
      <c r="E107" s="74"/>
      <c r="F107" s="74" t="s">
        <v>936</v>
      </c>
      <c r="G107" s="96">
        <v>43920</v>
      </c>
      <c r="H107" s="74" t="s">
        <v>1543</v>
      </c>
      <c r="I107" s="84">
        <v>6.9300000000000006</v>
      </c>
      <c r="J107" s="87" t="s">
        <v>1546</v>
      </c>
      <c r="K107" s="87" t="s">
        <v>155</v>
      </c>
      <c r="L107" s="88">
        <v>5.5918000000000002E-2</v>
      </c>
      <c r="M107" s="88">
        <v>4.3900000000000008E-2</v>
      </c>
      <c r="N107" s="84">
        <v>63940.04</v>
      </c>
      <c r="O107" s="86">
        <v>110.26</v>
      </c>
      <c r="P107" s="84">
        <v>70.500289999999993</v>
      </c>
      <c r="Q107" s="85">
        <f t="shared" si="2"/>
        <v>6.4552397140110913E-3</v>
      </c>
      <c r="R107" s="85">
        <f>P107/'סכום נכסי הקרן'!$C$42</f>
        <v>2.4691155634170398E-4</v>
      </c>
    </row>
    <row r="108" spans="2:18">
      <c r="B108" s="77" t="s">
        <v>1598</v>
      </c>
      <c r="C108" s="87" t="s">
        <v>1544</v>
      </c>
      <c r="D108" s="74">
        <v>91040003</v>
      </c>
      <c r="E108" s="74"/>
      <c r="F108" s="74" t="s">
        <v>1548</v>
      </c>
      <c r="G108" s="96">
        <v>43301</v>
      </c>
      <c r="H108" s="74" t="s">
        <v>334</v>
      </c>
      <c r="I108" s="84">
        <v>0.63</v>
      </c>
      <c r="J108" s="87" t="s">
        <v>137</v>
      </c>
      <c r="K108" s="87" t="s">
        <v>154</v>
      </c>
      <c r="L108" s="88">
        <v>4.5940000000000002E-2</v>
      </c>
      <c r="M108" s="88">
        <v>0.11700000000000001</v>
      </c>
      <c r="N108" s="84">
        <v>67006.179999999993</v>
      </c>
      <c r="O108" s="86">
        <v>96.38</v>
      </c>
      <c r="P108" s="84">
        <v>223.83622</v>
      </c>
      <c r="Q108" s="85">
        <f t="shared" si="2"/>
        <v>2.0495184584036801E-2</v>
      </c>
      <c r="R108" s="85">
        <f>P108/'סכום נכסי הקרן'!$C$42</f>
        <v>7.8393648374842223E-4</v>
      </c>
    </row>
    <row r="109" spans="2:18">
      <c r="B109" s="77" t="s">
        <v>1598</v>
      </c>
      <c r="C109" s="87" t="s">
        <v>1544</v>
      </c>
      <c r="D109" s="74">
        <v>91040006</v>
      </c>
      <c r="E109" s="74"/>
      <c r="F109" s="74" t="s">
        <v>1548</v>
      </c>
      <c r="G109" s="96">
        <v>43395</v>
      </c>
      <c r="H109" s="74" t="s">
        <v>334</v>
      </c>
      <c r="I109" s="84">
        <v>0.62999999999999989</v>
      </c>
      <c r="J109" s="87" t="s">
        <v>137</v>
      </c>
      <c r="K109" s="87" t="s">
        <v>154</v>
      </c>
      <c r="L109" s="88">
        <v>4.5999999999999999E-2</v>
      </c>
      <c r="M109" s="88">
        <v>0.11589999999999998</v>
      </c>
      <c r="N109" s="84">
        <v>29678.55</v>
      </c>
      <c r="O109" s="86">
        <v>96.44</v>
      </c>
      <c r="P109" s="84">
        <v>99.203850000000003</v>
      </c>
      <c r="Q109" s="85">
        <f t="shared" si="2"/>
        <v>9.0834325972673213E-3</v>
      </c>
      <c r="R109" s="85">
        <f>P109/'סכום נכסי הקרן'!$C$42</f>
        <v>3.4743937930736108E-4</v>
      </c>
    </row>
    <row r="110" spans="2:18">
      <c r="B110" s="77" t="s">
        <v>1598</v>
      </c>
      <c r="C110" s="87" t="s">
        <v>1544</v>
      </c>
      <c r="D110" s="74">
        <v>91040009</v>
      </c>
      <c r="E110" s="74"/>
      <c r="F110" s="74" t="s">
        <v>1548</v>
      </c>
      <c r="G110" s="96">
        <v>43395</v>
      </c>
      <c r="H110" s="74" t="s">
        <v>334</v>
      </c>
      <c r="I110" s="84">
        <v>0.63</v>
      </c>
      <c r="J110" s="87" t="s">
        <v>137</v>
      </c>
      <c r="K110" s="87" t="s">
        <v>154</v>
      </c>
      <c r="L110" s="88">
        <v>4.5999999999999999E-2</v>
      </c>
      <c r="M110" s="88">
        <v>0.11590000000000002</v>
      </c>
      <c r="N110" s="84">
        <v>5902.71</v>
      </c>
      <c r="O110" s="86">
        <v>96.44</v>
      </c>
      <c r="P110" s="84">
        <v>19.73048</v>
      </c>
      <c r="Q110" s="85">
        <f t="shared" si="2"/>
        <v>1.8065880022976016E-3</v>
      </c>
      <c r="R110" s="85">
        <f>P110/'סכום נכסי הקרן'!$C$42</f>
        <v>6.910160971208578E-5</v>
      </c>
    </row>
    <row r="111" spans="2:18">
      <c r="B111" s="77" t="s">
        <v>1598</v>
      </c>
      <c r="C111" s="87" t="s">
        <v>1544</v>
      </c>
      <c r="D111" s="74">
        <v>6615</v>
      </c>
      <c r="E111" s="74"/>
      <c r="F111" s="74" t="s">
        <v>1548</v>
      </c>
      <c r="G111" s="96">
        <v>43430</v>
      </c>
      <c r="H111" s="74" t="s">
        <v>334</v>
      </c>
      <c r="I111" s="84">
        <v>0.63</v>
      </c>
      <c r="J111" s="87" t="s">
        <v>137</v>
      </c>
      <c r="K111" s="87" t="s">
        <v>154</v>
      </c>
      <c r="L111" s="88">
        <v>5.2930000000000005E-2</v>
      </c>
      <c r="M111" s="88">
        <v>0.12859999999999999</v>
      </c>
      <c r="N111" s="84">
        <v>4943.12</v>
      </c>
      <c r="O111" s="86">
        <v>96.44</v>
      </c>
      <c r="P111" s="84">
        <v>16.522950000000002</v>
      </c>
      <c r="Q111" s="85">
        <f t="shared" si="2"/>
        <v>1.5128959474155297E-3</v>
      </c>
      <c r="R111" s="85">
        <f>P111/'סכום נכסי הקרן'!$C$42</f>
        <v>5.786795061206356E-5</v>
      </c>
    </row>
    <row r="112" spans="2:18">
      <c r="B112" s="77" t="s">
        <v>1598</v>
      </c>
      <c r="C112" s="87" t="s">
        <v>1544</v>
      </c>
      <c r="D112" s="74">
        <v>66679</v>
      </c>
      <c r="E112" s="74"/>
      <c r="F112" s="74" t="s">
        <v>1548</v>
      </c>
      <c r="G112" s="96">
        <v>43461</v>
      </c>
      <c r="H112" s="74" t="s">
        <v>334</v>
      </c>
      <c r="I112" s="84">
        <v>0.63</v>
      </c>
      <c r="J112" s="87" t="s">
        <v>137</v>
      </c>
      <c r="K112" s="87" t="s">
        <v>154</v>
      </c>
      <c r="L112" s="88">
        <v>5.2930000000000005E-2</v>
      </c>
      <c r="M112" s="88">
        <v>0.12859999999999999</v>
      </c>
      <c r="N112" s="84">
        <v>4270.9399999999996</v>
      </c>
      <c r="O112" s="86">
        <v>96.44</v>
      </c>
      <c r="P112" s="84">
        <v>14.276110000000001</v>
      </c>
      <c r="Q112" s="85">
        <f t="shared" si="2"/>
        <v>1.3071678461690143E-3</v>
      </c>
      <c r="R112" s="85">
        <f>P112/'סכום נכסי הקרן'!$C$42</f>
        <v>4.9998894169163901E-5</v>
      </c>
    </row>
    <row r="113" spans="2:18">
      <c r="B113" s="77" t="s">
        <v>1598</v>
      </c>
      <c r="C113" s="87" t="s">
        <v>1544</v>
      </c>
      <c r="D113" s="74">
        <v>6719</v>
      </c>
      <c r="E113" s="74"/>
      <c r="F113" s="74" t="s">
        <v>1548</v>
      </c>
      <c r="G113" s="96">
        <v>43487</v>
      </c>
      <c r="H113" s="74" t="s">
        <v>334</v>
      </c>
      <c r="I113" s="84">
        <v>0.63</v>
      </c>
      <c r="J113" s="87" t="s">
        <v>137</v>
      </c>
      <c r="K113" s="87" t="s">
        <v>154</v>
      </c>
      <c r="L113" s="88">
        <v>5.2930000000000005E-2</v>
      </c>
      <c r="M113" s="88">
        <v>0.12859999999999999</v>
      </c>
      <c r="N113" s="84">
        <v>1978.77</v>
      </c>
      <c r="O113" s="86">
        <v>96.44</v>
      </c>
      <c r="P113" s="84">
        <v>6.6142799999999999</v>
      </c>
      <c r="Q113" s="85">
        <f t="shared" si="2"/>
        <v>6.0562535183315261E-4</v>
      </c>
      <c r="R113" s="85">
        <f>P113/'סכום נכסי הקרן'!$C$42</f>
        <v>2.3165041858406626E-5</v>
      </c>
    </row>
    <row r="114" spans="2:18">
      <c r="B114" s="77" t="s">
        <v>1598</v>
      </c>
      <c r="C114" s="87" t="s">
        <v>1544</v>
      </c>
      <c r="D114" s="74">
        <v>6735</v>
      </c>
      <c r="E114" s="74"/>
      <c r="F114" s="74" t="s">
        <v>1548</v>
      </c>
      <c r="G114" s="96">
        <v>43493</v>
      </c>
      <c r="H114" s="74" t="s">
        <v>334</v>
      </c>
      <c r="I114" s="84">
        <v>0.63</v>
      </c>
      <c r="J114" s="87" t="s">
        <v>137</v>
      </c>
      <c r="K114" s="87" t="s">
        <v>154</v>
      </c>
      <c r="L114" s="88">
        <v>5.2930000000000005E-2</v>
      </c>
      <c r="M114" s="88">
        <v>0.12860000000000002</v>
      </c>
      <c r="N114" s="84">
        <v>4875.1000000000004</v>
      </c>
      <c r="O114" s="86">
        <v>96.44</v>
      </c>
      <c r="P114" s="84">
        <v>16.295570000000001</v>
      </c>
      <c r="Q114" s="85">
        <f t="shared" si="2"/>
        <v>1.4920762826145502E-3</v>
      </c>
      <c r="R114" s="85">
        <f>P114/'סכום נכסי הקרן'!$C$42</f>
        <v>5.7071602828515767E-5</v>
      </c>
    </row>
    <row r="115" spans="2:18">
      <c r="B115" s="77" t="s">
        <v>1598</v>
      </c>
      <c r="C115" s="87" t="s">
        <v>1544</v>
      </c>
      <c r="D115" s="74">
        <v>6956</v>
      </c>
      <c r="E115" s="74"/>
      <c r="F115" s="74" t="s">
        <v>1548</v>
      </c>
      <c r="G115" s="96">
        <v>43628</v>
      </c>
      <c r="H115" s="74" t="s">
        <v>334</v>
      </c>
      <c r="I115" s="84">
        <v>0.62999999999999989</v>
      </c>
      <c r="J115" s="87" t="s">
        <v>137</v>
      </c>
      <c r="K115" s="87" t="s">
        <v>154</v>
      </c>
      <c r="L115" s="88">
        <v>5.2930000000000005E-2</v>
      </c>
      <c r="M115" s="88">
        <v>0.13010000000000002</v>
      </c>
      <c r="N115" s="84">
        <v>8417.5400000000009</v>
      </c>
      <c r="O115" s="86">
        <v>96.44</v>
      </c>
      <c r="P115" s="84">
        <v>28.13654</v>
      </c>
      <c r="Q115" s="85">
        <f t="shared" si="2"/>
        <v>2.5762746567831373E-3</v>
      </c>
      <c r="R115" s="85">
        <f>P115/'סכום נכסי הקרן'!$C$42</f>
        <v>9.8541961763144647E-5</v>
      </c>
    </row>
    <row r="116" spans="2:18">
      <c r="B116" s="77" t="s">
        <v>1598</v>
      </c>
      <c r="C116" s="87" t="s">
        <v>1544</v>
      </c>
      <c r="D116" s="74">
        <v>6829</v>
      </c>
      <c r="E116" s="74"/>
      <c r="F116" s="74" t="s">
        <v>1548</v>
      </c>
      <c r="G116" s="96">
        <v>43552</v>
      </c>
      <c r="H116" s="74" t="s">
        <v>334</v>
      </c>
      <c r="I116" s="84">
        <v>0.63</v>
      </c>
      <c r="J116" s="87" t="s">
        <v>137</v>
      </c>
      <c r="K116" s="87" t="s">
        <v>154</v>
      </c>
      <c r="L116" s="88">
        <v>5.2930000000000005E-2</v>
      </c>
      <c r="M116" s="88">
        <v>0.12859999999999999</v>
      </c>
      <c r="N116" s="84">
        <v>3414.17</v>
      </c>
      <c r="O116" s="86">
        <v>96.44</v>
      </c>
      <c r="P116" s="84">
        <v>11.41225</v>
      </c>
      <c r="Q116" s="85">
        <f t="shared" si="2"/>
        <v>1.0449433530872439E-3</v>
      </c>
      <c r="R116" s="85">
        <f>P116/'סכום נכסי הקרן'!$C$42</f>
        <v>3.9968862665112604E-5</v>
      </c>
    </row>
    <row r="117" spans="2:18">
      <c r="B117" s="77" t="s">
        <v>1598</v>
      </c>
      <c r="C117" s="87" t="s">
        <v>1544</v>
      </c>
      <c r="D117" s="74">
        <v>6886</v>
      </c>
      <c r="E117" s="74"/>
      <c r="F117" s="74" t="s">
        <v>1548</v>
      </c>
      <c r="G117" s="96">
        <v>43578</v>
      </c>
      <c r="H117" s="74" t="s">
        <v>334</v>
      </c>
      <c r="I117" s="84">
        <v>0.63</v>
      </c>
      <c r="J117" s="87" t="s">
        <v>137</v>
      </c>
      <c r="K117" s="87" t="s">
        <v>154</v>
      </c>
      <c r="L117" s="88">
        <v>5.2930000000000005E-2</v>
      </c>
      <c r="M117" s="88">
        <v>0.13009999999999999</v>
      </c>
      <c r="N117" s="84">
        <v>2206.89</v>
      </c>
      <c r="O117" s="86">
        <v>96.44</v>
      </c>
      <c r="P117" s="84">
        <v>7.3767899999999997</v>
      </c>
      <c r="Q117" s="85">
        <f t="shared" si="2"/>
        <v>6.7544328923923409E-4</v>
      </c>
      <c r="R117" s="85">
        <f>P117/'סכום נכסי הקרן'!$C$42</f>
        <v>2.5835563225426712E-5</v>
      </c>
    </row>
    <row r="118" spans="2:18">
      <c r="B118" s="77" t="s">
        <v>1598</v>
      </c>
      <c r="C118" s="87" t="s">
        <v>1544</v>
      </c>
      <c r="D118" s="74">
        <v>6889</v>
      </c>
      <c r="E118" s="74"/>
      <c r="F118" s="74" t="s">
        <v>1548</v>
      </c>
      <c r="G118" s="96">
        <v>43584</v>
      </c>
      <c r="H118" s="74" t="s">
        <v>334</v>
      </c>
      <c r="I118" s="84">
        <v>0.63</v>
      </c>
      <c r="J118" s="87" t="s">
        <v>137</v>
      </c>
      <c r="K118" s="87" t="s">
        <v>154</v>
      </c>
      <c r="L118" s="88">
        <v>5.2930000000000005E-2</v>
      </c>
      <c r="M118" s="88">
        <v>0.13009999999999999</v>
      </c>
      <c r="N118" s="84">
        <v>4218.8500000000004</v>
      </c>
      <c r="O118" s="86">
        <v>96.44</v>
      </c>
      <c r="P118" s="84">
        <v>14.10197</v>
      </c>
      <c r="Q118" s="85">
        <f t="shared" si="2"/>
        <v>1.2912230118456677E-3</v>
      </c>
      <c r="R118" s="85">
        <f>P118/'סכום נכסי הקרן'!$C$42</f>
        <v>4.9389007622295167E-5</v>
      </c>
    </row>
    <row r="119" spans="2:18">
      <c r="B119" s="77" t="s">
        <v>1598</v>
      </c>
      <c r="C119" s="87" t="s">
        <v>1544</v>
      </c>
      <c r="D119" s="74">
        <v>6926</v>
      </c>
      <c r="E119" s="74"/>
      <c r="F119" s="74" t="s">
        <v>1548</v>
      </c>
      <c r="G119" s="96">
        <v>43614</v>
      </c>
      <c r="H119" s="74" t="s">
        <v>334</v>
      </c>
      <c r="I119" s="84">
        <v>0.63</v>
      </c>
      <c r="J119" s="87" t="s">
        <v>137</v>
      </c>
      <c r="K119" s="87" t="s">
        <v>154</v>
      </c>
      <c r="L119" s="88">
        <v>5.2930000000000005E-2</v>
      </c>
      <c r="M119" s="88">
        <v>0.13010000000000002</v>
      </c>
      <c r="N119" s="84">
        <v>1859.69</v>
      </c>
      <c r="O119" s="86">
        <v>96.44</v>
      </c>
      <c r="P119" s="84">
        <v>6.2162299999999995</v>
      </c>
      <c r="Q119" s="85">
        <f t="shared" si="2"/>
        <v>5.6917857738496063E-4</v>
      </c>
      <c r="R119" s="85">
        <f>P119/'סכום נכסי הקרן'!$C$42</f>
        <v>2.1770960429779658E-5</v>
      </c>
    </row>
    <row r="120" spans="2:18">
      <c r="B120" s="77" t="s">
        <v>1598</v>
      </c>
      <c r="C120" s="87" t="s">
        <v>1544</v>
      </c>
      <c r="D120" s="74">
        <v>91050042</v>
      </c>
      <c r="E120" s="74"/>
      <c r="F120" s="74" t="s">
        <v>1548</v>
      </c>
      <c r="G120" s="96">
        <v>43949</v>
      </c>
      <c r="H120" s="74" t="s">
        <v>334</v>
      </c>
      <c r="I120" s="84">
        <v>0.63</v>
      </c>
      <c r="J120" s="87" t="s">
        <v>137</v>
      </c>
      <c r="K120" s="87" t="s">
        <v>154</v>
      </c>
      <c r="L120" s="88">
        <v>5.1269000000000002E-2</v>
      </c>
      <c r="M120" s="88">
        <v>5.2299999999999992E-2</v>
      </c>
      <c r="N120" s="84">
        <v>1097.3</v>
      </c>
      <c r="O120" s="86">
        <v>100.77</v>
      </c>
      <c r="P120" s="84">
        <v>3.8325300000000002</v>
      </c>
      <c r="Q120" s="85">
        <f t="shared" si="2"/>
        <v>3.5091912190912878E-4</v>
      </c>
      <c r="R120" s="85">
        <f>P120/'סכום נכסי הקרן'!$C$42</f>
        <v>1.3422582333012685E-5</v>
      </c>
    </row>
    <row r="121" spans="2:18">
      <c r="B121" s="77" t="s">
        <v>1598</v>
      </c>
      <c r="C121" s="87" t="s">
        <v>1544</v>
      </c>
      <c r="D121" s="74">
        <v>7112</v>
      </c>
      <c r="E121" s="74"/>
      <c r="F121" s="74" t="s">
        <v>1548</v>
      </c>
      <c r="G121" s="96">
        <v>43706</v>
      </c>
      <c r="H121" s="74" t="s">
        <v>334</v>
      </c>
      <c r="I121" s="84">
        <v>0.63</v>
      </c>
      <c r="J121" s="87" t="s">
        <v>137</v>
      </c>
      <c r="K121" s="87" t="s">
        <v>154</v>
      </c>
      <c r="L121" s="88">
        <v>5.2930000000000005E-2</v>
      </c>
      <c r="M121" s="88">
        <v>0.12970000000000001</v>
      </c>
      <c r="N121" s="84">
        <v>1021.1</v>
      </c>
      <c r="O121" s="86">
        <v>96.46</v>
      </c>
      <c r="P121" s="84">
        <v>3.41384</v>
      </c>
      <c r="Q121" s="85">
        <f t="shared" si="2"/>
        <v>3.1258248079943542E-4</v>
      </c>
      <c r="R121" s="85">
        <f>P121/'סכום נכסי הקרן'!$C$42</f>
        <v>1.1956213903539443E-5</v>
      </c>
    </row>
    <row r="122" spans="2:18">
      <c r="B122" s="77" t="s">
        <v>1598</v>
      </c>
      <c r="C122" s="87" t="s">
        <v>1544</v>
      </c>
      <c r="D122" s="74">
        <v>7236</v>
      </c>
      <c r="E122" s="74"/>
      <c r="F122" s="74" t="s">
        <v>1548</v>
      </c>
      <c r="G122" s="96">
        <v>43761</v>
      </c>
      <c r="H122" s="74" t="s">
        <v>334</v>
      </c>
      <c r="I122" s="84">
        <v>0.63</v>
      </c>
      <c r="J122" s="87" t="s">
        <v>137</v>
      </c>
      <c r="K122" s="87" t="s">
        <v>154</v>
      </c>
      <c r="L122" s="88">
        <v>5.2930000000000005E-2</v>
      </c>
      <c r="M122" s="88">
        <v>0.12970000000000001</v>
      </c>
      <c r="N122" s="84">
        <v>2587.16</v>
      </c>
      <c r="O122" s="86">
        <v>96.46</v>
      </c>
      <c r="P122" s="84">
        <v>8.6496499999999994</v>
      </c>
      <c r="Q122" s="85">
        <f t="shared" si="2"/>
        <v>7.9199056049692905E-4</v>
      </c>
      <c r="R122" s="85">
        <f>P122/'סכום נכסי הקרן'!$C$42</f>
        <v>3.0293471747577491E-5</v>
      </c>
    </row>
    <row r="123" spans="2:18">
      <c r="B123" s="77" t="s">
        <v>1598</v>
      </c>
      <c r="C123" s="87" t="s">
        <v>1544</v>
      </c>
      <c r="D123" s="74">
        <v>7370</v>
      </c>
      <c r="E123" s="74"/>
      <c r="F123" s="74" t="s">
        <v>1548</v>
      </c>
      <c r="G123" s="96">
        <v>43853</v>
      </c>
      <c r="H123" s="74" t="s">
        <v>334</v>
      </c>
      <c r="I123" s="84">
        <v>0.62999999999999989</v>
      </c>
      <c r="J123" s="87" t="s">
        <v>137</v>
      </c>
      <c r="K123" s="87" t="s">
        <v>154</v>
      </c>
      <c r="L123" s="88">
        <v>5.2930000000000005E-2</v>
      </c>
      <c r="M123" s="88">
        <v>0.12969999999999998</v>
      </c>
      <c r="N123" s="84">
        <v>2452.5700000000002</v>
      </c>
      <c r="O123" s="86">
        <v>96.46</v>
      </c>
      <c r="P123" s="84">
        <v>8.1996900000000004</v>
      </c>
      <c r="Q123" s="85">
        <f t="shared" si="2"/>
        <v>7.5079073476973809E-4</v>
      </c>
      <c r="R123" s="85">
        <f>P123/'סכום נכסי הקרן'!$C$42</f>
        <v>2.8717587110911275E-5</v>
      </c>
    </row>
    <row r="124" spans="2:18">
      <c r="B124" s="77" t="s">
        <v>1598</v>
      </c>
      <c r="C124" s="87" t="s">
        <v>1544</v>
      </c>
      <c r="D124" s="74">
        <v>7453</v>
      </c>
      <c r="E124" s="74"/>
      <c r="F124" s="74" t="s">
        <v>1548</v>
      </c>
      <c r="G124" s="96">
        <v>43888</v>
      </c>
      <c r="H124" s="74" t="s">
        <v>334</v>
      </c>
      <c r="I124" s="84">
        <v>0.62999999999999989</v>
      </c>
      <c r="J124" s="87" t="s">
        <v>137</v>
      </c>
      <c r="K124" s="87" t="s">
        <v>154</v>
      </c>
      <c r="L124" s="88">
        <v>5.2930000000000005E-2</v>
      </c>
      <c r="M124" s="88">
        <v>0.12969999999999998</v>
      </c>
      <c r="N124" s="84">
        <v>1951.83</v>
      </c>
      <c r="O124" s="86">
        <v>96.46</v>
      </c>
      <c r="P124" s="84">
        <v>6.52555</v>
      </c>
      <c r="Q124" s="85">
        <f t="shared" si="2"/>
        <v>5.9750093958145544E-4</v>
      </c>
      <c r="R124" s="85">
        <f>P124/'סכום נכסי הקרן'!$C$42</f>
        <v>2.2854284804865437E-5</v>
      </c>
    </row>
    <row r="125" spans="2:18">
      <c r="B125" s="77" t="s">
        <v>1598</v>
      </c>
      <c r="C125" s="87" t="s">
        <v>1544</v>
      </c>
      <c r="D125" s="74">
        <v>7507</v>
      </c>
      <c r="E125" s="74"/>
      <c r="F125" s="74" t="s">
        <v>1548</v>
      </c>
      <c r="G125" s="96">
        <v>43920</v>
      </c>
      <c r="H125" s="74" t="s">
        <v>334</v>
      </c>
      <c r="I125" s="84">
        <v>0.63</v>
      </c>
      <c r="J125" s="87" t="s">
        <v>137</v>
      </c>
      <c r="K125" s="87" t="s">
        <v>154</v>
      </c>
      <c r="L125" s="88">
        <v>5.2930000000000005E-2</v>
      </c>
      <c r="M125" s="88">
        <v>0.12970000000000001</v>
      </c>
      <c r="N125" s="84">
        <v>1330.61</v>
      </c>
      <c r="O125" s="86">
        <v>96.46</v>
      </c>
      <c r="P125" s="84">
        <v>4.4486499999999998</v>
      </c>
      <c r="Q125" s="85">
        <f t="shared" si="2"/>
        <v>4.0733310676786501E-4</v>
      </c>
      <c r="R125" s="85">
        <f>P125/'סכום נכסי הקרן'!$C$42</f>
        <v>1.5580405344708817E-5</v>
      </c>
    </row>
    <row r="126" spans="2:18">
      <c r="B126" s="77" t="s">
        <v>1598</v>
      </c>
      <c r="C126" s="87" t="s">
        <v>1544</v>
      </c>
      <c r="D126" s="74">
        <v>91050041</v>
      </c>
      <c r="E126" s="74"/>
      <c r="F126" s="74" t="s">
        <v>1548</v>
      </c>
      <c r="G126" s="96">
        <v>43944</v>
      </c>
      <c r="H126" s="74" t="s">
        <v>334</v>
      </c>
      <c r="I126" s="84">
        <v>0.63</v>
      </c>
      <c r="J126" s="87" t="s">
        <v>137</v>
      </c>
      <c r="K126" s="87" t="s">
        <v>154</v>
      </c>
      <c r="L126" s="88">
        <v>5.2930000000000005E-2</v>
      </c>
      <c r="M126" s="88">
        <v>5.4100000000000002E-2</v>
      </c>
      <c r="N126" s="84">
        <v>2420.52</v>
      </c>
      <c r="O126" s="86">
        <v>100.77</v>
      </c>
      <c r="P126" s="84">
        <v>8.4541299999999993</v>
      </c>
      <c r="Q126" s="85">
        <f t="shared" si="2"/>
        <v>7.7408810266472083E-4</v>
      </c>
      <c r="R126" s="85">
        <f>P126/'סכום נכסי הקרן'!$C$42</f>
        <v>2.960870651475462E-5</v>
      </c>
    </row>
    <row r="127" spans="2:18">
      <c r="B127" s="77" t="s">
        <v>1598</v>
      </c>
      <c r="C127" s="87" t="s">
        <v>1544</v>
      </c>
      <c r="D127" s="74">
        <v>7058</v>
      </c>
      <c r="E127" s="74"/>
      <c r="F127" s="74" t="s">
        <v>1548</v>
      </c>
      <c r="G127" s="96">
        <v>43669</v>
      </c>
      <c r="H127" s="74" t="s">
        <v>334</v>
      </c>
      <c r="I127" s="84">
        <v>0.63</v>
      </c>
      <c r="J127" s="87" t="s">
        <v>137</v>
      </c>
      <c r="K127" s="87" t="s">
        <v>154</v>
      </c>
      <c r="L127" s="88">
        <v>5.2930000000000005E-2</v>
      </c>
      <c r="M127" s="88">
        <v>0.12969999999999998</v>
      </c>
      <c r="N127" s="84">
        <v>130.56</v>
      </c>
      <c r="O127" s="86">
        <v>96.46</v>
      </c>
      <c r="P127" s="84">
        <v>0.4365</v>
      </c>
      <c r="Q127" s="85">
        <f t="shared" si="2"/>
        <v>3.9967383611696376E-5</v>
      </c>
      <c r="R127" s="85">
        <f>P127/'סכום נכסי הקרן'!$C$42</f>
        <v>1.5287439859205373E-6</v>
      </c>
    </row>
    <row r="128" spans="2:18">
      <c r="B128" s="77" t="s">
        <v>1598</v>
      </c>
      <c r="C128" s="87" t="s">
        <v>1544</v>
      </c>
      <c r="D128" s="74">
        <v>7078</v>
      </c>
      <c r="E128" s="74"/>
      <c r="F128" s="74" t="s">
        <v>1548</v>
      </c>
      <c r="G128" s="96">
        <v>43669</v>
      </c>
      <c r="H128" s="74" t="s">
        <v>334</v>
      </c>
      <c r="I128" s="84">
        <v>0.63</v>
      </c>
      <c r="J128" s="87" t="s">
        <v>137</v>
      </c>
      <c r="K128" s="87" t="s">
        <v>154</v>
      </c>
      <c r="L128" s="88">
        <v>5.2930000000000005E-2</v>
      </c>
      <c r="M128" s="88">
        <v>0.12969999999999998</v>
      </c>
      <c r="N128" s="84">
        <v>2350.08</v>
      </c>
      <c r="O128" s="86">
        <v>96.46</v>
      </c>
      <c r="P128" s="84">
        <v>7.8570399999999996</v>
      </c>
      <c r="Q128" s="85">
        <f t="shared" si="2"/>
        <v>7.1941656754282443E-4</v>
      </c>
      <c r="R128" s="85">
        <f>P128/'סכום נכסי הקרן'!$C$42</f>
        <v>2.7517531837656584E-5</v>
      </c>
    </row>
    <row r="129" spans="2:18">
      <c r="B129" s="77" t="s">
        <v>1598</v>
      </c>
      <c r="C129" s="87" t="s">
        <v>1544</v>
      </c>
      <c r="D129" s="74">
        <v>91040013</v>
      </c>
      <c r="E129" s="74"/>
      <c r="F129" s="74" t="s">
        <v>1548</v>
      </c>
      <c r="G129" s="96">
        <v>43643</v>
      </c>
      <c r="H129" s="74" t="s">
        <v>334</v>
      </c>
      <c r="I129" s="84">
        <v>0.63999999999999979</v>
      </c>
      <c r="J129" s="87" t="s">
        <v>137</v>
      </c>
      <c r="K129" s="87" t="s">
        <v>154</v>
      </c>
      <c r="L129" s="88">
        <v>4.5999999999999999E-2</v>
      </c>
      <c r="M129" s="88">
        <v>0.11699999999999999</v>
      </c>
      <c r="N129" s="84">
        <v>2584.96</v>
      </c>
      <c r="O129" s="86">
        <v>96.46</v>
      </c>
      <c r="P129" s="84">
        <v>8.6422900000000009</v>
      </c>
      <c r="Q129" s="85">
        <f t="shared" si="2"/>
        <v>7.9131665455561861E-4</v>
      </c>
      <c r="R129" s="85">
        <f>P129/'סכום נכסי הקרן'!$C$42</f>
        <v>3.0267694987585802E-5</v>
      </c>
    </row>
    <row r="130" spans="2:18">
      <c r="B130" s="77" t="s">
        <v>1599</v>
      </c>
      <c r="C130" s="87" t="s">
        <v>1545</v>
      </c>
      <c r="D130" s="74">
        <v>7202</v>
      </c>
      <c r="E130" s="74"/>
      <c r="F130" s="74" t="s">
        <v>690</v>
      </c>
      <c r="G130" s="96">
        <v>43734</v>
      </c>
      <c r="H130" s="74"/>
      <c r="I130" s="84">
        <v>1.78</v>
      </c>
      <c r="J130" s="87" t="s">
        <v>649</v>
      </c>
      <c r="K130" s="87" t="s">
        <v>155</v>
      </c>
      <c r="L130" s="88">
        <v>2.1000000000000001E-2</v>
      </c>
      <c r="M130" s="88">
        <v>2.9399999999999999E-2</v>
      </c>
      <c r="N130" s="84">
        <v>54503.360000000001</v>
      </c>
      <c r="O130" s="86">
        <v>98.57</v>
      </c>
      <c r="P130" s="84">
        <v>53.723959999999998</v>
      </c>
      <c r="Q130" s="85">
        <f t="shared" si="2"/>
        <v>4.9191434558062581E-3</v>
      </c>
      <c r="R130" s="85">
        <f>P130/'סכום נכסי הקרן'!$C$42</f>
        <v>1.8815619873960025E-4</v>
      </c>
    </row>
    <row r="131" spans="2:18">
      <c r="B131" s="77" t="s">
        <v>1599</v>
      </c>
      <c r="C131" s="87" t="s">
        <v>1545</v>
      </c>
      <c r="D131" s="74">
        <v>7372</v>
      </c>
      <c r="E131" s="74"/>
      <c r="F131" s="74" t="s">
        <v>690</v>
      </c>
      <c r="G131" s="96">
        <v>43853</v>
      </c>
      <c r="H131" s="74"/>
      <c r="I131" s="84">
        <v>1.7800000000000002</v>
      </c>
      <c r="J131" s="87" t="s">
        <v>649</v>
      </c>
      <c r="K131" s="87" t="s">
        <v>155</v>
      </c>
      <c r="L131" s="88">
        <v>2.1000000000000001E-2</v>
      </c>
      <c r="M131" s="88">
        <v>3.5600000000000007E-2</v>
      </c>
      <c r="N131" s="84">
        <v>3946.56</v>
      </c>
      <c r="O131" s="86">
        <v>97.52</v>
      </c>
      <c r="P131" s="84">
        <v>3.8486899999999999</v>
      </c>
      <c r="Q131" s="85">
        <f t="shared" si="2"/>
        <v>3.5239878495418035E-4</v>
      </c>
      <c r="R131" s="85">
        <f>P131/'סכום נכסי הקרן'!$C$42</f>
        <v>1.3479179132124887E-5</v>
      </c>
    </row>
    <row r="132" spans="2:18">
      <c r="B132" s="77" t="s">
        <v>1599</v>
      </c>
      <c r="C132" s="87" t="s">
        <v>1545</v>
      </c>
      <c r="D132" s="74">
        <v>7250</v>
      </c>
      <c r="E132" s="74"/>
      <c r="F132" s="74" t="s">
        <v>690</v>
      </c>
      <c r="G132" s="96">
        <v>43768</v>
      </c>
      <c r="H132" s="74"/>
      <c r="I132" s="84">
        <v>1.7799999999999998</v>
      </c>
      <c r="J132" s="87" t="s">
        <v>649</v>
      </c>
      <c r="K132" s="87" t="s">
        <v>155</v>
      </c>
      <c r="L132" s="88">
        <v>2.1000000000000001E-2</v>
      </c>
      <c r="M132" s="88">
        <v>3.3399999999999999E-2</v>
      </c>
      <c r="N132" s="84">
        <v>29070.21</v>
      </c>
      <c r="O132" s="86">
        <v>97.89</v>
      </c>
      <c r="P132" s="84">
        <v>28.45683</v>
      </c>
      <c r="Q132" s="85">
        <f t="shared" si="2"/>
        <v>2.605601468460091E-3</v>
      </c>
      <c r="R132" s="85">
        <f>P132/'סכום נכסי הקרן'!$C$42</f>
        <v>9.9663706118815869E-5</v>
      </c>
    </row>
    <row r="133" spans="2:18">
      <c r="B133" s="77" t="s">
        <v>1600</v>
      </c>
      <c r="C133" s="87" t="s">
        <v>1545</v>
      </c>
      <c r="D133" s="74">
        <v>6718</v>
      </c>
      <c r="E133" s="74"/>
      <c r="F133" s="74" t="s">
        <v>690</v>
      </c>
      <c r="G133" s="96">
        <v>43482</v>
      </c>
      <c r="H133" s="74"/>
      <c r="I133" s="84">
        <v>3.35</v>
      </c>
      <c r="J133" s="87" t="s">
        <v>1546</v>
      </c>
      <c r="K133" s="87" t="s">
        <v>155</v>
      </c>
      <c r="L133" s="88">
        <v>4.1299999999999996E-2</v>
      </c>
      <c r="M133" s="88">
        <v>2.6499999999999999E-2</v>
      </c>
      <c r="N133" s="84">
        <v>227232.92</v>
      </c>
      <c r="O133" s="86">
        <v>105.49</v>
      </c>
      <c r="P133" s="84">
        <v>239.708</v>
      </c>
      <c r="Q133" s="85">
        <f t="shared" si="2"/>
        <v>2.1948457252674719E-2</v>
      </c>
      <c r="R133" s="85">
        <f>P133/'סכום נכסי הקרן'!$C$42</f>
        <v>8.3952385653388354E-4</v>
      </c>
    </row>
    <row r="135" spans="2:18"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84"/>
      <c r="O135" s="86"/>
      <c r="P135" s="74"/>
      <c r="Q135" s="85"/>
      <c r="R135" s="74"/>
    </row>
    <row r="136" spans="2:18">
      <c r="B136" s="71" t="s">
        <v>36</v>
      </c>
      <c r="C136" s="72"/>
      <c r="D136" s="72"/>
      <c r="E136" s="72"/>
      <c r="F136" s="72"/>
      <c r="G136" s="72"/>
      <c r="H136" s="72"/>
      <c r="I136" s="81">
        <v>4.4544466382867034</v>
      </c>
      <c r="J136" s="72"/>
      <c r="K136" s="72"/>
      <c r="L136" s="72"/>
      <c r="M136" s="94">
        <v>3.3935066101242792E-2</v>
      </c>
      <c r="N136" s="81"/>
      <c r="O136" s="83"/>
      <c r="P136" s="81">
        <f>P137</f>
        <v>4121.2220600000001</v>
      </c>
      <c r="Q136" s="82">
        <f t="shared" ref="Q136:Q199" si="3">P136/$P$10</f>
        <v>0.37735272169760725</v>
      </c>
      <c r="R136" s="82">
        <f>P136/'סכום נכסי הקרן'!$C$42</f>
        <v>1.4433661944714887E-2</v>
      </c>
    </row>
    <row r="137" spans="2:18">
      <c r="B137" s="92" t="s">
        <v>34</v>
      </c>
      <c r="C137" s="72"/>
      <c r="D137" s="72"/>
      <c r="E137" s="72"/>
      <c r="F137" s="72"/>
      <c r="G137" s="72"/>
      <c r="H137" s="72"/>
      <c r="I137" s="81">
        <v>4.4544466382867034</v>
      </c>
      <c r="J137" s="72"/>
      <c r="K137" s="72"/>
      <c r="L137" s="72"/>
      <c r="M137" s="94">
        <v>3.3935066101242792E-2</v>
      </c>
      <c r="N137" s="81"/>
      <c r="O137" s="83"/>
      <c r="P137" s="81">
        <f>SUM(P138:P220)</f>
        <v>4121.2220600000001</v>
      </c>
      <c r="Q137" s="82">
        <f t="shared" si="3"/>
        <v>0.37735272169760725</v>
      </c>
      <c r="R137" s="82">
        <f>P137/'סכום נכסי הקרן'!$C$42</f>
        <v>1.4433661944714887E-2</v>
      </c>
    </row>
    <row r="138" spans="2:18">
      <c r="B138" s="77" t="s">
        <v>1601</v>
      </c>
      <c r="C138" s="87" t="s">
        <v>1545</v>
      </c>
      <c r="D138" s="74">
        <v>508506</v>
      </c>
      <c r="E138" s="74"/>
      <c r="F138" s="74" t="s">
        <v>1547</v>
      </c>
      <c r="G138" s="96">
        <v>43186</v>
      </c>
      <c r="H138" s="74" t="s">
        <v>1543</v>
      </c>
      <c r="I138" s="84">
        <v>5.42</v>
      </c>
      <c r="J138" s="87" t="s">
        <v>181</v>
      </c>
      <c r="K138" s="87" t="s">
        <v>154</v>
      </c>
      <c r="L138" s="88">
        <v>4.8000000000000001E-2</v>
      </c>
      <c r="M138" s="88">
        <v>2.4699999999999996E-2</v>
      </c>
      <c r="N138" s="84">
        <v>108179</v>
      </c>
      <c r="O138" s="86">
        <v>114.63</v>
      </c>
      <c r="P138" s="84">
        <v>429.80336999999997</v>
      </c>
      <c r="Q138" s="85">
        <f t="shared" si="3"/>
        <v>3.9354218021511733E-2</v>
      </c>
      <c r="R138" s="85">
        <f>P138/'סכום נכסי הקרן'!$C$42</f>
        <v>1.5052905315369519E-3</v>
      </c>
    </row>
    <row r="139" spans="2:18">
      <c r="B139" s="77" t="s">
        <v>1601</v>
      </c>
      <c r="C139" s="87" t="s">
        <v>1545</v>
      </c>
      <c r="D139" s="74">
        <v>6831</v>
      </c>
      <c r="E139" s="74"/>
      <c r="F139" s="74" t="s">
        <v>1547</v>
      </c>
      <c r="G139" s="96">
        <v>43552</v>
      </c>
      <c r="H139" s="74" t="s">
        <v>1543</v>
      </c>
      <c r="I139" s="84">
        <v>5.3800000000000008</v>
      </c>
      <c r="J139" s="87" t="s">
        <v>181</v>
      </c>
      <c r="K139" s="87" t="s">
        <v>154</v>
      </c>
      <c r="L139" s="88">
        <v>4.5999999999999999E-2</v>
      </c>
      <c r="M139" s="88">
        <v>3.2000000000000001E-2</v>
      </c>
      <c r="N139" s="84">
        <v>53521.02</v>
      </c>
      <c r="O139" s="86">
        <v>109.16</v>
      </c>
      <c r="P139" s="84">
        <v>202.49598999999998</v>
      </c>
      <c r="Q139" s="85">
        <f t="shared" si="3"/>
        <v>1.8541202547904312E-2</v>
      </c>
      <c r="R139" s="85">
        <f>P139/'סכום נכסי הקרן'!$C$42</f>
        <v>7.0919708335744612E-4</v>
      </c>
    </row>
    <row r="140" spans="2:18">
      <c r="B140" s="77" t="s">
        <v>1601</v>
      </c>
      <c r="C140" s="87" t="s">
        <v>1544</v>
      </c>
      <c r="D140" s="74">
        <v>7598</v>
      </c>
      <c r="E140" s="74"/>
      <c r="F140" s="74" t="s">
        <v>1547</v>
      </c>
      <c r="G140" s="96">
        <v>43942</v>
      </c>
      <c r="H140" s="74" t="s">
        <v>1543</v>
      </c>
      <c r="I140" s="84">
        <v>5.25</v>
      </c>
      <c r="J140" s="87" t="s">
        <v>181</v>
      </c>
      <c r="K140" s="87" t="s">
        <v>154</v>
      </c>
      <c r="L140" s="88">
        <v>5.4400000000000004E-2</v>
      </c>
      <c r="M140" s="88">
        <v>4.2200000000000008E-2</v>
      </c>
      <c r="N140" s="84">
        <v>53508.59</v>
      </c>
      <c r="O140" s="86">
        <v>107.69</v>
      </c>
      <c r="P140" s="84">
        <v>199.7227</v>
      </c>
      <c r="Q140" s="85">
        <f t="shared" si="3"/>
        <v>1.8287270943559569E-2</v>
      </c>
      <c r="R140" s="85">
        <f>P140/'סכום נכסי הקרן'!$C$42</f>
        <v>6.9948425309693404E-4</v>
      </c>
    </row>
    <row r="141" spans="2:18">
      <c r="B141" s="77" t="s">
        <v>1602</v>
      </c>
      <c r="C141" s="87" t="s">
        <v>1544</v>
      </c>
      <c r="D141" s="74">
        <v>7088</v>
      </c>
      <c r="E141" s="74"/>
      <c r="F141" s="74" t="s">
        <v>978</v>
      </c>
      <c r="G141" s="96">
        <v>43684</v>
      </c>
      <c r="H141" s="74" t="s">
        <v>323</v>
      </c>
      <c r="I141" s="84">
        <v>8.27</v>
      </c>
      <c r="J141" s="87" t="s">
        <v>914</v>
      </c>
      <c r="K141" s="87" t="s">
        <v>154</v>
      </c>
      <c r="L141" s="88">
        <v>4.36E-2</v>
      </c>
      <c r="M141" s="88">
        <v>4.1799999999999997E-2</v>
      </c>
      <c r="N141" s="84">
        <v>66724.39</v>
      </c>
      <c r="O141" s="86">
        <v>104.03</v>
      </c>
      <c r="P141" s="84">
        <v>240.58678</v>
      </c>
      <c r="Q141" s="85">
        <f t="shared" si="3"/>
        <v>2.2028921255813978E-2</v>
      </c>
      <c r="R141" s="85">
        <f>P141/'סכום נכסי הקרן'!$C$42</f>
        <v>8.4260158766778337E-4</v>
      </c>
    </row>
    <row r="142" spans="2:18">
      <c r="B142" s="77" t="s">
        <v>1603</v>
      </c>
      <c r="C142" s="87" t="s">
        <v>1544</v>
      </c>
      <c r="D142" s="74">
        <v>67859</v>
      </c>
      <c r="E142" s="74"/>
      <c r="F142" s="74" t="s">
        <v>1033</v>
      </c>
      <c r="G142" s="96">
        <v>43811</v>
      </c>
      <c r="H142" s="74" t="s">
        <v>910</v>
      </c>
      <c r="I142" s="84">
        <v>9.8099999999999987</v>
      </c>
      <c r="J142" s="87" t="s">
        <v>1549</v>
      </c>
      <c r="K142" s="87" t="s">
        <v>154</v>
      </c>
      <c r="L142" s="88">
        <v>4.4800000000000006E-2</v>
      </c>
      <c r="M142" s="88">
        <v>3.3399999999999999E-2</v>
      </c>
      <c r="N142" s="84">
        <v>21029.52</v>
      </c>
      <c r="O142" s="86">
        <v>113.58</v>
      </c>
      <c r="P142" s="84">
        <v>82.78652000000001</v>
      </c>
      <c r="Q142" s="85">
        <f t="shared" si="3"/>
        <v>7.5802075663628284E-3</v>
      </c>
      <c r="R142" s="85">
        <f>P142/'סכום נכסי הקרן'!$C$42</f>
        <v>2.8994133921028708E-4</v>
      </c>
    </row>
    <row r="143" spans="2:18">
      <c r="B143" s="77" t="s">
        <v>1604</v>
      </c>
      <c r="C143" s="87" t="s">
        <v>1544</v>
      </c>
      <c r="D143" s="74">
        <v>7258</v>
      </c>
      <c r="E143" s="74"/>
      <c r="F143" s="74" t="s">
        <v>690</v>
      </c>
      <c r="G143" s="96">
        <v>43774</v>
      </c>
      <c r="H143" s="74"/>
      <c r="I143" s="84">
        <v>5.12</v>
      </c>
      <c r="J143" s="87" t="s">
        <v>914</v>
      </c>
      <c r="K143" s="87" t="s">
        <v>154</v>
      </c>
      <c r="L143" s="88">
        <v>2.4281999999999998E-2</v>
      </c>
      <c r="M143" s="88">
        <v>2.2799999999999997E-2</v>
      </c>
      <c r="N143" s="84">
        <v>17070.46</v>
      </c>
      <c r="O143" s="86">
        <v>101.88</v>
      </c>
      <c r="P143" s="84">
        <v>60.27852</v>
      </c>
      <c r="Q143" s="85">
        <f t="shared" si="3"/>
        <v>5.5193006469308409E-3</v>
      </c>
      <c r="R143" s="85">
        <f>P143/'סכום נכסי הקרן'!$C$42</f>
        <v>2.1111208460524819E-4</v>
      </c>
    </row>
    <row r="144" spans="2:18">
      <c r="B144" s="77" t="s">
        <v>1605</v>
      </c>
      <c r="C144" s="87" t="s">
        <v>1544</v>
      </c>
      <c r="D144" s="74">
        <v>7030</v>
      </c>
      <c r="E144" s="74"/>
      <c r="F144" s="74" t="s">
        <v>690</v>
      </c>
      <c r="G144" s="96">
        <v>43649</v>
      </c>
      <c r="H144" s="74"/>
      <c r="I144" s="84">
        <v>0.87000000000000011</v>
      </c>
      <c r="J144" s="87" t="s">
        <v>1549</v>
      </c>
      <c r="K144" s="87" t="s">
        <v>154</v>
      </c>
      <c r="L144" s="88">
        <v>2.69E-2</v>
      </c>
      <c r="M144" s="88">
        <v>3.2000000000000001E-2</v>
      </c>
      <c r="N144" s="84">
        <v>5701.38</v>
      </c>
      <c r="O144" s="86">
        <v>99.67</v>
      </c>
      <c r="P144" s="84">
        <v>19.69575</v>
      </c>
      <c r="Q144" s="85">
        <f t="shared" si="3"/>
        <v>1.8034080086370421E-3</v>
      </c>
      <c r="R144" s="85">
        <f>P144/'סכום נכסי הקרן'!$C$42</f>
        <v>6.8979975625874974E-5</v>
      </c>
    </row>
    <row r="145" spans="2:18">
      <c r="B145" s="77" t="s">
        <v>1605</v>
      </c>
      <c r="C145" s="87" t="s">
        <v>1544</v>
      </c>
      <c r="D145" s="74">
        <v>7059</v>
      </c>
      <c r="E145" s="74"/>
      <c r="F145" s="74" t="s">
        <v>690</v>
      </c>
      <c r="G145" s="96">
        <v>43668</v>
      </c>
      <c r="H145" s="74"/>
      <c r="I145" s="84">
        <v>0.87</v>
      </c>
      <c r="J145" s="87" t="s">
        <v>1549</v>
      </c>
      <c r="K145" s="87" t="s">
        <v>154</v>
      </c>
      <c r="L145" s="88">
        <v>2.69E-2</v>
      </c>
      <c r="M145" s="88">
        <v>3.2000000000000001E-2</v>
      </c>
      <c r="N145" s="84">
        <v>1277.04</v>
      </c>
      <c r="O145" s="86">
        <v>99.67</v>
      </c>
      <c r="P145" s="84">
        <v>4.4116299999999997</v>
      </c>
      <c r="Q145" s="85">
        <f t="shared" si="3"/>
        <v>4.0394343313371838E-4</v>
      </c>
      <c r="R145" s="85">
        <f>P145/'סכום נכסי הקרן'!$C$42</f>
        <v>1.5450751043772325E-5</v>
      </c>
    </row>
    <row r="146" spans="2:18">
      <c r="B146" s="77" t="s">
        <v>1605</v>
      </c>
      <c r="C146" s="87" t="s">
        <v>1544</v>
      </c>
      <c r="D146" s="74">
        <v>7107</v>
      </c>
      <c r="E146" s="74"/>
      <c r="F146" s="74" t="s">
        <v>690</v>
      </c>
      <c r="G146" s="96">
        <v>43697</v>
      </c>
      <c r="H146" s="74"/>
      <c r="I146" s="84">
        <v>0.87</v>
      </c>
      <c r="J146" s="87" t="s">
        <v>1549</v>
      </c>
      <c r="K146" s="87" t="s">
        <v>154</v>
      </c>
      <c r="L146" s="88">
        <v>2.69E-2</v>
      </c>
      <c r="M146" s="88">
        <v>3.2000000000000001E-2</v>
      </c>
      <c r="N146" s="84">
        <v>1965.25</v>
      </c>
      <c r="O146" s="86">
        <v>99.67</v>
      </c>
      <c r="P146" s="84">
        <v>6.7890699999999997</v>
      </c>
      <c r="Q146" s="85">
        <f t="shared" si="3"/>
        <v>6.2162970230620728E-4</v>
      </c>
      <c r="R146" s="85">
        <f>P146/'סכום נכסי הקרן'!$C$42</f>
        <v>2.3777204885437669E-5</v>
      </c>
    </row>
    <row r="147" spans="2:18">
      <c r="B147" s="77" t="s">
        <v>1605</v>
      </c>
      <c r="C147" s="87" t="s">
        <v>1544</v>
      </c>
      <c r="D147" s="74">
        <v>7182</v>
      </c>
      <c r="E147" s="74"/>
      <c r="F147" s="74" t="s">
        <v>690</v>
      </c>
      <c r="G147" s="96">
        <v>43728</v>
      </c>
      <c r="H147" s="74"/>
      <c r="I147" s="84">
        <v>0.87</v>
      </c>
      <c r="J147" s="87" t="s">
        <v>1549</v>
      </c>
      <c r="K147" s="87" t="s">
        <v>154</v>
      </c>
      <c r="L147" s="88">
        <v>2.69E-2</v>
      </c>
      <c r="M147" s="88">
        <v>3.2000000000000008E-2</v>
      </c>
      <c r="N147" s="84">
        <v>2797.88</v>
      </c>
      <c r="O147" s="86">
        <v>99.67</v>
      </c>
      <c r="P147" s="84">
        <v>9.6654599999999995</v>
      </c>
      <c r="Q147" s="85">
        <f t="shared" si="3"/>
        <v>8.8500148362773612E-4</v>
      </c>
      <c r="R147" s="85">
        <f>P147/'סכום נכסי הקרן'!$C$42</f>
        <v>3.3851119922463952E-5</v>
      </c>
    </row>
    <row r="148" spans="2:18">
      <c r="B148" s="77" t="s">
        <v>1605</v>
      </c>
      <c r="C148" s="87" t="s">
        <v>1544</v>
      </c>
      <c r="D148" s="74">
        <v>7223</v>
      </c>
      <c r="E148" s="74"/>
      <c r="F148" s="74" t="s">
        <v>690</v>
      </c>
      <c r="G148" s="96">
        <v>43759</v>
      </c>
      <c r="H148" s="74"/>
      <c r="I148" s="84">
        <v>0.86999999999999988</v>
      </c>
      <c r="J148" s="87" t="s">
        <v>1549</v>
      </c>
      <c r="K148" s="87" t="s">
        <v>154</v>
      </c>
      <c r="L148" s="88">
        <v>2.69E-2</v>
      </c>
      <c r="M148" s="88">
        <v>3.2000000000000001E-2</v>
      </c>
      <c r="N148" s="84">
        <v>3503.81</v>
      </c>
      <c r="O148" s="86">
        <v>99.67</v>
      </c>
      <c r="P148" s="84">
        <v>12.104139999999999</v>
      </c>
      <c r="Q148" s="85">
        <f t="shared" si="3"/>
        <v>1.1082950897358041E-3</v>
      </c>
      <c r="R148" s="85">
        <f>P148/'סכום נכסי הקרן'!$C$42</f>
        <v>4.2392053218190634E-5</v>
      </c>
    </row>
    <row r="149" spans="2:18">
      <c r="B149" s="77" t="s">
        <v>1605</v>
      </c>
      <c r="C149" s="87" t="s">
        <v>1544</v>
      </c>
      <c r="D149" s="74">
        <v>7503</v>
      </c>
      <c r="E149" s="74"/>
      <c r="F149" s="74" t="s">
        <v>690</v>
      </c>
      <c r="G149" s="96">
        <v>43910</v>
      </c>
      <c r="H149" s="74"/>
      <c r="I149" s="84">
        <v>0.86999999999999988</v>
      </c>
      <c r="J149" s="87" t="s">
        <v>1549</v>
      </c>
      <c r="K149" s="87" t="s">
        <v>154</v>
      </c>
      <c r="L149" s="88">
        <v>2.69E-2</v>
      </c>
      <c r="M149" s="88">
        <v>3.2000000000000001E-2</v>
      </c>
      <c r="N149" s="84">
        <v>2152.98</v>
      </c>
      <c r="O149" s="86">
        <v>99.67</v>
      </c>
      <c r="P149" s="84">
        <v>7.4376300000000004</v>
      </c>
      <c r="Q149" s="85">
        <f t="shared" si="3"/>
        <v>6.8101400085191595E-4</v>
      </c>
      <c r="R149" s="85">
        <f>P149/'סכום נכסי הקרן'!$C$42</f>
        <v>2.6048641768618939E-5</v>
      </c>
    </row>
    <row r="150" spans="2:18">
      <c r="B150" s="77" t="s">
        <v>1605</v>
      </c>
      <c r="C150" s="87" t="s">
        <v>1544</v>
      </c>
      <c r="D150" s="74">
        <v>7602</v>
      </c>
      <c r="E150" s="74"/>
      <c r="F150" s="74" t="s">
        <v>690</v>
      </c>
      <c r="G150" s="96">
        <v>43941</v>
      </c>
      <c r="H150" s="74"/>
      <c r="I150" s="84">
        <v>0.87</v>
      </c>
      <c r="J150" s="87" t="s">
        <v>1549</v>
      </c>
      <c r="K150" s="87" t="s">
        <v>154</v>
      </c>
      <c r="L150" s="88">
        <v>2.69E-2</v>
      </c>
      <c r="M150" s="88">
        <v>3.2000000000000001E-2</v>
      </c>
      <c r="N150" s="84">
        <v>1679.72</v>
      </c>
      <c r="O150" s="86">
        <v>99.67</v>
      </c>
      <c r="P150" s="84">
        <v>5.8027199999999999</v>
      </c>
      <c r="Q150" s="85">
        <f t="shared" si="3"/>
        <v>5.3131623420678764E-4</v>
      </c>
      <c r="R150" s="85">
        <f>P150/'סכום נכסי הקרן'!$C$42</f>
        <v>2.0322733796061443E-5</v>
      </c>
    </row>
    <row r="151" spans="2:18">
      <c r="B151" s="77" t="s">
        <v>1605</v>
      </c>
      <c r="C151" s="87" t="s">
        <v>1544</v>
      </c>
      <c r="D151" s="74">
        <v>7687</v>
      </c>
      <c r="E151" s="74"/>
      <c r="F151" s="74" t="s">
        <v>690</v>
      </c>
      <c r="G151" s="96">
        <v>43971</v>
      </c>
      <c r="H151" s="74"/>
      <c r="I151" s="84">
        <v>0.87</v>
      </c>
      <c r="J151" s="87" t="s">
        <v>1549</v>
      </c>
      <c r="K151" s="87" t="s">
        <v>154</v>
      </c>
      <c r="L151" s="88">
        <v>2.69E-2</v>
      </c>
      <c r="M151" s="88">
        <v>3.2000000000000001E-2</v>
      </c>
      <c r="N151" s="84">
        <v>1342.56</v>
      </c>
      <c r="O151" s="86">
        <v>99.67</v>
      </c>
      <c r="P151" s="84">
        <v>4.6379599999999996</v>
      </c>
      <c r="Q151" s="85">
        <f t="shared" si="3"/>
        <v>4.2466695646209234E-4</v>
      </c>
      <c r="R151" s="85">
        <f>P151/'סכום נכסי הקרן'!$C$42</f>
        <v>1.6243421436288696E-5</v>
      </c>
    </row>
    <row r="152" spans="2:18">
      <c r="B152" s="77" t="s">
        <v>1605</v>
      </c>
      <c r="C152" s="87" t="s">
        <v>1544</v>
      </c>
      <c r="D152" s="74">
        <v>7747</v>
      </c>
      <c r="E152" s="74"/>
      <c r="F152" s="74" t="s">
        <v>690</v>
      </c>
      <c r="G152" s="96">
        <v>44004</v>
      </c>
      <c r="H152" s="74"/>
      <c r="I152" s="84">
        <v>0.87</v>
      </c>
      <c r="J152" s="87" t="s">
        <v>1549</v>
      </c>
      <c r="K152" s="87" t="s">
        <v>154</v>
      </c>
      <c r="L152" s="88">
        <v>2.69E-2</v>
      </c>
      <c r="M152" s="88">
        <v>3.2199999999999999E-2</v>
      </c>
      <c r="N152" s="84">
        <v>1020.22</v>
      </c>
      <c r="O152" s="86">
        <v>99.65</v>
      </c>
      <c r="P152" s="84">
        <v>3.5236799999999997</v>
      </c>
      <c r="Q152" s="85">
        <f t="shared" si="3"/>
        <v>3.2263979446703843E-4</v>
      </c>
      <c r="R152" s="85">
        <f>P152/'סכום נכסי הקרן'!$C$42</f>
        <v>1.2340904028198118E-5</v>
      </c>
    </row>
    <row r="153" spans="2:18">
      <c r="B153" s="77" t="s">
        <v>1605</v>
      </c>
      <c r="C153" s="87" t="s">
        <v>1544</v>
      </c>
      <c r="D153" s="74">
        <v>7363</v>
      </c>
      <c r="E153" s="74"/>
      <c r="F153" s="74" t="s">
        <v>690</v>
      </c>
      <c r="G153" s="96">
        <v>43851</v>
      </c>
      <c r="H153" s="74"/>
      <c r="I153" s="84">
        <v>0.87</v>
      </c>
      <c r="J153" s="87" t="s">
        <v>1549</v>
      </c>
      <c r="K153" s="87" t="s">
        <v>154</v>
      </c>
      <c r="L153" s="88">
        <v>2.69E-2</v>
      </c>
      <c r="M153" s="88">
        <v>3.2000000000000001E-2</v>
      </c>
      <c r="N153" s="84">
        <v>3952.74</v>
      </c>
      <c r="O153" s="86">
        <v>99.67</v>
      </c>
      <c r="P153" s="84">
        <v>13.654999999999999</v>
      </c>
      <c r="Q153" s="85">
        <f t="shared" si="3"/>
        <v>1.2502969604071339E-3</v>
      </c>
      <c r="R153" s="85">
        <f>P153/'סכום נכסי הקרן'!$C$42</f>
        <v>4.782359479437557E-5</v>
      </c>
    </row>
    <row r="154" spans="2:18">
      <c r="B154" s="77" t="s">
        <v>1605</v>
      </c>
      <c r="C154" s="87" t="s">
        <v>1544</v>
      </c>
      <c r="D154" s="74">
        <v>7443</v>
      </c>
      <c r="E154" s="74"/>
      <c r="F154" s="74" t="s">
        <v>690</v>
      </c>
      <c r="G154" s="96">
        <v>43881</v>
      </c>
      <c r="H154" s="74"/>
      <c r="I154" s="84">
        <v>0.86999999999999988</v>
      </c>
      <c r="J154" s="87" t="s">
        <v>1549</v>
      </c>
      <c r="K154" s="87" t="s">
        <v>154</v>
      </c>
      <c r="L154" s="88">
        <v>2.69E-2</v>
      </c>
      <c r="M154" s="88">
        <v>3.1999999999999994E-2</v>
      </c>
      <c r="N154" s="84">
        <v>3001.28</v>
      </c>
      <c r="O154" s="86">
        <v>99.67</v>
      </c>
      <c r="P154" s="84">
        <v>10.368120000000001</v>
      </c>
      <c r="Q154" s="85">
        <f t="shared" si="3"/>
        <v>9.4933935709530688E-4</v>
      </c>
      <c r="R154" s="85">
        <f>P154/'סכום נכסי הקרן'!$C$42</f>
        <v>3.6312030000692882E-5</v>
      </c>
    </row>
    <row r="155" spans="2:18">
      <c r="B155" s="77" t="s">
        <v>1605</v>
      </c>
      <c r="C155" s="87" t="s">
        <v>1544</v>
      </c>
      <c r="D155" s="74">
        <v>7272</v>
      </c>
      <c r="E155" s="74"/>
      <c r="F155" s="74" t="s">
        <v>690</v>
      </c>
      <c r="G155" s="96">
        <v>43789</v>
      </c>
      <c r="H155" s="74"/>
      <c r="I155" s="84">
        <v>0.87</v>
      </c>
      <c r="J155" s="87" t="s">
        <v>1549</v>
      </c>
      <c r="K155" s="87" t="s">
        <v>154</v>
      </c>
      <c r="L155" s="88">
        <v>2.69E-2</v>
      </c>
      <c r="M155" s="88">
        <v>3.2000000000000001E-2</v>
      </c>
      <c r="N155" s="84">
        <v>4646.6499999999996</v>
      </c>
      <c r="O155" s="86">
        <v>99.67</v>
      </c>
      <c r="P155" s="84">
        <v>16.052120000000002</v>
      </c>
      <c r="Q155" s="85">
        <f t="shared" si="3"/>
        <v>1.4697851954661712E-3</v>
      </c>
      <c r="R155" s="85">
        <f>P155/'סכום נכסי הקרן'!$C$42</f>
        <v>5.6218973450801327E-5</v>
      </c>
    </row>
    <row r="156" spans="2:18">
      <c r="B156" s="77" t="s">
        <v>1605</v>
      </c>
      <c r="C156" s="87" t="s">
        <v>1544</v>
      </c>
      <c r="D156" s="74">
        <v>7313</v>
      </c>
      <c r="E156" s="74"/>
      <c r="F156" s="74" t="s">
        <v>690</v>
      </c>
      <c r="G156" s="96">
        <v>43819</v>
      </c>
      <c r="H156" s="74"/>
      <c r="I156" s="84">
        <v>0.86999999999999988</v>
      </c>
      <c r="J156" s="87" t="s">
        <v>1549</v>
      </c>
      <c r="K156" s="87" t="s">
        <v>154</v>
      </c>
      <c r="L156" s="88">
        <v>2.69E-2</v>
      </c>
      <c r="M156" s="88">
        <v>3.2000000000000001E-2</v>
      </c>
      <c r="N156" s="84">
        <v>4495.2</v>
      </c>
      <c r="O156" s="86">
        <v>99.67</v>
      </c>
      <c r="P156" s="84">
        <v>15.528930000000001</v>
      </c>
      <c r="Q156" s="85">
        <f t="shared" si="3"/>
        <v>1.4218801887495537E-3</v>
      </c>
      <c r="R156" s="85">
        <f>P156/'סכום נכסי הקרן'!$C$42</f>
        <v>5.4386617056772077E-5</v>
      </c>
    </row>
    <row r="157" spans="2:18">
      <c r="B157" s="77" t="s">
        <v>1606</v>
      </c>
      <c r="C157" s="87" t="s">
        <v>1544</v>
      </c>
      <c r="D157" s="74">
        <v>7364</v>
      </c>
      <c r="E157" s="74"/>
      <c r="F157" s="74" t="s">
        <v>690</v>
      </c>
      <c r="G157" s="96">
        <v>43846</v>
      </c>
      <c r="H157" s="74"/>
      <c r="I157" s="84">
        <v>2.62</v>
      </c>
      <c r="J157" s="87" t="s">
        <v>1549</v>
      </c>
      <c r="K157" s="87" t="s">
        <v>156</v>
      </c>
      <c r="L157" s="88">
        <v>1.7500000000000002E-2</v>
      </c>
      <c r="M157" s="88">
        <v>2.5600000000000001E-2</v>
      </c>
      <c r="N157" s="84">
        <v>75433.34</v>
      </c>
      <c r="O157" s="86">
        <v>98.03</v>
      </c>
      <c r="P157" s="84">
        <v>287.12261000000001</v>
      </c>
      <c r="Q157" s="85">
        <f t="shared" si="3"/>
        <v>2.6289895755925521E-2</v>
      </c>
      <c r="R157" s="85">
        <f>P157/'סכום נכסי הקרן'!$C$42</f>
        <v>1.0055829627933744E-3</v>
      </c>
    </row>
    <row r="158" spans="2:18">
      <c r="B158" s="77" t="s">
        <v>1607</v>
      </c>
      <c r="C158" s="87" t="s">
        <v>1544</v>
      </c>
      <c r="D158" s="74">
        <v>7384</v>
      </c>
      <c r="E158" s="74"/>
      <c r="F158" s="74" t="s">
        <v>690</v>
      </c>
      <c r="G158" s="96">
        <v>43861</v>
      </c>
      <c r="H158" s="74"/>
      <c r="I158" s="84">
        <v>5.8999999999999995</v>
      </c>
      <c r="J158" s="87" t="s">
        <v>1549</v>
      </c>
      <c r="K158" s="87" t="s">
        <v>156</v>
      </c>
      <c r="L158" s="88">
        <v>2.6249999999999999E-2</v>
      </c>
      <c r="M158" s="88">
        <v>2.6499999999999999E-2</v>
      </c>
      <c r="N158" s="84">
        <v>340.75</v>
      </c>
      <c r="O158" s="86">
        <v>100.2</v>
      </c>
      <c r="P158" s="84">
        <v>1.3257000000000001</v>
      </c>
      <c r="Q158" s="85">
        <f t="shared" si="3"/>
        <v>1.2138547641243044E-4</v>
      </c>
      <c r="R158" s="85">
        <f>P158/'סכום נכסי הקרן'!$C$42</f>
        <v>4.6429688479607255E-6</v>
      </c>
    </row>
    <row r="159" spans="2:18">
      <c r="B159" s="77" t="s">
        <v>1607</v>
      </c>
      <c r="C159" s="87" t="s">
        <v>1544</v>
      </c>
      <c r="D159" s="74">
        <v>76091</v>
      </c>
      <c r="E159" s="74"/>
      <c r="F159" s="74" t="s">
        <v>690</v>
      </c>
      <c r="G159" s="96">
        <v>43937</v>
      </c>
      <c r="H159" s="74"/>
      <c r="I159" s="84">
        <v>5.9</v>
      </c>
      <c r="J159" s="87" t="s">
        <v>1549</v>
      </c>
      <c r="K159" s="87" t="s">
        <v>156</v>
      </c>
      <c r="L159" s="88">
        <v>2.6249999999999999E-2</v>
      </c>
      <c r="M159" s="88">
        <v>2.6800000000000001E-2</v>
      </c>
      <c r="N159" s="84">
        <v>1205.4100000000001</v>
      </c>
      <c r="O159" s="86">
        <v>100.06</v>
      </c>
      <c r="P159" s="84">
        <v>4.6832000000000003</v>
      </c>
      <c r="Q159" s="85">
        <f t="shared" si="3"/>
        <v>4.2880928048177886E-4</v>
      </c>
      <c r="R159" s="85">
        <f>P159/'סכום נכסי הקרן'!$C$42</f>
        <v>1.6401864455585478E-5</v>
      </c>
    </row>
    <row r="160" spans="2:18">
      <c r="B160" s="77" t="s">
        <v>1607</v>
      </c>
      <c r="C160" s="87" t="s">
        <v>1544</v>
      </c>
      <c r="D160" s="74">
        <v>7385</v>
      </c>
      <c r="E160" s="74"/>
      <c r="F160" s="74" t="s">
        <v>690</v>
      </c>
      <c r="G160" s="96">
        <v>43861</v>
      </c>
      <c r="H160" s="74"/>
      <c r="I160" s="84">
        <v>5.84</v>
      </c>
      <c r="J160" s="87" t="s">
        <v>1549</v>
      </c>
      <c r="K160" s="87" t="s">
        <v>157</v>
      </c>
      <c r="L160" s="88">
        <v>3.0158999999999998E-2</v>
      </c>
      <c r="M160" s="88">
        <v>3.2300000000000002E-2</v>
      </c>
      <c r="N160" s="84">
        <v>1110.93</v>
      </c>
      <c r="O160" s="86">
        <v>98.98</v>
      </c>
      <c r="P160" s="84">
        <v>4.6778000000000004</v>
      </c>
      <c r="Q160" s="85">
        <f t="shared" si="3"/>
        <v>4.2831483862266508E-4</v>
      </c>
      <c r="R160" s="85">
        <f>P160/'סכום נכסי הקרן'!$C$42</f>
        <v>1.6382952158852441E-5</v>
      </c>
    </row>
    <row r="161" spans="2:18">
      <c r="B161" s="77" t="s">
        <v>1607</v>
      </c>
      <c r="C161" s="87" t="s">
        <v>1544</v>
      </c>
      <c r="D161" s="74">
        <v>7610</v>
      </c>
      <c r="E161" s="74"/>
      <c r="F161" s="74" t="s">
        <v>690</v>
      </c>
      <c r="G161" s="96">
        <v>43937</v>
      </c>
      <c r="H161" s="74"/>
      <c r="I161" s="84">
        <v>5.83</v>
      </c>
      <c r="J161" s="87" t="s">
        <v>1549</v>
      </c>
      <c r="K161" s="87" t="s">
        <v>157</v>
      </c>
      <c r="L161" s="88">
        <v>3.0158999999999998E-2</v>
      </c>
      <c r="M161" s="88">
        <v>3.2300000000000002E-2</v>
      </c>
      <c r="N161" s="84">
        <v>1720.65</v>
      </c>
      <c r="O161" s="86">
        <v>98.99</v>
      </c>
      <c r="P161" s="84">
        <v>7.2458800000000005</v>
      </c>
      <c r="Q161" s="85">
        <f t="shared" si="3"/>
        <v>6.6345673668801505E-4</v>
      </c>
      <c r="R161" s="85">
        <f>P161/'סכום נכסי הקרן'!$C$42</f>
        <v>2.5377080120737465E-5</v>
      </c>
    </row>
    <row r="162" spans="2:18">
      <c r="B162" s="77" t="s">
        <v>1607</v>
      </c>
      <c r="C162" s="87" t="s">
        <v>1544</v>
      </c>
      <c r="D162" s="74">
        <v>7276</v>
      </c>
      <c r="E162" s="74"/>
      <c r="F162" s="74" t="s">
        <v>690</v>
      </c>
      <c r="G162" s="96">
        <v>43788</v>
      </c>
      <c r="H162" s="74"/>
      <c r="I162" s="84">
        <v>5.8999999999999995</v>
      </c>
      <c r="J162" s="87" t="s">
        <v>1549</v>
      </c>
      <c r="K162" s="87" t="s">
        <v>156</v>
      </c>
      <c r="L162" s="88">
        <v>2.6249999999999999E-2</v>
      </c>
      <c r="M162" s="88">
        <v>2.6499999999999999E-2</v>
      </c>
      <c r="N162" s="84">
        <v>14858.88</v>
      </c>
      <c r="O162" s="86">
        <v>100.2</v>
      </c>
      <c r="P162" s="84">
        <v>57.809410000000007</v>
      </c>
      <c r="Q162" s="85">
        <f t="shared" si="3"/>
        <v>5.2932207693833604E-3</v>
      </c>
      <c r="R162" s="85">
        <f>P162/'סכום נכסי הקרן'!$C$42</f>
        <v>2.0246457701515369E-4</v>
      </c>
    </row>
    <row r="163" spans="2:18">
      <c r="B163" s="77" t="s">
        <v>1607</v>
      </c>
      <c r="C163" s="87" t="s">
        <v>1544</v>
      </c>
      <c r="D163" s="74">
        <v>7275</v>
      </c>
      <c r="E163" s="74"/>
      <c r="F163" s="74" t="s">
        <v>690</v>
      </c>
      <c r="G163" s="96">
        <v>43788</v>
      </c>
      <c r="H163" s="74"/>
      <c r="I163" s="84">
        <v>5.839999999999999</v>
      </c>
      <c r="J163" s="87" t="s">
        <v>1549</v>
      </c>
      <c r="K163" s="87" t="s">
        <v>157</v>
      </c>
      <c r="L163" s="88">
        <v>3.0158999999999998E-2</v>
      </c>
      <c r="M163" s="88">
        <v>3.2300000000000002E-2</v>
      </c>
      <c r="N163" s="84">
        <v>13962.85</v>
      </c>
      <c r="O163" s="86">
        <v>98.98</v>
      </c>
      <c r="P163" s="84">
        <v>58.793489999999998</v>
      </c>
      <c r="Q163" s="85">
        <f t="shared" si="3"/>
        <v>5.3833263887753374E-3</v>
      </c>
      <c r="R163" s="85">
        <f>P163/'סכום נכסי הקרן'!$C$42</f>
        <v>2.0591109793534766E-4</v>
      </c>
    </row>
    <row r="164" spans="2:18">
      <c r="B164" s="77" t="s">
        <v>1608</v>
      </c>
      <c r="C164" s="87" t="s">
        <v>1544</v>
      </c>
      <c r="D164" s="74">
        <v>72808</v>
      </c>
      <c r="E164" s="74"/>
      <c r="F164" s="74" t="s">
        <v>690</v>
      </c>
      <c r="G164" s="96">
        <v>43797</v>
      </c>
      <c r="H164" s="74"/>
      <c r="I164" s="84">
        <v>5.99</v>
      </c>
      <c r="J164" s="87" t="s">
        <v>914</v>
      </c>
      <c r="K164" s="87" t="s">
        <v>154</v>
      </c>
      <c r="L164" s="88">
        <v>3.1800000000000002E-2</v>
      </c>
      <c r="M164" s="88">
        <v>2.92E-2</v>
      </c>
      <c r="N164" s="84">
        <v>1318.14</v>
      </c>
      <c r="O164" s="86">
        <v>103.21</v>
      </c>
      <c r="P164" s="84">
        <v>4.7153199999999993</v>
      </c>
      <c r="Q164" s="85">
        <f t="shared" si="3"/>
        <v>4.3175029391043327E-4</v>
      </c>
      <c r="R164" s="85">
        <f>P164/'סכום נכסי הקרן'!$C$42</f>
        <v>1.6514357598375321E-5</v>
      </c>
    </row>
    <row r="165" spans="2:18">
      <c r="B165" s="77" t="s">
        <v>1608</v>
      </c>
      <c r="C165" s="87" t="s">
        <v>1544</v>
      </c>
      <c r="D165" s="74">
        <v>7386</v>
      </c>
      <c r="E165" s="74"/>
      <c r="F165" s="74" t="s">
        <v>690</v>
      </c>
      <c r="G165" s="96">
        <v>43861</v>
      </c>
      <c r="H165" s="74"/>
      <c r="I165" s="84">
        <v>5.99</v>
      </c>
      <c r="J165" s="87" t="s">
        <v>914</v>
      </c>
      <c r="K165" s="87" t="s">
        <v>154</v>
      </c>
      <c r="L165" s="88">
        <v>3.1800000000000002E-2</v>
      </c>
      <c r="M165" s="88">
        <v>2.92E-2</v>
      </c>
      <c r="N165" s="84">
        <v>3544.22</v>
      </c>
      <c r="O165" s="86">
        <v>103.21</v>
      </c>
      <c r="P165" s="84">
        <v>12.67859</v>
      </c>
      <c r="Q165" s="85">
        <f t="shared" si="3"/>
        <v>1.1608936315817126E-3</v>
      </c>
      <c r="R165" s="85">
        <f>P165/'סכום נכסי הקרן'!$C$42</f>
        <v>4.4403936340096829E-5</v>
      </c>
    </row>
    <row r="166" spans="2:18">
      <c r="B166" s="77" t="s">
        <v>1608</v>
      </c>
      <c r="C166" s="87" t="s">
        <v>1544</v>
      </c>
      <c r="D166" s="74">
        <v>7535</v>
      </c>
      <c r="E166" s="74"/>
      <c r="F166" s="74" t="s">
        <v>690</v>
      </c>
      <c r="G166" s="96">
        <v>43921</v>
      </c>
      <c r="H166" s="74"/>
      <c r="I166" s="84">
        <v>5.99</v>
      </c>
      <c r="J166" s="87" t="s">
        <v>914</v>
      </c>
      <c r="K166" s="87" t="s">
        <v>154</v>
      </c>
      <c r="L166" s="88">
        <v>3.1800000000000002E-2</v>
      </c>
      <c r="M166" s="88">
        <v>2.92E-2</v>
      </c>
      <c r="N166" s="84">
        <v>3921.41</v>
      </c>
      <c r="O166" s="86">
        <v>103.21</v>
      </c>
      <c r="P166" s="84">
        <v>14.027899999999999</v>
      </c>
      <c r="Q166" s="85">
        <f t="shared" si="3"/>
        <v>1.284440917678157E-3</v>
      </c>
      <c r="R166" s="85">
        <f>P166/'סכום נכסי הקרן'!$C$42</f>
        <v>4.9129593952106997E-5</v>
      </c>
    </row>
    <row r="167" spans="2:18">
      <c r="B167" s="77" t="s">
        <v>1608</v>
      </c>
      <c r="C167" s="87" t="s">
        <v>1544</v>
      </c>
      <c r="D167" s="74">
        <v>7645</v>
      </c>
      <c r="E167" s="74"/>
      <c r="F167" s="74" t="s">
        <v>690</v>
      </c>
      <c r="G167" s="96">
        <v>43951</v>
      </c>
      <c r="H167" s="74"/>
      <c r="I167" s="84">
        <v>5.9899999999999993</v>
      </c>
      <c r="J167" s="87" t="s">
        <v>914</v>
      </c>
      <c r="K167" s="87" t="s">
        <v>154</v>
      </c>
      <c r="L167" s="88">
        <v>3.1800000000000002E-2</v>
      </c>
      <c r="M167" s="88">
        <v>2.92E-2</v>
      </c>
      <c r="N167" s="84">
        <v>3360.98</v>
      </c>
      <c r="O167" s="86">
        <v>103.21</v>
      </c>
      <c r="P167" s="84">
        <v>12.023110000000001</v>
      </c>
      <c r="Q167" s="85">
        <f t="shared" si="3"/>
        <v>1.1008757149498804E-3</v>
      </c>
      <c r="R167" s="85">
        <f>P167/'סכום נכסי הקרן'!$C$42</f>
        <v>4.2108263698879895E-5</v>
      </c>
    </row>
    <row r="168" spans="2:18">
      <c r="B168" s="77" t="s">
        <v>1608</v>
      </c>
      <c r="C168" s="87" t="s">
        <v>1544</v>
      </c>
      <c r="D168" s="74">
        <v>7778</v>
      </c>
      <c r="E168" s="74"/>
      <c r="F168" s="74" t="s">
        <v>690</v>
      </c>
      <c r="G168" s="96">
        <v>44012</v>
      </c>
      <c r="H168" s="74"/>
      <c r="I168" s="84">
        <v>5.97</v>
      </c>
      <c r="J168" s="87" t="s">
        <v>914</v>
      </c>
      <c r="K168" s="87" t="s">
        <v>154</v>
      </c>
      <c r="L168" s="88">
        <v>3.1709999999999995E-2</v>
      </c>
      <c r="M168" s="88">
        <v>3.4599999999999999E-2</v>
      </c>
      <c r="N168" s="84">
        <v>5145.91</v>
      </c>
      <c r="O168" s="86">
        <v>100</v>
      </c>
      <c r="P168" s="84">
        <v>17.835720000000002</v>
      </c>
      <c r="Q168" s="85">
        <f t="shared" si="3"/>
        <v>1.6330975102653044E-3</v>
      </c>
      <c r="R168" s="85">
        <f>P168/'סכום נכסי הקרן'!$C$42</f>
        <v>6.2465635016180189E-5</v>
      </c>
    </row>
    <row r="169" spans="2:18">
      <c r="B169" s="77" t="s">
        <v>1608</v>
      </c>
      <c r="C169" s="87" t="s">
        <v>1544</v>
      </c>
      <c r="D169" s="74">
        <v>7125</v>
      </c>
      <c r="E169" s="74"/>
      <c r="F169" s="74" t="s">
        <v>690</v>
      </c>
      <c r="G169" s="96">
        <v>43706</v>
      </c>
      <c r="H169" s="74"/>
      <c r="I169" s="84">
        <v>5.9900000000000011</v>
      </c>
      <c r="J169" s="87" t="s">
        <v>914</v>
      </c>
      <c r="K169" s="87" t="s">
        <v>154</v>
      </c>
      <c r="L169" s="88">
        <v>3.1800000000000002E-2</v>
      </c>
      <c r="M169" s="88">
        <v>2.92E-2</v>
      </c>
      <c r="N169" s="84">
        <v>3077.63</v>
      </c>
      <c r="O169" s="86">
        <v>103.21</v>
      </c>
      <c r="P169" s="84">
        <v>11.009469999999999</v>
      </c>
      <c r="Q169" s="85">
        <f t="shared" si="3"/>
        <v>1.0080634841957911E-3</v>
      </c>
      <c r="R169" s="85">
        <f>P169/'סכום נכסי הקרן'!$C$42</f>
        <v>3.8558215465458368E-5</v>
      </c>
    </row>
    <row r="170" spans="2:18">
      <c r="B170" s="77" t="s">
        <v>1608</v>
      </c>
      <c r="C170" s="87" t="s">
        <v>1544</v>
      </c>
      <c r="D170" s="74">
        <v>7204</v>
      </c>
      <c r="E170" s="74"/>
      <c r="F170" s="74" t="s">
        <v>690</v>
      </c>
      <c r="G170" s="96">
        <v>43738</v>
      </c>
      <c r="H170" s="74"/>
      <c r="I170" s="84">
        <v>5.99</v>
      </c>
      <c r="J170" s="87" t="s">
        <v>914</v>
      </c>
      <c r="K170" s="87" t="s">
        <v>154</v>
      </c>
      <c r="L170" s="88">
        <v>3.1800000000000002E-2</v>
      </c>
      <c r="M170" s="88">
        <v>2.9200000000000004E-2</v>
      </c>
      <c r="N170" s="84">
        <v>1515.21</v>
      </c>
      <c r="O170" s="86">
        <v>103.21</v>
      </c>
      <c r="P170" s="84">
        <v>5.4203000000000001</v>
      </c>
      <c r="Q170" s="85">
        <f t="shared" si="3"/>
        <v>4.9630059425080837E-4</v>
      </c>
      <c r="R170" s="85">
        <f>P170/'סכום נכסי הקרן'!$C$42</f>
        <v>1.8983392959645107E-5</v>
      </c>
    </row>
    <row r="171" spans="2:18">
      <c r="B171" s="77" t="s">
        <v>1608</v>
      </c>
      <c r="C171" s="87" t="s">
        <v>1544</v>
      </c>
      <c r="D171" s="74">
        <v>7246</v>
      </c>
      <c r="E171" s="74"/>
      <c r="F171" s="74" t="s">
        <v>690</v>
      </c>
      <c r="G171" s="96">
        <v>43769</v>
      </c>
      <c r="H171" s="74"/>
      <c r="I171" s="84">
        <v>5.99</v>
      </c>
      <c r="J171" s="87" t="s">
        <v>914</v>
      </c>
      <c r="K171" s="87" t="s">
        <v>154</v>
      </c>
      <c r="L171" s="88">
        <v>3.1800000000000002E-2</v>
      </c>
      <c r="M171" s="88">
        <v>2.9200000000000004E-2</v>
      </c>
      <c r="N171" s="84">
        <v>2868.16</v>
      </c>
      <c r="O171" s="86">
        <v>103.21</v>
      </c>
      <c r="P171" s="84">
        <v>10.260159999999999</v>
      </c>
      <c r="Q171" s="85">
        <f t="shared" si="3"/>
        <v>9.3945418244532105E-4</v>
      </c>
      <c r="R171" s="85">
        <f>P171/'סכום נכסי הקרן'!$C$42</f>
        <v>3.5933924157119039E-5</v>
      </c>
    </row>
    <row r="172" spans="2:18">
      <c r="B172" s="77" t="s">
        <v>1608</v>
      </c>
      <c r="C172" s="87" t="s">
        <v>1544</v>
      </c>
      <c r="D172" s="74">
        <v>7280</v>
      </c>
      <c r="E172" s="74"/>
      <c r="F172" s="74" t="s">
        <v>690</v>
      </c>
      <c r="G172" s="96">
        <v>43798</v>
      </c>
      <c r="H172" s="74"/>
      <c r="I172" s="84">
        <v>5.99</v>
      </c>
      <c r="J172" s="87" t="s">
        <v>914</v>
      </c>
      <c r="K172" s="87" t="s">
        <v>154</v>
      </c>
      <c r="L172" s="88">
        <v>3.1800000000000002E-2</v>
      </c>
      <c r="M172" s="88">
        <v>2.9200000000000004E-2</v>
      </c>
      <c r="N172" s="84">
        <v>518.4</v>
      </c>
      <c r="O172" s="86">
        <v>103.21</v>
      </c>
      <c r="P172" s="84">
        <v>1.8544500000000002</v>
      </c>
      <c r="Q172" s="85">
        <f t="shared" si="3"/>
        <v>1.6979957511732038E-4</v>
      </c>
      <c r="R172" s="85">
        <f>P172/'סכום נכסי הקרן'!$C$42</f>
        <v>6.494797903070655E-6</v>
      </c>
    </row>
    <row r="173" spans="2:18">
      <c r="B173" s="77" t="s">
        <v>1608</v>
      </c>
      <c r="C173" s="87" t="s">
        <v>1544</v>
      </c>
      <c r="D173" s="74">
        <v>7337</v>
      </c>
      <c r="E173" s="74"/>
      <c r="F173" s="74" t="s">
        <v>690</v>
      </c>
      <c r="G173" s="96">
        <v>43830</v>
      </c>
      <c r="H173" s="74"/>
      <c r="I173" s="84">
        <v>5.9899999999999993</v>
      </c>
      <c r="J173" s="87" t="s">
        <v>914</v>
      </c>
      <c r="K173" s="87" t="s">
        <v>154</v>
      </c>
      <c r="L173" s="88">
        <v>3.1800000000000002E-2</v>
      </c>
      <c r="M173" s="88">
        <v>2.92E-2</v>
      </c>
      <c r="N173" s="84">
        <v>3478.46</v>
      </c>
      <c r="O173" s="86">
        <v>103.21</v>
      </c>
      <c r="P173" s="84">
        <v>12.44336</v>
      </c>
      <c r="Q173" s="85">
        <f t="shared" si="3"/>
        <v>1.1393551948188734E-3</v>
      </c>
      <c r="R173" s="85">
        <f>P173/'סכום נכסי הקרן'!$C$42</f>
        <v>4.3580095680742679E-5</v>
      </c>
    </row>
    <row r="174" spans="2:18">
      <c r="B174" s="77" t="s">
        <v>1609</v>
      </c>
      <c r="C174" s="87" t="s">
        <v>1544</v>
      </c>
      <c r="D174" s="74">
        <v>7533</v>
      </c>
      <c r="E174" s="74"/>
      <c r="F174" s="74" t="s">
        <v>690</v>
      </c>
      <c r="G174" s="96">
        <v>43921</v>
      </c>
      <c r="H174" s="74"/>
      <c r="I174" s="84">
        <v>5.62</v>
      </c>
      <c r="J174" s="87" t="s">
        <v>914</v>
      </c>
      <c r="K174" s="87" t="s">
        <v>154</v>
      </c>
      <c r="L174" s="88">
        <v>3.3078999999999997E-2</v>
      </c>
      <c r="M174" s="88">
        <v>2.9099999999999997E-2</v>
      </c>
      <c r="N174" s="84">
        <v>954.74</v>
      </c>
      <c r="O174" s="86">
        <v>102.65</v>
      </c>
      <c r="P174" s="84">
        <v>3.39682</v>
      </c>
      <c r="Q174" s="85">
        <f t="shared" si="3"/>
        <v>3.1102407331015457E-4</v>
      </c>
      <c r="R174" s="85">
        <f>P174/'סכום נכסי הקרן'!$C$42</f>
        <v>1.1896605146058647E-5</v>
      </c>
    </row>
    <row r="175" spans="2:18">
      <c r="B175" s="77" t="s">
        <v>1609</v>
      </c>
      <c r="C175" s="87" t="s">
        <v>1544</v>
      </c>
      <c r="D175" s="74">
        <v>7647</v>
      </c>
      <c r="E175" s="74"/>
      <c r="F175" s="74" t="s">
        <v>690</v>
      </c>
      <c r="G175" s="96">
        <v>43955</v>
      </c>
      <c r="H175" s="74"/>
      <c r="I175" s="84">
        <v>5.6199999999999992</v>
      </c>
      <c r="J175" s="87" t="s">
        <v>914</v>
      </c>
      <c r="K175" s="87" t="s">
        <v>154</v>
      </c>
      <c r="L175" s="88">
        <v>3.1800000000000002E-2</v>
      </c>
      <c r="M175" s="88">
        <v>2.8099999999999997E-2</v>
      </c>
      <c r="N175" s="84">
        <v>3628</v>
      </c>
      <c r="O175" s="86">
        <v>102.65</v>
      </c>
      <c r="P175" s="84">
        <v>12.907870000000001</v>
      </c>
      <c r="Q175" s="85">
        <f t="shared" si="3"/>
        <v>1.1818872666664543E-3</v>
      </c>
      <c r="R175" s="85">
        <f>P175/'סכום נכסי הקרן'!$C$42</f>
        <v>4.5206938450272916E-5</v>
      </c>
    </row>
    <row r="176" spans="2:18">
      <c r="B176" s="77" t="s">
        <v>1609</v>
      </c>
      <c r="C176" s="87" t="s">
        <v>1544</v>
      </c>
      <c r="D176" s="74">
        <v>7713</v>
      </c>
      <c r="E176" s="74"/>
      <c r="F176" s="74" t="s">
        <v>690</v>
      </c>
      <c r="G176" s="96">
        <v>43987</v>
      </c>
      <c r="H176" s="74"/>
      <c r="I176" s="84">
        <v>5.62</v>
      </c>
      <c r="J176" s="87" t="s">
        <v>914</v>
      </c>
      <c r="K176" s="87" t="s">
        <v>154</v>
      </c>
      <c r="L176" s="88">
        <v>3.1800000000000002E-2</v>
      </c>
      <c r="M176" s="88">
        <v>2.7699999999999999E-2</v>
      </c>
      <c r="N176" s="84">
        <v>5561.35</v>
      </c>
      <c r="O176" s="86">
        <v>102.88</v>
      </c>
      <c r="P176" s="84">
        <v>19.830759999999998</v>
      </c>
      <c r="Q176" s="85">
        <f t="shared" si="3"/>
        <v>1.8157699707479586E-3</v>
      </c>
      <c r="R176" s="85">
        <f>P176/'סכום נכסי הקרן'!$C$42</f>
        <v>6.9452818066972628E-5</v>
      </c>
    </row>
    <row r="177" spans="2:18">
      <c r="B177" s="77" t="s">
        <v>1609</v>
      </c>
      <c r="C177" s="87" t="s">
        <v>1544</v>
      </c>
      <c r="D177" s="74">
        <v>6954</v>
      </c>
      <c r="E177" s="74"/>
      <c r="F177" s="74" t="s">
        <v>690</v>
      </c>
      <c r="G177" s="96">
        <v>43593</v>
      </c>
      <c r="H177" s="74"/>
      <c r="I177" s="84">
        <v>5.62</v>
      </c>
      <c r="J177" s="87" t="s">
        <v>914</v>
      </c>
      <c r="K177" s="87" t="s">
        <v>154</v>
      </c>
      <c r="L177" s="88">
        <v>3.3078999999999997E-2</v>
      </c>
      <c r="M177" s="88">
        <v>2.9100000000000001E-2</v>
      </c>
      <c r="N177" s="84">
        <v>4439.54</v>
      </c>
      <c r="O177" s="86">
        <v>102.65</v>
      </c>
      <c r="P177" s="84">
        <v>15.795219999999999</v>
      </c>
      <c r="Q177" s="85">
        <f t="shared" si="3"/>
        <v>1.4462625818353694E-3</v>
      </c>
      <c r="R177" s="85">
        <f>P177/'סכום נכסי הקרן'!$C$42</f>
        <v>5.5319238445112915E-5</v>
      </c>
    </row>
    <row r="178" spans="2:18">
      <c r="B178" s="77" t="s">
        <v>1609</v>
      </c>
      <c r="C178" s="87" t="s">
        <v>1544</v>
      </c>
      <c r="D178" s="74">
        <v>7347</v>
      </c>
      <c r="E178" s="74"/>
      <c r="F178" s="74" t="s">
        <v>690</v>
      </c>
      <c r="G178" s="96">
        <v>43836</v>
      </c>
      <c r="H178" s="74"/>
      <c r="I178" s="84">
        <v>5.5699999999999994</v>
      </c>
      <c r="J178" s="87" t="s">
        <v>914</v>
      </c>
      <c r="K178" s="87" t="s">
        <v>154</v>
      </c>
      <c r="L178" s="88">
        <v>4.2099999999999999E-2</v>
      </c>
      <c r="M178" s="88">
        <v>3.0600000000000002E-2</v>
      </c>
      <c r="N178" s="84">
        <v>16946.59</v>
      </c>
      <c r="O178" s="86">
        <v>102.65</v>
      </c>
      <c r="P178" s="84">
        <v>60.293390000000002</v>
      </c>
      <c r="Q178" s="85">
        <f t="shared" si="3"/>
        <v>5.5206621933095489E-3</v>
      </c>
      <c r="R178" s="85">
        <f>P178/'סכום נכסי הקרן'!$C$42</f>
        <v>2.1116416346680749E-4</v>
      </c>
    </row>
    <row r="179" spans="2:18">
      <c r="B179" s="77" t="s">
        <v>1609</v>
      </c>
      <c r="C179" s="87" t="s">
        <v>1544</v>
      </c>
      <c r="D179" s="74">
        <v>7399</v>
      </c>
      <c r="E179" s="74"/>
      <c r="F179" s="74" t="s">
        <v>690</v>
      </c>
      <c r="G179" s="96">
        <v>43866</v>
      </c>
      <c r="H179" s="74"/>
      <c r="I179" s="84">
        <v>5.5699999999999994</v>
      </c>
      <c r="J179" s="87" t="s">
        <v>914</v>
      </c>
      <c r="K179" s="87" t="s">
        <v>154</v>
      </c>
      <c r="L179" s="88">
        <v>4.2099999999999999E-2</v>
      </c>
      <c r="M179" s="88">
        <v>3.0600000000000002E-2</v>
      </c>
      <c r="N179" s="84">
        <v>9571.25</v>
      </c>
      <c r="O179" s="86">
        <v>102.65</v>
      </c>
      <c r="P179" s="84">
        <v>34.053069999999998</v>
      </c>
      <c r="Q179" s="85">
        <f t="shared" si="3"/>
        <v>3.1180117109872838E-3</v>
      </c>
      <c r="R179" s="85">
        <f>P179/'סכום נכסי הקרן'!$C$42</f>
        <v>1.1926328972424071E-4</v>
      </c>
    </row>
    <row r="180" spans="2:18">
      <c r="B180" s="77" t="s">
        <v>1609</v>
      </c>
      <c r="C180" s="87" t="s">
        <v>1544</v>
      </c>
      <c r="D180" s="74">
        <v>7471</v>
      </c>
      <c r="E180" s="74"/>
      <c r="F180" s="74" t="s">
        <v>690</v>
      </c>
      <c r="G180" s="96">
        <v>43895</v>
      </c>
      <c r="H180" s="74"/>
      <c r="I180" s="84">
        <v>5.5699999999999994</v>
      </c>
      <c r="J180" s="87" t="s">
        <v>914</v>
      </c>
      <c r="K180" s="87" t="s">
        <v>154</v>
      </c>
      <c r="L180" s="88">
        <v>4.2099999999999999E-2</v>
      </c>
      <c r="M180" s="88">
        <v>3.0600000000000002E-2</v>
      </c>
      <c r="N180" s="84">
        <v>3795.08</v>
      </c>
      <c r="O180" s="86">
        <v>102.65</v>
      </c>
      <c r="P180" s="84">
        <v>13.502330000000001</v>
      </c>
      <c r="Q180" s="85">
        <f t="shared" si="3"/>
        <v>1.2363179902903009E-3</v>
      </c>
      <c r="R180" s="85">
        <f>P180/'סכום נכסי הקרן'!$C$42</f>
        <v>4.7288902138406531E-5</v>
      </c>
    </row>
    <row r="181" spans="2:18">
      <c r="B181" s="77" t="s">
        <v>1609</v>
      </c>
      <c r="C181" s="87" t="s">
        <v>1544</v>
      </c>
      <c r="D181" s="74">
        <v>7587</v>
      </c>
      <c r="E181" s="74"/>
      <c r="F181" s="74" t="s">
        <v>690</v>
      </c>
      <c r="G181" s="96">
        <v>43927</v>
      </c>
      <c r="H181" s="74"/>
      <c r="I181" s="84">
        <v>5.57</v>
      </c>
      <c r="J181" s="87" t="s">
        <v>914</v>
      </c>
      <c r="K181" s="87" t="s">
        <v>154</v>
      </c>
      <c r="L181" s="88">
        <v>4.2099999999999999E-2</v>
      </c>
      <c r="M181" s="88">
        <v>3.0600000000000002E-2</v>
      </c>
      <c r="N181" s="84">
        <v>4153.1099999999997</v>
      </c>
      <c r="O181" s="86">
        <v>102.65</v>
      </c>
      <c r="P181" s="84">
        <v>14.77614</v>
      </c>
      <c r="Q181" s="85">
        <f t="shared" si="3"/>
        <v>1.3529522466898768E-3</v>
      </c>
      <c r="R181" s="85">
        <f>P181/'סכום נכסי הקרן'!$C$42</f>
        <v>5.1750137823871454E-5</v>
      </c>
    </row>
    <row r="182" spans="2:18">
      <c r="B182" s="77" t="s">
        <v>1609</v>
      </c>
      <c r="C182" s="87" t="s">
        <v>1544</v>
      </c>
      <c r="D182" s="74">
        <v>7779</v>
      </c>
      <c r="E182" s="74"/>
      <c r="F182" s="74" t="s">
        <v>690</v>
      </c>
      <c r="G182" s="96">
        <v>44012</v>
      </c>
      <c r="H182" s="74"/>
      <c r="I182" s="84">
        <v>5.6099999999999994</v>
      </c>
      <c r="J182" s="87" t="s">
        <v>914</v>
      </c>
      <c r="K182" s="87" t="s">
        <v>154</v>
      </c>
      <c r="L182" s="88">
        <v>3.3078999999999997E-2</v>
      </c>
      <c r="M182" s="88">
        <v>3.39E-2</v>
      </c>
      <c r="N182" s="84">
        <v>835.4</v>
      </c>
      <c r="O182" s="86">
        <v>100</v>
      </c>
      <c r="P182" s="84">
        <v>2.8955000000000002</v>
      </c>
      <c r="Q182" s="85">
        <f t="shared" si="3"/>
        <v>2.6512155612294815E-4</v>
      </c>
      <c r="R182" s="85">
        <f>P182/'סכום נכסי הקרן'!$C$42</f>
        <v>1.0140843553798205E-5</v>
      </c>
    </row>
    <row r="183" spans="2:18">
      <c r="B183" s="77" t="s">
        <v>1609</v>
      </c>
      <c r="C183" s="87" t="s">
        <v>1544</v>
      </c>
      <c r="D183" s="74">
        <v>7020</v>
      </c>
      <c r="E183" s="74"/>
      <c r="F183" s="74" t="s">
        <v>690</v>
      </c>
      <c r="G183" s="96">
        <v>43643</v>
      </c>
      <c r="H183" s="74"/>
      <c r="I183" s="84">
        <v>5.57</v>
      </c>
      <c r="J183" s="87" t="s">
        <v>914</v>
      </c>
      <c r="K183" s="87" t="s">
        <v>154</v>
      </c>
      <c r="L183" s="88">
        <v>4.2099999999999999E-2</v>
      </c>
      <c r="M183" s="88">
        <v>2.98E-2</v>
      </c>
      <c r="N183" s="84">
        <v>525.11</v>
      </c>
      <c r="O183" s="86">
        <v>102.65</v>
      </c>
      <c r="P183" s="84">
        <v>1.86825</v>
      </c>
      <c r="Q183" s="85">
        <f t="shared" si="3"/>
        <v>1.7106314875727779E-4</v>
      </c>
      <c r="R183" s="85">
        <f>P183/'סכום נכסי הקרן'!$C$42</f>
        <v>6.5431293280550831E-6</v>
      </c>
    </row>
    <row r="184" spans="2:18">
      <c r="B184" s="77" t="s">
        <v>1609</v>
      </c>
      <c r="C184" s="87" t="s">
        <v>1544</v>
      </c>
      <c r="D184" s="74">
        <v>7301</v>
      </c>
      <c r="E184" s="74"/>
      <c r="F184" s="74" t="s">
        <v>690</v>
      </c>
      <c r="G184" s="96">
        <v>43804</v>
      </c>
      <c r="H184" s="74"/>
      <c r="I184" s="84">
        <v>5.55</v>
      </c>
      <c r="J184" s="87" t="s">
        <v>914</v>
      </c>
      <c r="K184" s="87" t="s">
        <v>154</v>
      </c>
      <c r="L184" s="88">
        <v>4.2099999999999999E-2</v>
      </c>
      <c r="M184" s="88">
        <v>3.0699999999999998E-2</v>
      </c>
      <c r="N184" s="84">
        <v>7160.53</v>
      </c>
      <c r="O184" s="86">
        <v>102.65</v>
      </c>
      <c r="P184" s="84">
        <v>25.47607</v>
      </c>
      <c r="Q184" s="85">
        <f t="shared" si="3"/>
        <v>2.33267322476158E-3</v>
      </c>
      <c r="R184" s="85">
        <f>P184/'סכום נכסי הקרן'!$C$42</f>
        <v>8.9224258413266031E-5</v>
      </c>
    </row>
    <row r="185" spans="2:18">
      <c r="B185" s="77" t="s">
        <v>1609</v>
      </c>
      <c r="C185" s="87" t="s">
        <v>1544</v>
      </c>
      <c r="D185" s="74">
        <v>7336</v>
      </c>
      <c r="E185" s="74"/>
      <c r="F185" s="74" t="s">
        <v>690</v>
      </c>
      <c r="G185" s="96">
        <v>43830</v>
      </c>
      <c r="H185" s="74"/>
      <c r="I185" s="84">
        <v>5.57</v>
      </c>
      <c r="J185" s="87" t="s">
        <v>914</v>
      </c>
      <c r="K185" s="87" t="s">
        <v>154</v>
      </c>
      <c r="L185" s="88">
        <v>4.2099999999999999E-2</v>
      </c>
      <c r="M185" s="88">
        <v>2.9500000000000002E-2</v>
      </c>
      <c r="N185" s="84">
        <v>477.37</v>
      </c>
      <c r="O185" s="86">
        <v>102.65</v>
      </c>
      <c r="P185" s="84">
        <v>1.69841</v>
      </c>
      <c r="Q185" s="85">
        <f t="shared" si="3"/>
        <v>1.5551203665507729E-4</v>
      </c>
      <c r="R185" s="85">
        <f>P185/'סכום נכסי הקרן'!$C$42</f>
        <v>5.9483025730293236E-6</v>
      </c>
    </row>
    <row r="186" spans="2:18">
      <c r="B186" s="77" t="s">
        <v>1610</v>
      </c>
      <c r="C186" s="87" t="s">
        <v>1544</v>
      </c>
      <c r="D186" s="74">
        <v>7319</v>
      </c>
      <c r="E186" s="74"/>
      <c r="F186" s="74" t="s">
        <v>690</v>
      </c>
      <c r="G186" s="96">
        <v>43818</v>
      </c>
      <c r="H186" s="74"/>
      <c r="I186" s="84">
        <v>2.1599999999999997</v>
      </c>
      <c r="J186" s="87" t="s">
        <v>1140</v>
      </c>
      <c r="K186" s="87" t="s">
        <v>154</v>
      </c>
      <c r="L186" s="88">
        <v>2.1729999999999999E-2</v>
      </c>
      <c r="M186" s="88">
        <v>3.7100000000000001E-2</v>
      </c>
      <c r="N186" s="84">
        <v>110319.69</v>
      </c>
      <c r="O186" s="86">
        <v>97.08</v>
      </c>
      <c r="P186" s="84">
        <v>371.20290999999997</v>
      </c>
      <c r="Q186" s="85">
        <f t="shared" si="3"/>
        <v>3.3988566097933569E-2</v>
      </c>
      <c r="R186" s="85">
        <f>P186/'סכום נכסי הקרן'!$C$42</f>
        <v>1.3000554781642669E-3</v>
      </c>
    </row>
    <row r="187" spans="2:18">
      <c r="B187" s="77" t="s">
        <v>1610</v>
      </c>
      <c r="C187" s="87" t="s">
        <v>1544</v>
      </c>
      <c r="D187" s="74">
        <v>7320</v>
      </c>
      <c r="E187" s="74"/>
      <c r="F187" s="74" t="s">
        <v>690</v>
      </c>
      <c r="G187" s="96">
        <v>43819</v>
      </c>
      <c r="H187" s="74"/>
      <c r="I187" s="84">
        <v>2.16</v>
      </c>
      <c r="J187" s="87" t="s">
        <v>1140</v>
      </c>
      <c r="K187" s="87" t="s">
        <v>154</v>
      </c>
      <c r="L187" s="88">
        <v>2.1729999999999999E-2</v>
      </c>
      <c r="M187" s="88">
        <v>3.7100000000000001E-2</v>
      </c>
      <c r="N187" s="84">
        <v>3367.53</v>
      </c>
      <c r="O187" s="86">
        <v>97.08</v>
      </c>
      <c r="P187" s="84">
        <v>11.331049999999999</v>
      </c>
      <c r="Q187" s="85">
        <f t="shared" si="3"/>
        <v>1.0375084125390885E-3</v>
      </c>
      <c r="R187" s="85">
        <f>P187/'סכום נכסי הקרן'!$C$42</f>
        <v>3.9684477758682484E-5</v>
      </c>
    </row>
    <row r="188" spans="2:18">
      <c r="B188" s="77" t="s">
        <v>1610</v>
      </c>
      <c r="C188" s="87" t="s">
        <v>1544</v>
      </c>
      <c r="D188" s="74">
        <v>7441</v>
      </c>
      <c r="E188" s="74"/>
      <c r="F188" s="74" t="s">
        <v>690</v>
      </c>
      <c r="G188" s="96">
        <v>43885</v>
      </c>
      <c r="H188" s="74"/>
      <c r="I188" s="84">
        <v>2.16</v>
      </c>
      <c r="J188" s="87" t="s">
        <v>1140</v>
      </c>
      <c r="K188" s="87" t="s">
        <v>154</v>
      </c>
      <c r="L188" s="88">
        <v>2.1729999999999999E-2</v>
      </c>
      <c r="M188" s="88">
        <v>3.7100000000000001E-2</v>
      </c>
      <c r="N188" s="84">
        <v>938.39</v>
      </c>
      <c r="O188" s="86">
        <v>97.08</v>
      </c>
      <c r="P188" s="84">
        <v>3.1574899999999997</v>
      </c>
      <c r="Q188" s="85">
        <f t="shared" si="3"/>
        <v>2.891102269876178E-4</v>
      </c>
      <c r="R188" s="85">
        <f>P188/'סכום נכסי הקרן'!$C$42</f>
        <v>1.1058405150296075E-5</v>
      </c>
    </row>
    <row r="189" spans="2:18">
      <c r="B189" s="77" t="s">
        <v>1610</v>
      </c>
      <c r="C189" s="87" t="s">
        <v>1544</v>
      </c>
      <c r="D189" s="74">
        <v>7568</v>
      </c>
      <c r="E189" s="74"/>
      <c r="F189" s="74" t="s">
        <v>690</v>
      </c>
      <c r="G189" s="96">
        <v>43922</v>
      </c>
      <c r="H189" s="74"/>
      <c r="I189" s="84">
        <v>2.1599999999999997</v>
      </c>
      <c r="J189" s="87" t="s">
        <v>1140</v>
      </c>
      <c r="K189" s="87" t="s">
        <v>154</v>
      </c>
      <c r="L189" s="88">
        <v>2.1729999999999999E-2</v>
      </c>
      <c r="M189" s="88">
        <v>3.7099999999999994E-2</v>
      </c>
      <c r="N189" s="84">
        <v>309.8</v>
      </c>
      <c r="O189" s="86">
        <v>97.08</v>
      </c>
      <c r="P189" s="84">
        <v>1.0423900000000001</v>
      </c>
      <c r="Q189" s="85">
        <f t="shared" si="3"/>
        <v>9.5444675837333772E-5</v>
      </c>
      <c r="R189" s="85">
        <f>P189/'סכום נכסי הקרן'!$C$42</f>
        <v>3.6507387021390816E-6</v>
      </c>
    </row>
    <row r="190" spans="2:18">
      <c r="B190" s="77" t="s">
        <v>1610</v>
      </c>
      <c r="C190" s="87" t="s">
        <v>1544</v>
      </c>
      <c r="D190" s="74">
        <v>7639</v>
      </c>
      <c r="E190" s="74"/>
      <c r="F190" s="74" t="s">
        <v>690</v>
      </c>
      <c r="G190" s="96">
        <v>43949</v>
      </c>
      <c r="H190" s="74"/>
      <c r="I190" s="84">
        <v>2.1599999999999997</v>
      </c>
      <c r="J190" s="87" t="s">
        <v>1140</v>
      </c>
      <c r="K190" s="87" t="s">
        <v>154</v>
      </c>
      <c r="L190" s="88">
        <v>2.1729999999999999E-2</v>
      </c>
      <c r="M190" s="88">
        <v>3.7100000000000001E-2</v>
      </c>
      <c r="N190" s="84">
        <v>469.83</v>
      </c>
      <c r="O190" s="86">
        <v>97.08</v>
      </c>
      <c r="P190" s="84">
        <v>1.5808800000000001</v>
      </c>
      <c r="Q190" s="85">
        <f t="shared" si="3"/>
        <v>1.4475060115477336E-4</v>
      </c>
      <c r="R190" s="85">
        <f>P190/'סכום נכסי הקרן'!$C$42</f>
        <v>5.5366799369119342E-6</v>
      </c>
    </row>
    <row r="191" spans="2:18">
      <c r="B191" s="77" t="s">
        <v>1611</v>
      </c>
      <c r="C191" s="87" t="s">
        <v>1544</v>
      </c>
      <c r="D191" s="74">
        <v>7407</v>
      </c>
      <c r="E191" s="74"/>
      <c r="F191" s="74" t="s">
        <v>690</v>
      </c>
      <c r="G191" s="96">
        <v>43866</v>
      </c>
      <c r="H191" s="74"/>
      <c r="I191" s="84">
        <v>4.1100000000000003</v>
      </c>
      <c r="J191" s="87" t="s">
        <v>1140</v>
      </c>
      <c r="K191" s="87" t="s">
        <v>154</v>
      </c>
      <c r="L191" s="88">
        <v>2.4265999999999999E-2</v>
      </c>
      <c r="M191" s="88">
        <v>4.6900000000000004E-2</v>
      </c>
      <c r="N191" s="84">
        <v>96991.91</v>
      </c>
      <c r="O191" s="86">
        <v>91.71</v>
      </c>
      <c r="P191" s="84">
        <v>308.30516999999998</v>
      </c>
      <c r="Q191" s="85">
        <f t="shared" si="3"/>
        <v>2.8229441005404959E-2</v>
      </c>
      <c r="R191" s="85">
        <f>P191/'סכום נכסי הקרן'!$C$42</f>
        <v>1.0797701591425174E-3</v>
      </c>
    </row>
    <row r="192" spans="2:18">
      <c r="B192" s="77" t="s">
        <v>1611</v>
      </c>
      <c r="C192" s="87" t="s">
        <v>1544</v>
      </c>
      <c r="D192" s="74">
        <v>7489</v>
      </c>
      <c r="E192" s="74"/>
      <c r="F192" s="74" t="s">
        <v>690</v>
      </c>
      <c r="G192" s="96">
        <v>43903</v>
      </c>
      <c r="H192" s="74"/>
      <c r="I192" s="84">
        <v>4.1100000000000012</v>
      </c>
      <c r="J192" s="87" t="s">
        <v>1140</v>
      </c>
      <c r="K192" s="87" t="s">
        <v>154</v>
      </c>
      <c r="L192" s="88">
        <v>2.4265999999999999E-2</v>
      </c>
      <c r="M192" s="88">
        <v>4.6899999999999997E-2</v>
      </c>
      <c r="N192" s="84">
        <v>873.27</v>
      </c>
      <c r="O192" s="86">
        <v>91.71</v>
      </c>
      <c r="P192" s="84">
        <v>2.7758600000000002</v>
      </c>
      <c r="Q192" s="85">
        <f t="shared" si="3"/>
        <v>2.5416692204436084E-4</v>
      </c>
      <c r="R192" s="85">
        <f>P192/'סכום נכסי הקרן'!$C$42</f>
        <v>9.7218311128462393E-6</v>
      </c>
    </row>
    <row r="193" spans="2:18">
      <c r="B193" s="77" t="s">
        <v>1611</v>
      </c>
      <c r="C193" s="87" t="s">
        <v>1544</v>
      </c>
      <c r="D193" s="74">
        <v>7590</v>
      </c>
      <c r="E193" s="74"/>
      <c r="F193" s="74" t="s">
        <v>690</v>
      </c>
      <c r="G193" s="96">
        <v>43927</v>
      </c>
      <c r="H193" s="74"/>
      <c r="I193" s="84">
        <v>4.1100000000000003</v>
      </c>
      <c r="J193" s="87" t="s">
        <v>1140</v>
      </c>
      <c r="K193" s="87" t="s">
        <v>154</v>
      </c>
      <c r="L193" s="88">
        <v>2.4265999999999999E-2</v>
      </c>
      <c r="M193" s="88">
        <v>4.6899999999999997E-2</v>
      </c>
      <c r="N193" s="84">
        <v>543.37</v>
      </c>
      <c r="O193" s="86">
        <v>91.71</v>
      </c>
      <c r="P193" s="84">
        <v>1.72722</v>
      </c>
      <c r="Q193" s="85">
        <f t="shared" si="3"/>
        <v>1.581499755367565E-4</v>
      </c>
      <c r="R193" s="85">
        <f>P193/'סכום נכסי הקרן'!$C$42</f>
        <v>6.0492031783772523E-6</v>
      </c>
    </row>
    <row r="194" spans="2:18">
      <c r="B194" s="77" t="s">
        <v>1611</v>
      </c>
      <c r="C194" s="87" t="s">
        <v>1544</v>
      </c>
      <c r="D194" s="74">
        <v>7594</v>
      </c>
      <c r="E194" s="74"/>
      <c r="F194" s="74" t="s">
        <v>690</v>
      </c>
      <c r="G194" s="96">
        <v>43929</v>
      </c>
      <c r="H194" s="74"/>
      <c r="I194" s="84">
        <v>4.1099999999999994</v>
      </c>
      <c r="J194" s="87" t="s">
        <v>1140</v>
      </c>
      <c r="K194" s="87" t="s">
        <v>154</v>
      </c>
      <c r="L194" s="88">
        <v>2.4265999999999999E-2</v>
      </c>
      <c r="M194" s="88">
        <v>4.6899999999999997E-2</v>
      </c>
      <c r="N194" s="84">
        <v>130.93</v>
      </c>
      <c r="O194" s="86">
        <v>91.71</v>
      </c>
      <c r="P194" s="84">
        <v>0.41617000000000004</v>
      </c>
      <c r="Q194" s="85">
        <f t="shared" si="3"/>
        <v>3.8105901575440276E-5</v>
      </c>
      <c r="R194" s="85">
        <f>P194/'סכום נכסי הקרן'!$C$42</f>
        <v>1.4575426909978237E-6</v>
      </c>
    </row>
    <row r="195" spans="2:18">
      <c r="B195" s="77" t="s">
        <v>1611</v>
      </c>
      <c r="C195" s="87" t="s">
        <v>1544</v>
      </c>
      <c r="D195" s="74">
        <v>7651</v>
      </c>
      <c r="E195" s="74"/>
      <c r="F195" s="74" t="s">
        <v>690</v>
      </c>
      <c r="G195" s="96">
        <v>43955</v>
      </c>
      <c r="H195" s="74"/>
      <c r="I195" s="84">
        <v>4.1100000000000003</v>
      </c>
      <c r="J195" s="87" t="s">
        <v>1140</v>
      </c>
      <c r="K195" s="87" t="s">
        <v>154</v>
      </c>
      <c r="L195" s="88">
        <v>2.4265999999999999E-2</v>
      </c>
      <c r="M195" s="88">
        <v>4.6800000000000008E-2</v>
      </c>
      <c r="N195" s="84">
        <v>448.22</v>
      </c>
      <c r="O195" s="86">
        <v>91.71</v>
      </c>
      <c r="P195" s="84">
        <v>1.42476</v>
      </c>
      <c r="Q195" s="85">
        <f t="shared" si="3"/>
        <v>1.304557376279508E-4</v>
      </c>
      <c r="R195" s="85">
        <f>P195/'סכום נכסי הקרן'!$C$42</f>
        <v>4.9899044246967806E-6</v>
      </c>
    </row>
    <row r="196" spans="2:18">
      <c r="B196" s="77" t="s">
        <v>1611</v>
      </c>
      <c r="C196" s="87" t="s">
        <v>1544</v>
      </c>
      <c r="D196" s="74">
        <v>7715</v>
      </c>
      <c r="E196" s="74"/>
      <c r="F196" s="74" t="s">
        <v>690</v>
      </c>
      <c r="G196" s="96">
        <v>43986</v>
      </c>
      <c r="H196" s="74"/>
      <c r="I196" s="84">
        <v>4.1100000000000012</v>
      </c>
      <c r="J196" s="87" t="s">
        <v>1140</v>
      </c>
      <c r="K196" s="87" t="s">
        <v>154</v>
      </c>
      <c r="L196" s="88">
        <v>2.4265999999999999E-2</v>
      </c>
      <c r="M196" s="88">
        <v>4.6900000000000004E-2</v>
      </c>
      <c r="N196" s="84">
        <v>439.98</v>
      </c>
      <c r="O196" s="86">
        <v>91.71</v>
      </c>
      <c r="P196" s="84">
        <v>1.3985300000000001</v>
      </c>
      <c r="Q196" s="85">
        <f t="shared" si="3"/>
        <v>1.2805403207895928E-4</v>
      </c>
      <c r="R196" s="85">
        <f>P196/'סכום נכסי הקרן'!$C$42</f>
        <v>4.898039694454637E-6</v>
      </c>
    </row>
    <row r="197" spans="2:18">
      <c r="B197" s="77" t="s">
        <v>1611</v>
      </c>
      <c r="C197" s="87" t="s">
        <v>1544</v>
      </c>
      <c r="D197" s="74">
        <v>7738</v>
      </c>
      <c r="E197" s="74"/>
      <c r="F197" s="74" t="s">
        <v>690</v>
      </c>
      <c r="G197" s="96">
        <v>43991</v>
      </c>
      <c r="H197" s="74"/>
      <c r="I197" s="84">
        <v>4.1100000000000003</v>
      </c>
      <c r="J197" s="87" t="s">
        <v>1140</v>
      </c>
      <c r="K197" s="87" t="s">
        <v>154</v>
      </c>
      <c r="L197" s="88">
        <v>2.4265999999999999E-2</v>
      </c>
      <c r="M197" s="88">
        <v>4.6900000000000004E-2</v>
      </c>
      <c r="N197" s="84">
        <v>90.01</v>
      </c>
      <c r="O197" s="86">
        <v>91.71</v>
      </c>
      <c r="P197" s="84">
        <v>0.28608</v>
      </c>
      <c r="Q197" s="85">
        <f t="shared" si="3"/>
        <v>2.6194430936160593E-5</v>
      </c>
      <c r="R197" s="85">
        <f>P197/'סכום נכסי הקרן'!$C$42</f>
        <v>1.0019314535902574E-6</v>
      </c>
    </row>
    <row r="198" spans="2:18">
      <c r="B198" s="77" t="s">
        <v>1612</v>
      </c>
      <c r="C198" s="87" t="s">
        <v>1544</v>
      </c>
      <c r="D198" s="74">
        <v>7323</v>
      </c>
      <c r="E198" s="74"/>
      <c r="F198" s="74" t="s">
        <v>690</v>
      </c>
      <c r="G198" s="96">
        <v>43822</v>
      </c>
      <c r="H198" s="74"/>
      <c r="I198" s="84">
        <v>3.4800000000000004</v>
      </c>
      <c r="J198" s="87" t="s">
        <v>914</v>
      </c>
      <c r="K198" s="87" t="s">
        <v>154</v>
      </c>
      <c r="L198" s="88">
        <v>4.3078999999999999E-2</v>
      </c>
      <c r="M198" s="88">
        <v>3.5900000000000001E-2</v>
      </c>
      <c r="N198" s="84">
        <v>9955.07</v>
      </c>
      <c r="O198" s="86">
        <v>102.95</v>
      </c>
      <c r="P198" s="84">
        <v>35.522129999999997</v>
      </c>
      <c r="Q198" s="85">
        <f t="shared" si="3"/>
        <v>3.2525237031261122E-3</v>
      </c>
      <c r="R198" s="85">
        <f>P198/'סכום נכסי הקרן'!$C$42</f>
        <v>1.2440834502769186E-4</v>
      </c>
    </row>
    <row r="199" spans="2:18">
      <c r="B199" s="77" t="s">
        <v>1612</v>
      </c>
      <c r="C199" s="87" t="s">
        <v>1544</v>
      </c>
      <c r="D199" s="74">
        <v>7324</v>
      </c>
      <c r="E199" s="74"/>
      <c r="F199" s="74" t="s">
        <v>690</v>
      </c>
      <c r="G199" s="96">
        <v>43822</v>
      </c>
      <c r="H199" s="74"/>
      <c r="I199" s="84">
        <v>3.4699999999999998</v>
      </c>
      <c r="J199" s="87" t="s">
        <v>914</v>
      </c>
      <c r="K199" s="87" t="s">
        <v>154</v>
      </c>
      <c r="L199" s="88">
        <v>4.3624999999999997E-2</v>
      </c>
      <c r="M199" s="88">
        <v>3.5199999999999995E-2</v>
      </c>
      <c r="N199" s="84">
        <v>10129.290000000001</v>
      </c>
      <c r="O199" s="86">
        <v>103.32</v>
      </c>
      <c r="P199" s="84">
        <v>36.27373</v>
      </c>
      <c r="Q199" s="85">
        <f t="shared" si="3"/>
        <v>3.3213426848501698E-3</v>
      </c>
      <c r="R199" s="85">
        <f>P199/'סכום נכסי הקרן'!$C$42</f>
        <v>1.2704065655075688E-4</v>
      </c>
    </row>
    <row r="200" spans="2:18">
      <c r="B200" s="77" t="s">
        <v>1612</v>
      </c>
      <c r="C200" s="87" t="s">
        <v>1544</v>
      </c>
      <c r="D200" s="74">
        <v>7325</v>
      </c>
      <c r="E200" s="74"/>
      <c r="F200" s="74" t="s">
        <v>690</v>
      </c>
      <c r="G200" s="96">
        <v>43822</v>
      </c>
      <c r="H200" s="74"/>
      <c r="I200" s="84">
        <v>3.4599999999999995</v>
      </c>
      <c r="J200" s="87" t="s">
        <v>914</v>
      </c>
      <c r="K200" s="87" t="s">
        <v>154</v>
      </c>
      <c r="L200" s="88">
        <v>4.7601000000000004E-2</v>
      </c>
      <c r="M200" s="88">
        <v>3.5699999999999996E-2</v>
      </c>
      <c r="N200" s="84">
        <v>10129.290000000001</v>
      </c>
      <c r="O200" s="86">
        <v>103.85</v>
      </c>
      <c r="P200" s="84">
        <v>36.459800000000001</v>
      </c>
      <c r="Q200" s="85">
        <f t="shared" ref="Q200:Q220" si="4">P200/$P$10</f>
        <v>3.3383798694289289E-3</v>
      </c>
      <c r="R200" s="85">
        <f>P200/'סכום נכסי הקרן'!$C$42</f>
        <v>1.2769232526429694E-4</v>
      </c>
    </row>
    <row r="201" spans="2:18">
      <c r="B201" s="77" t="s">
        <v>1612</v>
      </c>
      <c r="C201" s="87" t="s">
        <v>1544</v>
      </c>
      <c r="D201" s="74">
        <v>7552</v>
      </c>
      <c r="E201" s="74"/>
      <c r="F201" s="74" t="s">
        <v>690</v>
      </c>
      <c r="G201" s="96">
        <v>43921</v>
      </c>
      <c r="H201" s="74"/>
      <c r="I201" s="84">
        <v>3.49</v>
      </c>
      <c r="J201" s="87" t="s">
        <v>914</v>
      </c>
      <c r="K201" s="87" t="s">
        <v>154</v>
      </c>
      <c r="L201" s="88">
        <v>4.3078999999999999E-2</v>
      </c>
      <c r="M201" s="88">
        <v>3.3300000000000003E-2</v>
      </c>
      <c r="N201" s="84">
        <v>222.91</v>
      </c>
      <c r="O201" s="86">
        <v>103.85</v>
      </c>
      <c r="P201" s="84">
        <v>0.80237999999999998</v>
      </c>
      <c r="Q201" s="85">
        <f t="shared" si="4"/>
        <v>7.346856646587156E-5</v>
      </c>
      <c r="R201" s="85">
        <f>P201/'סכום נכסי הקרן'!$C$42</f>
        <v>2.8101571578990168E-6</v>
      </c>
    </row>
    <row r="202" spans="2:18">
      <c r="B202" s="77" t="s">
        <v>1613</v>
      </c>
      <c r="C202" s="87" t="s">
        <v>1544</v>
      </c>
      <c r="D202" s="74">
        <v>7056</v>
      </c>
      <c r="E202" s="74"/>
      <c r="F202" s="74" t="s">
        <v>690</v>
      </c>
      <c r="G202" s="96">
        <v>43664</v>
      </c>
      <c r="H202" s="74"/>
      <c r="I202" s="84">
        <v>0.66</v>
      </c>
      <c r="J202" s="87" t="s">
        <v>1140</v>
      </c>
      <c r="K202" s="87" t="s">
        <v>154</v>
      </c>
      <c r="L202" s="88">
        <v>2.1480000000000003E-2</v>
      </c>
      <c r="M202" s="88">
        <v>3.4500000000000003E-2</v>
      </c>
      <c r="N202" s="84">
        <v>68497.58</v>
      </c>
      <c r="O202" s="86">
        <v>99.36</v>
      </c>
      <c r="P202" s="84">
        <v>235.89315999999999</v>
      </c>
      <c r="Q202" s="85">
        <f t="shared" si="4"/>
        <v>2.1599157885670722E-2</v>
      </c>
      <c r="R202" s="85">
        <f>P202/'סכום נכסי הקרן'!$C$42</f>
        <v>8.2616322948405739E-4</v>
      </c>
    </row>
    <row r="203" spans="2:18">
      <c r="B203" s="77" t="s">
        <v>1613</v>
      </c>
      <c r="C203" s="87" t="s">
        <v>1544</v>
      </c>
      <c r="D203" s="74">
        <v>7504</v>
      </c>
      <c r="E203" s="74"/>
      <c r="F203" s="74" t="s">
        <v>690</v>
      </c>
      <c r="G203" s="96">
        <v>43914</v>
      </c>
      <c r="H203" s="74"/>
      <c r="I203" s="84">
        <v>0.66</v>
      </c>
      <c r="J203" s="87" t="s">
        <v>1140</v>
      </c>
      <c r="K203" s="87" t="s">
        <v>154</v>
      </c>
      <c r="L203" s="88">
        <v>2.1480000000000003E-2</v>
      </c>
      <c r="M203" s="88">
        <v>3.4599999999999999E-2</v>
      </c>
      <c r="N203" s="84">
        <v>68.099999999999994</v>
      </c>
      <c r="O203" s="86">
        <v>99.36</v>
      </c>
      <c r="P203" s="84">
        <v>0.23451</v>
      </c>
      <c r="Q203" s="85">
        <f t="shared" si="4"/>
        <v>2.1472511181624093E-5</v>
      </c>
      <c r="R203" s="85">
        <f>P203/'סכום נכסי הקרן'!$C$42</f>
        <v>8.2131901978974847E-7</v>
      </c>
    </row>
    <row r="204" spans="2:18">
      <c r="B204" s="77" t="s">
        <v>1613</v>
      </c>
      <c r="C204" s="87" t="s">
        <v>1544</v>
      </c>
      <c r="D204" s="74">
        <v>7296</v>
      </c>
      <c r="E204" s="74"/>
      <c r="F204" s="74" t="s">
        <v>690</v>
      </c>
      <c r="G204" s="96">
        <v>43801</v>
      </c>
      <c r="H204" s="74"/>
      <c r="I204" s="84">
        <v>0.65999999999999981</v>
      </c>
      <c r="J204" s="87" t="s">
        <v>1140</v>
      </c>
      <c r="K204" s="87" t="s">
        <v>154</v>
      </c>
      <c r="L204" s="88">
        <v>2.1480000000000003E-2</v>
      </c>
      <c r="M204" s="88">
        <v>3.4599999999999999E-2</v>
      </c>
      <c r="N204" s="84">
        <v>292.52999999999997</v>
      </c>
      <c r="O204" s="86">
        <v>99.36</v>
      </c>
      <c r="P204" s="84">
        <v>1.00739</v>
      </c>
      <c r="Q204" s="85">
        <f t="shared" si="4"/>
        <v>9.2239960083818581E-5</v>
      </c>
      <c r="R204" s="85">
        <f>P204/'סכום נכסי הקרן'!$C$42</f>
        <v>3.5281590010916153E-6</v>
      </c>
    </row>
    <row r="205" spans="2:18">
      <c r="B205" s="77" t="s">
        <v>1614</v>
      </c>
      <c r="C205" s="87" t="s">
        <v>1544</v>
      </c>
      <c r="D205" s="74">
        <v>7373</v>
      </c>
      <c r="E205" s="74"/>
      <c r="F205" s="74" t="s">
        <v>690</v>
      </c>
      <c r="G205" s="96">
        <v>43857</v>
      </c>
      <c r="H205" s="74"/>
      <c r="I205" s="84">
        <v>4.6099999999999994</v>
      </c>
      <c r="J205" s="87" t="s">
        <v>1549</v>
      </c>
      <c r="K205" s="87" t="s">
        <v>154</v>
      </c>
      <c r="L205" s="88">
        <v>2.6782E-2</v>
      </c>
      <c r="M205" s="88">
        <v>3.4799999999999998E-2</v>
      </c>
      <c r="N205" s="84">
        <v>8900.08</v>
      </c>
      <c r="O205" s="86">
        <v>96.72</v>
      </c>
      <c r="P205" s="84">
        <v>29.83588</v>
      </c>
      <c r="Q205" s="85">
        <f t="shared" si="4"/>
        <v>2.7318718473139511E-3</v>
      </c>
      <c r="R205" s="85">
        <f>P205/'סכום נכסי הקרן'!$C$42</f>
        <v>1.0449352145394466E-4</v>
      </c>
    </row>
    <row r="206" spans="2:18">
      <c r="B206" s="77" t="s">
        <v>1615</v>
      </c>
      <c r="C206" s="87" t="s">
        <v>1544</v>
      </c>
      <c r="D206" s="74">
        <v>7646</v>
      </c>
      <c r="E206" s="74"/>
      <c r="F206" s="74" t="s">
        <v>690</v>
      </c>
      <c r="G206" s="96">
        <v>43951</v>
      </c>
      <c r="H206" s="74"/>
      <c r="I206" s="84">
        <v>11</v>
      </c>
      <c r="J206" s="87" t="s">
        <v>914</v>
      </c>
      <c r="K206" s="87" t="s">
        <v>157</v>
      </c>
      <c r="L206" s="88">
        <v>2.9923999999999999E-2</v>
      </c>
      <c r="M206" s="88">
        <v>3.3099999999999997E-2</v>
      </c>
      <c r="N206" s="84">
        <v>316.2</v>
      </c>
      <c r="O206" s="86">
        <v>98.7</v>
      </c>
      <c r="P206" s="84">
        <v>1.3276600000000001</v>
      </c>
      <c r="Q206" s="85">
        <f t="shared" si="4"/>
        <v>1.2156494049462729E-4</v>
      </c>
      <c r="R206" s="85">
        <f>P206/'סכום נכסי הקרן'!$C$42</f>
        <v>4.6498333112193834E-6</v>
      </c>
    </row>
    <row r="207" spans="2:18">
      <c r="B207" s="77" t="s">
        <v>1615</v>
      </c>
      <c r="C207" s="87" t="s">
        <v>1544</v>
      </c>
      <c r="D207" s="74">
        <v>7701</v>
      </c>
      <c r="E207" s="74"/>
      <c r="F207" s="74" t="s">
        <v>690</v>
      </c>
      <c r="G207" s="96">
        <v>43979</v>
      </c>
      <c r="H207" s="74"/>
      <c r="I207" s="84">
        <v>11</v>
      </c>
      <c r="J207" s="87" t="s">
        <v>914</v>
      </c>
      <c r="K207" s="87" t="s">
        <v>157</v>
      </c>
      <c r="L207" s="88">
        <v>2.9923999999999999E-2</v>
      </c>
      <c r="M207" s="88">
        <v>3.3099999999999997E-2</v>
      </c>
      <c r="N207" s="84">
        <v>19.11</v>
      </c>
      <c r="O207" s="86">
        <v>98.7</v>
      </c>
      <c r="P207" s="84">
        <v>8.023000000000001E-2</v>
      </c>
      <c r="Q207" s="85">
        <f t="shared" si="4"/>
        <v>7.3461241401292112E-6</v>
      </c>
      <c r="R207" s="85">
        <f>P207/'סכום נכסי הקרן'!$C$42</f>
        <v>2.809876975725194E-7</v>
      </c>
    </row>
    <row r="208" spans="2:18">
      <c r="B208" s="77" t="s">
        <v>1615</v>
      </c>
      <c r="C208" s="87" t="s">
        <v>1544</v>
      </c>
      <c r="D208" s="74">
        <v>77801</v>
      </c>
      <c r="E208" s="74"/>
      <c r="F208" s="74" t="s">
        <v>690</v>
      </c>
      <c r="G208" s="96">
        <v>44012</v>
      </c>
      <c r="H208" s="74"/>
      <c r="I208" s="84">
        <v>11.030000000000001</v>
      </c>
      <c r="J208" s="87" t="s">
        <v>914</v>
      </c>
      <c r="K208" s="87" t="s">
        <v>157</v>
      </c>
      <c r="L208" s="88">
        <v>2.9902999999999999E-2</v>
      </c>
      <c r="M208" s="88">
        <v>3.1800000000000002E-2</v>
      </c>
      <c r="N208" s="84">
        <v>1196.6600000000001</v>
      </c>
      <c r="O208" s="86">
        <v>100</v>
      </c>
      <c r="P208" s="84">
        <v>5.0907099999999996</v>
      </c>
      <c r="Q208" s="85">
        <f t="shared" si="4"/>
        <v>4.6612224381649219E-4</v>
      </c>
      <c r="R208" s="85">
        <f>P208/'סכום נכסי הקרן'!$C$42</f>
        <v>1.7829077426266985E-5</v>
      </c>
    </row>
    <row r="209" spans="2:18">
      <c r="B209" s="77" t="s">
        <v>1615</v>
      </c>
      <c r="C209" s="87" t="s">
        <v>1544</v>
      </c>
      <c r="D209" s="74">
        <v>7436</v>
      </c>
      <c r="E209" s="74"/>
      <c r="F209" s="74" t="s">
        <v>690</v>
      </c>
      <c r="G209" s="96">
        <v>43871</v>
      </c>
      <c r="H209" s="74"/>
      <c r="I209" s="84">
        <v>11</v>
      </c>
      <c r="J209" s="87" t="s">
        <v>914</v>
      </c>
      <c r="K209" s="87" t="s">
        <v>157</v>
      </c>
      <c r="L209" s="88">
        <v>2.9923999999999999E-2</v>
      </c>
      <c r="M209" s="88">
        <v>3.3099999999999997E-2</v>
      </c>
      <c r="N209" s="84">
        <v>2399.6799999999998</v>
      </c>
      <c r="O209" s="86">
        <v>98.7</v>
      </c>
      <c r="P209" s="84">
        <v>10.075749999999999</v>
      </c>
      <c r="Q209" s="85">
        <f t="shared" si="4"/>
        <v>9.2256899295658579E-4</v>
      </c>
      <c r="R209" s="85">
        <f>P209/'סכום נכסי הקרן'!$C$42</f>
        <v>3.5288069223685803E-5</v>
      </c>
    </row>
    <row r="210" spans="2:18">
      <c r="B210" s="77" t="s">
        <v>1615</v>
      </c>
      <c r="C210" s="87" t="s">
        <v>1544</v>
      </c>
      <c r="D210" s="74">
        <v>7455</v>
      </c>
      <c r="E210" s="74"/>
      <c r="F210" s="74" t="s">
        <v>690</v>
      </c>
      <c r="G210" s="96">
        <v>43889</v>
      </c>
      <c r="H210" s="74"/>
      <c r="I210" s="84">
        <v>11.000000000000002</v>
      </c>
      <c r="J210" s="87" t="s">
        <v>914</v>
      </c>
      <c r="K210" s="87" t="s">
        <v>157</v>
      </c>
      <c r="L210" s="88">
        <v>2.9923999999999999E-2</v>
      </c>
      <c r="M210" s="88">
        <v>3.3099999999999997E-2</v>
      </c>
      <c r="N210" s="84">
        <v>1646.26</v>
      </c>
      <c r="O210" s="86">
        <v>98.7</v>
      </c>
      <c r="P210" s="84">
        <v>6.9123199999999994</v>
      </c>
      <c r="Q210" s="85">
        <f t="shared" si="4"/>
        <v>6.3291487992394289E-4</v>
      </c>
      <c r="R210" s="85">
        <f>P210/'סכום נכסי הקרן'!$C$42</f>
        <v>2.4208860546983386E-5</v>
      </c>
    </row>
    <row r="211" spans="2:18">
      <c r="B211" s="77" t="s">
        <v>1615</v>
      </c>
      <c r="C211" s="87" t="s">
        <v>1544</v>
      </c>
      <c r="D211" s="74">
        <v>7536</v>
      </c>
      <c r="E211" s="74"/>
      <c r="F211" s="74" t="s">
        <v>690</v>
      </c>
      <c r="G211" s="96">
        <v>43921</v>
      </c>
      <c r="H211" s="74"/>
      <c r="I211" s="84">
        <v>11</v>
      </c>
      <c r="J211" s="87" t="s">
        <v>914</v>
      </c>
      <c r="K211" s="87" t="s">
        <v>157</v>
      </c>
      <c r="L211" s="88">
        <v>2.9923999999999999E-2</v>
      </c>
      <c r="M211" s="88">
        <v>3.3099999999999997E-2</v>
      </c>
      <c r="N211" s="84">
        <v>254.92</v>
      </c>
      <c r="O211" s="86">
        <v>98.7</v>
      </c>
      <c r="P211" s="84">
        <v>1.0703800000000001</v>
      </c>
      <c r="Q211" s="85">
        <f t="shared" si="4"/>
        <v>9.8007532807073471E-5</v>
      </c>
      <c r="R211" s="85">
        <f>P211/'סכום נכסי הקרן'!$C$42</f>
        <v>3.7487674402053263E-6</v>
      </c>
    </row>
    <row r="212" spans="2:18">
      <c r="B212" s="77" t="s">
        <v>1616</v>
      </c>
      <c r="C212" s="87" t="s">
        <v>1544</v>
      </c>
      <c r="D212" s="74">
        <v>7770</v>
      </c>
      <c r="E212" s="74"/>
      <c r="F212" s="74" t="s">
        <v>690</v>
      </c>
      <c r="G212" s="96">
        <v>44004</v>
      </c>
      <c r="H212" s="74"/>
      <c r="I212" s="84">
        <v>4.5</v>
      </c>
      <c r="J212" s="87" t="s">
        <v>1549</v>
      </c>
      <c r="K212" s="87" t="s">
        <v>158</v>
      </c>
      <c r="L212" s="88">
        <v>4.7785000000000001E-2</v>
      </c>
      <c r="M212" s="88">
        <v>4.1399999999999999E-2</v>
      </c>
      <c r="N212" s="84">
        <v>204827.81</v>
      </c>
      <c r="O212" s="86">
        <v>99.61</v>
      </c>
      <c r="P212" s="84">
        <v>484.01794999999998</v>
      </c>
      <c r="Q212" s="85">
        <f t="shared" si="4"/>
        <v>4.4318284267117695E-2</v>
      </c>
      <c r="R212" s="85">
        <f>P212/'סכום נכסי הקרן'!$C$42</f>
        <v>1.6951650175030637E-3</v>
      </c>
    </row>
    <row r="213" spans="2:18">
      <c r="B213" s="77" t="s">
        <v>1616</v>
      </c>
      <c r="C213" s="87" t="s">
        <v>1544</v>
      </c>
      <c r="D213" s="74">
        <v>7771</v>
      </c>
      <c r="E213" s="74"/>
      <c r="F213" s="74" t="s">
        <v>690</v>
      </c>
      <c r="G213" s="96">
        <v>44004</v>
      </c>
      <c r="H213" s="74"/>
      <c r="I213" s="84">
        <v>4.5</v>
      </c>
      <c r="J213" s="87" t="s">
        <v>1549</v>
      </c>
      <c r="K213" s="87" t="s">
        <v>158</v>
      </c>
      <c r="L213" s="88">
        <v>4.7782999999999999E-2</v>
      </c>
      <c r="M213" s="88">
        <v>4.1399999999999999E-2</v>
      </c>
      <c r="N213" s="84">
        <v>12402.47</v>
      </c>
      <c r="O213" s="86">
        <v>99.61</v>
      </c>
      <c r="P213" s="84">
        <v>29.30763</v>
      </c>
      <c r="Q213" s="85">
        <f t="shared" si="4"/>
        <v>2.6835035302626826E-3</v>
      </c>
      <c r="R213" s="85">
        <f>P213/'סכום נכסי הקרן'!$C$42</f>
        <v>1.0264344353742112E-4</v>
      </c>
    </row>
    <row r="214" spans="2:18">
      <c r="B214" s="77" t="s">
        <v>1617</v>
      </c>
      <c r="C214" s="87" t="s">
        <v>1544</v>
      </c>
      <c r="D214" s="74">
        <v>7382</v>
      </c>
      <c r="E214" s="74"/>
      <c r="F214" s="74" t="s">
        <v>690</v>
      </c>
      <c r="G214" s="96">
        <v>43860</v>
      </c>
      <c r="H214" s="74"/>
      <c r="I214" s="84">
        <v>4.84</v>
      </c>
      <c r="J214" s="87" t="s">
        <v>914</v>
      </c>
      <c r="K214" s="87" t="s">
        <v>154</v>
      </c>
      <c r="L214" s="88">
        <v>2.9281999999999999E-2</v>
      </c>
      <c r="M214" s="88">
        <v>2.7000000000000003E-2</v>
      </c>
      <c r="N214" s="84">
        <v>89422.44</v>
      </c>
      <c r="O214" s="86">
        <v>101.63</v>
      </c>
      <c r="P214" s="84">
        <v>314.99018000000001</v>
      </c>
      <c r="Q214" s="85">
        <f t="shared" si="4"/>
        <v>2.884154262995943E-2</v>
      </c>
      <c r="R214" s="85">
        <f>P214/'סכום נכסי הקרן'!$C$42</f>
        <v>1.1031829170653552E-3</v>
      </c>
    </row>
    <row r="215" spans="2:18">
      <c r="B215" s="77" t="s">
        <v>1618</v>
      </c>
      <c r="C215" s="87" t="s">
        <v>1544</v>
      </c>
      <c r="D215" s="74">
        <v>7482</v>
      </c>
      <c r="E215" s="74"/>
      <c r="F215" s="74" t="s">
        <v>690</v>
      </c>
      <c r="G215" s="96">
        <v>43896</v>
      </c>
      <c r="H215" s="74"/>
      <c r="I215" s="84">
        <v>3.9699999999999998</v>
      </c>
      <c r="J215" s="87" t="s">
        <v>914</v>
      </c>
      <c r="K215" s="87" t="s">
        <v>154</v>
      </c>
      <c r="L215" s="88">
        <v>2.5503000000000001E-2</v>
      </c>
      <c r="M215" s="88">
        <v>2.2099999999999998E-2</v>
      </c>
      <c r="N215" s="84">
        <v>3350.88</v>
      </c>
      <c r="O215" s="86">
        <v>101.67</v>
      </c>
      <c r="P215" s="84">
        <v>11.80808</v>
      </c>
      <c r="Q215" s="85">
        <f t="shared" si="4"/>
        <v>1.0811868569933557E-3</v>
      </c>
      <c r="R215" s="85">
        <f>P215/'סכום נכסי הקרן'!$C$42</f>
        <v>4.1355169038415989E-5</v>
      </c>
    </row>
    <row r="216" spans="2:18">
      <c r="B216" s="77" t="s">
        <v>1618</v>
      </c>
      <c r="C216" s="87" t="s">
        <v>1544</v>
      </c>
      <c r="D216" s="74">
        <v>7505</v>
      </c>
      <c r="E216" s="74"/>
      <c r="F216" s="74" t="s">
        <v>690</v>
      </c>
      <c r="G216" s="96">
        <v>43914</v>
      </c>
      <c r="H216" s="74"/>
      <c r="I216" s="84">
        <v>3.97</v>
      </c>
      <c r="J216" s="87" t="s">
        <v>914</v>
      </c>
      <c r="K216" s="87" t="s">
        <v>154</v>
      </c>
      <c r="L216" s="88">
        <v>2.5503000000000001E-2</v>
      </c>
      <c r="M216" s="88">
        <v>2.2099999999999998E-2</v>
      </c>
      <c r="N216" s="84">
        <v>9098.41</v>
      </c>
      <c r="O216" s="86">
        <v>101.67</v>
      </c>
      <c r="P216" s="84">
        <v>32.061750000000004</v>
      </c>
      <c r="Q216" s="85">
        <f t="shared" si="4"/>
        <v>2.9356798660075747E-3</v>
      </c>
      <c r="R216" s="85">
        <f>P216/'סכום נכסי הקרן'!$C$42</f>
        <v>1.1228913514453103E-4</v>
      </c>
    </row>
    <row r="217" spans="2:18">
      <c r="B217" s="77" t="s">
        <v>1618</v>
      </c>
      <c r="C217" s="87" t="s">
        <v>1544</v>
      </c>
      <c r="D217" s="74">
        <v>7615</v>
      </c>
      <c r="E217" s="74"/>
      <c r="F217" s="74" t="s">
        <v>690</v>
      </c>
      <c r="G217" s="96">
        <v>43943</v>
      </c>
      <c r="H217" s="74"/>
      <c r="I217" s="84">
        <v>3.97</v>
      </c>
      <c r="J217" s="87" t="s">
        <v>914</v>
      </c>
      <c r="K217" s="87" t="s">
        <v>154</v>
      </c>
      <c r="L217" s="88">
        <v>2.5503000000000001E-2</v>
      </c>
      <c r="M217" s="88">
        <v>2.2099999999999998E-2</v>
      </c>
      <c r="N217" s="84">
        <v>9875.1</v>
      </c>
      <c r="O217" s="86">
        <v>101.67</v>
      </c>
      <c r="P217" s="84">
        <v>34.798670000000001</v>
      </c>
      <c r="Q217" s="85">
        <f t="shared" si="4"/>
        <v>3.1862813128678818E-3</v>
      </c>
      <c r="R217" s="85">
        <f>P217/'סכום נכסי הקרן'!$C$42</f>
        <v>1.2187458758426902E-4</v>
      </c>
    </row>
    <row r="218" spans="2:18">
      <c r="B218" s="77" t="s">
        <v>1618</v>
      </c>
      <c r="C218" s="87" t="s">
        <v>1544</v>
      </c>
      <c r="D218" s="74">
        <v>7697</v>
      </c>
      <c r="E218" s="74"/>
      <c r="F218" s="74" t="s">
        <v>690</v>
      </c>
      <c r="G218" s="96">
        <v>43979</v>
      </c>
      <c r="H218" s="74"/>
      <c r="I218" s="84">
        <v>3.9799999999999995</v>
      </c>
      <c r="J218" s="87" t="s">
        <v>914</v>
      </c>
      <c r="K218" s="87" t="s">
        <v>154</v>
      </c>
      <c r="L218" s="88">
        <v>2.4883000000000002E-2</v>
      </c>
      <c r="M218" s="88">
        <v>2.1700000000000004E-2</v>
      </c>
      <c r="N218" s="84">
        <v>1442.43</v>
      </c>
      <c r="O218" s="86">
        <v>101.67</v>
      </c>
      <c r="P218" s="84">
        <v>5.0829599999999999</v>
      </c>
      <c r="Q218" s="85">
        <f t="shared" si="4"/>
        <v>4.6541262818535671E-4</v>
      </c>
      <c r="R218" s="85">
        <f>P218/'סכום נכסי הקרן'!$C$42</f>
        <v>1.7801934778177903E-5</v>
      </c>
    </row>
    <row r="219" spans="2:18">
      <c r="B219" s="77" t="s">
        <v>1618</v>
      </c>
      <c r="C219" s="87" t="s">
        <v>1544</v>
      </c>
      <c r="D219" s="74">
        <v>7754</v>
      </c>
      <c r="E219" s="74"/>
      <c r="F219" s="74" t="s">
        <v>690</v>
      </c>
      <c r="G219" s="96">
        <v>44000</v>
      </c>
      <c r="H219" s="74"/>
      <c r="I219" s="84">
        <v>3.98</v>
      </c>
      <c r="J219" s="87" t="s">
        <v>914</v>
      </c>
      <c r="K219" s="87" t="s">
        <v>154</v>
      </c>
      <c r="L219" s="88">
        <v>2.5687999999999999E-2</v>
      </c>
      <c r="M219" s="88">
        <v>2.1599999999999998E-2</v>
      </c>
      <c r="N219" s="84">
        <v>6324.5</v>
      </c>
      <c r="O219" s="86">
        <v>101.68</v>
      </c>
      <c r="P219" s="84">
        <v>22.288990000000002</v>
      </c>
      <c r="Q219" s="85">
        <f t="shared" si="4"/>
        <v>2.0408536395126334E-3</v>
      </c>
      <c r="R219" s="85">
        <f>P219/'סכום נכסי הקרן'!$C$42</f>
        <v>7.806222088142727E-5</v>
      </c>
    </row>
    <row r="220" spans="2:18">
      <c r="B220" s="77" t="s">
        <v>1618</v>
      </c>
      <c r="C220" s="87" t="s">
        <v>1544</v>
      </c>
      <c r="D220" s="74">
        <v>7210</v>
      </c>
      <c r="E220" s="74"/>
      <c r="F220" s="74" t="s">
        <v>690</v>
      </c>
      <c r="G220" s="96">
        <v>43741</v>
      </c>
      <c r="H220" s="74"/>
      <c r="I220" s="84">
        <v>3.97</v>
      </c>
      <c r="J220" s="87" t="s">
        <v>914</v>
      </c>
      <c r="K220" s="87" t="s">
        <v>154</v>
      </c>
      <c r="L220" s="88">
        <v>2.5503000000000001E-2</v>
      </c>
      <c r="M220" s="88">
        <v>2.2099999999999998E-2</v>
      </c>
      <c r="N220" s="84">
        <v>1664.34</v>
      </c>
      <c r="O220" s="86">
        <v>101.67</v>
      </c>
      <c r="P220" s="84">
        <v>5.8649199999999997</v>
      </c>
      <c r="Q220" s="85">
        <f t="shared" si="4"/>
        <v>5.3701147191732022E-4</v>
      </c>
      <c r="R220" s="85">
        <f>P220/'סכום נכסי הקרן'!$C$42</f>
        <v>2.0540575436208655E-5</v>
      </c>
    </row>
    <row r="224" spans="2:18">
      <c r="B224" s="89" t="s">
        <v>241</v>
      </c>
    </row>
    <row r="225" spans="2:2">
      <c r="B225" s="89" t="s">
        <v>103</v>
      </c>
    </row>
    <row r="226" spans="2:2">
      <c r="B226" s="89" t="s">
        <v>223</v>
      </c>
    </row>
    <row r="227" spans="2:2">
      <c r="B227" s="89" t="s">
        <v>231</v>
      </c>
    </row>
  </sheetData>
  <sheetProtection sheet="1" objects="1" scenarios="1"/>
  <mergeCells count="1">
    <mergeCell ref="B6:R6"/>
  </mergeCells>
  <phoneticPr fontId="5" type="noConversion"/>
  <conditionalFormatting sqref="B135:B137">
    <cfRule type="cellIs" dxfId="7" priority="8" operator="equal">
      <formula>2958465</formula>
    </cfRule>
    <cfRule type="cellIs" dxfId="6" priority="9" operator="equal">
      <formula>"NR3"</formula>
    </cfRule>
    <cfRule type="cellIs" dxfId="5" priority="10" operator="equal">
      <formula>"דירוג פנימי"</formula>
    </cfRule>
  </conditionalFormatting>
  <conditionalFormatting sqref="B135:B137">
    <cfRule type="cellIs" dxfId="4" priority="7" operator="equal">
      <formula>2958465</formula>
    </cfRule>
  </conditionalFormatting>
  <conditionalFormatting sqref="B11:B133">
    <cfRule type="cellIs" dxfId="3" priority="6" operator="equal">
      <formula>"NR3"</formula>
    </cfRule>
  </conditionalFormatting>
  <conditionalFormatting sqref="B138:B220">
    <cfRule type="cellIs" dxfId="2" priority="1" operator="equal">
      <formula>"NR3"</formula>
    </cfRule>
  </conditionalFormatting>
  <dataValidations count="1">
    <dataValidation allowBlank="1" showInputMessage="1" showErrorMessage="1" sqref="C5 D1:R5 C7:R9 B1:B9 B221:R1048576 AA55:XFD58 A1:A133 A135:A1048576 S135:XFD1048576 S59:XFD133 S1:XFD54 S55:Y58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170</v>
      </c>
      <c r="C1" s="68" t="s" vm="1">
        <v>248</v>
      </c>
    </row>
    <row r="2" spans="2:64">
      <c r="B2" s="47" t="s">
        <v>169</v>
      </c>
      <c r="C2" s="68" t="s">
        <v>249</v>
      </c>
    </row>
    <row r="3" spans="2:64">
      <c r="B3" s="47" t="s">
        <v>171</v>
      </c>
      <c r="C3" s="68" t="s">
        <v>250</v>
      </c>
    </row>
    <row r="4" spans="2:64">
      <c r="B4" s="47" t="s">
        <v>172</v>
      </c>
      <c r="C4" s="68">
        <v>2144</v>
      </c>
    </row>
    <row r="6" spans="2:64" ht="26.25" customHeight="1">
      <c r="B6" s="134" t="s">
        <v>203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64" s="3" customFormat="1" ht="78.75">
      <c r="B7" s="48" t="s">
        <v>107</v>
      </c>
      <c r="C7" s="49" t="s">
        <v>41</v>
      </c>
      <c r="D7" s="49" t="s">
        <v>108</v>
      </c>
      <c r="E7" s="49" t="s">
        <v>14</v>
      </c>
      <c r="F7" s="49" t="s">
        <v>61</v>
      </c>
      <c r="G7" s="49" t="s">
        <v>17</v>
      </c>
      <c r="H7" s="49" t="s">
        <v>94</v>
      </c>
      <c r="I7" s="49" t="s">
        <v>47</v>
      </c>
      <c r="J7" s="49" t="s">
        <v>18</v>
      </c>
      <c r="K7" s="49" t="s">
        <v>225</v>
      </c>
      <c r="L7" s="49" t="s">
        <v>224</v>
      </c>
      <c r="M7" s="49" t="s">
        <v>102</v>
      </c>
      <c r="N7" s="49" t="s">
        <v>173</v>
      </c>
      <c r="O7" s="51" t="s">
        <v>175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232</v>
      </c>
      <c r="L8" s="32"/>
      <c r="M8" s="32" t="s">
        <v>228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5">
        <v>0</v>
      </c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241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223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231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AH30:XFD33 D34:XFD1048576 D30:AF33 D1:L29 N1:XFD29 M1:M9 M11:M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170</v>
      </c>
      <c r="C1" s="68" t="s" vm="1">
        <v>248</v>
      </c>
    </row>
    <row r="2" spans="2:56">
      <c r="B2" s="47" t="s">
        <v>169</v>
      </c>
      <c r="C2" s="68" t="s">
        <v>249</v>
      </c>
    </row>
    <row r="3" spans="2:56">
      <c r="B3" s="47" t="s">
        <v>171</v>
      </c>
      <c r="C3" s="68" t="s">
        <v>250</v>
      </c>
    </row>
    <row r="4" spans="2:56">
      <c r="B4" s="47" t="s">
        <v>172</v>
      </c>
      <c r="C4" s="68">
        <v>2144</v>
      </c>
    </row>
    <row r="6" spans="2:56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6"/>
    </row>
    <row r="7" spans="2:56" s="3" customFormat="1" ht="78.75">
      <c r="B7" s="48" t="s">
        <v>107</v>
      </c>
      <c r="C7" s="50" t="s">
        <v>49</v>
      </c>
      <c r="D7" s="50" t="s">
        <v>79</v>
      </c>
      <c r="E7" s="50" t="s">
        <v>50</v>
      </c>
      <c r="F7" s="50" t="s">
        <v>94</v>
      </c>
      <c r="G7" s="50" t="s">
        <v>215</v>
      </c>
      <c r="H7" s="50" t="s">
        <v>173</v>
      </c>
      <c r="I7" s="50" t="s">
        <v>174</v>
      </c>
      <c r="J7" s="65" t="s">
        <v>235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229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/>
      <c r="C10" s="91"/>
      <c r="D10" s="91"/>
      <c r="E10" s="91"/>
      <c r="F10" s="91"/>
      <c r="G10" s="115">
        <v>0</v>
      </c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5"/>
      <c r="C11" s="91"/>
      <c r="D11" s="91"/>
      <c r="E11" s="91"/>
      <c r="F11" s="91"/>
      <c r="G11" s="91"/>
      <c r="H11" s="91"/>
      <c r="I11" s="91"/>
      <c r="J11" s="91"/>
    </row>
    <row r="12" spans="2:56">
      <c r="B12" s="105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248</v>
      </c>
    </row>
    <row r="2" spans="2:60">
      <c r="B2" s="47" t="s">
        <v>169</v>
      </c>
      <c r="C2" s="68" t="s">
        <v>249</v>
      </c>
    </row>
    <row r="3" spans="2:60">
      <c r="B3" s="47" t="s">
        <v>171</v>
      </c>
      <c r="C3" s="68" t="s">
        <v>250</v>
      </c>
    </row>
    <row r="4" spans="2:60">
      <c r="B4" s="47" t="s">
        <v>172</v>
      </c>
      <c r="C4" s="68">
        <v>2144</v>
      </c>
    </row>
    <row r="6" spans="2:60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60" s="3" customFormat="1" ht="63">
      <c r="B7" s="48" t="s">
        <v>107</v>
      </c>
      <c r="C7" s="50" t="s">
        <v>108</v>
      </c>
      <c r="D7" s="50" t="s">
        <v>14</v>
      </c>
      <c r="E7" s="50" t="s">
        <v>15</v>
      </c>
      <c r="F7" s="50" t="s">
        <v>52</v>
      </c>
      <c r="G7" s="50" t="s">
        <v>94</v>
      </c>
      <c r="H7" s="50" t="s">
        <v>48</v>
      </c>
      <c r="I7" s="50" t="s">
        <v>102</v>
      </c>
      <c r="J7" s="50" t="s">
        <v>173</v>
      </c>
      <c r="K7" s="65" t="s">
        <v>174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228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115">
        <v>0</v>
      </c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5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5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AH28:XFD29 D30:XFD1048576 D28:AF29 D1:H27 J1:XFD27 I1:I9 I11:I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1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10.85546875" style="3" bestFit="1" customWidth="1"/>
    <col min="16" max="16" width="7.85546875" style="3" customWidth="1"/>
    <col min="17" max="17" width="8.140625" style="3" customWidth="1"/>
    <col min="18" max="18" width="6.85546875" style="3" bestFit="1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248</v>
      </c>
    </row>
    <row r="2" spans="2:60">
      <c r="B2" s="47" t="s">
        <v>169</v>
      </c>
      <c r="C2" s="68" t="s">
        <v>249</v>
      </c>
    </row>
    <row r="3" spans="2:60">
      <c r="B3" s="47" t="s">
        <v>171</v>
      </c>
      <c r="C3" s="68" t="s">
        <v>250</v>
      </c>
    </row>
    <row r="4" spans="2:60">
      <c r="B4" s="47" t="s">
        <v>172</v>
      </c>
      <c r="C4" s="68">
        <v>2144</v>
      </c>
    </row>
    <row r="6" spans="2:60" ht="26.25" customHeight="1">
      <c r="B6" s="134" t="s">
        <v>206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60" s="3" customFormat="1" ht="63">
      <c r="B7" s="48" t="s">
        <v>107</v>
      </c>
      <c r="C7" s="50" t="s">
        <v>41</v>
      </c>
      <c r="D7" s="50" t="s">
        <v>14</v>
      </c>
      <c r="E7" s="50" t="s">
        <v>15</v>
      </c>
      <c r="F7" s="50" t="s">
        <v>52</v>
      </c>
      <c r="G7" s="50" t="s">
        <v>94</v>
      </c>
      <c r="H7" s="50" t="s">
        <v>48</v>
      </c>
      <c r="I7" s="50" t="s">
        <v>102</v>
      </c>
      <c r="J7" s="50" t="s">
        <v>173</v>
      </c>
      <c r="K7" s="52" t="s">
        <v>174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228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 t="s">
        <v>51</v>
      </c>
      <c r="C10" s="74"/>
      <c r="D10" s="74"/>
      <c r="E10" s="74"/>
      <c r="F10" s="74"/>
      <c r="G10" s="74"/>
      <c r="H10" s="85"/>
      <c r="I10" s="84">
        <f>I11</f>
        <v>-28.542428107999996</v>
      </c>
      <c r="J10" s="85">
        <f>I10/$I$10</f>
        <v>1</v>
      </c>
      <c r="K10" s="85">
        <f>I10/'סכום נכסי הקרן'!$C$42</f>
        <v>-9.996349441849782E-5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221</v>
      </c>
      <c r="C11" s="74"/>
      <c r="D11" s="74"/>
      <c r="E11" s="74"/>
      <c r="F11" s="74"/>
      <c r="G11" s="74"/>
      <c r="H11" s="85"/>
      <c r="I11" s="84">
        <f>I12+I13</f>
        <v>-28.542428107999996</v>
      </c>
      <c r="J11" s="85">
        <f t="shared" ref="J11:J12" si="0">I11/$I$10</f>
        <v>1</v>
      </c>
      <c r="K11" s="85">
        <f>I11/'סכום נכסי הקרן'!$C$42</f>
        <v>-9.996349441849782E-5</v>
      </c>
    </row>
    <row r="12" spans="2:60">
      <c r="B12" s="73" t="s">
        <v>1550</v>
      </c>
      <c r="C12" s="74" t="s">
        <v>1551</v>
      </c>
      <c r="D12" s="74" t="s">
        <v>686</v>
      </c>
      <c r="E12" s="74" t="s">
        <v>334</v>
      </c>
      <c r="F12" s="88">
        <v>0</v>
      </c>
      <c r="G12" s="87" t="s">
        <v>155</v>
      </c>
      <c r="H12" s="88">
        <v>0</v>
      </c>
      <c r="I12" s="84">
        <v>5.341094622</v>
      </c>
      <c r="J12" s="85">
        <f t="shared" si="0"/>
        <v>-0.18712824997894886</v>
      </c>
      <c r="K12" s="85">
        <f>I12/'סכום נכסי הקרן'!$C$42</f>
        <v>1.8705993772313919E-5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7" t="s">
        <v>687</v>
      </c>
      <c r="C13" s="74" t="s">
        <v>688</v>
      </c>
      <c r="D13" s="74" t="s">
        <v>690</v>
      </c>
      <c r="E13" s="87"/>
      <c r="F13" s="88">
        <v>0</v>
      </c>
      <c r="G13" s="87" t="s">
        <v>155</v>
      </c>
      <c r="H13" s="88">
        <v>0</v>
      </c>
      <c r="I13" s="84">
        <v>-33.883522729999996</v>
      </c>
      <c r="J13" s="85">
        <f>I13/$I$10</f>
        <v>1.1871282499789488</v>
      </c>
      <c r="K13" s="85">
        <f>I13/'סכום נכסי הקרן'!$C$42</f>
        <v>-1.1866948819081174E-4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1"/>
      <c r="G606" s="21"/>
    </row>
    <row r="607" spans="4:8">
      <c r="E607" s="21"/>
      <c r="G607" s="21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</sheetData>
  <sheetProtection sheet="1" objects="1" scenarios="1"/>
  <mergeCells count="1">
    <mergeCell ref="B6:K6"/>
  </mergeCells>
  <phoneticPr fontId="5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3">
    <dataValidation allowBlank="1" showInputMessage="1" showErrorMessage="1" sqref="A16:C1048576 AH26:XFD27 D28:XFD1048576 D26:AF27 D16:XFD25 A1:A15 B1:B12 C5:C12 B14:E15 D1:E12 F1:F15 G1:G12 H1:H11 J1:XFD15 I1:I12 G14:I15"/>
    <dataValidation type="list" allowBlank="1" showInputMessage="1" showErrorMessage="1" sqref="G13">
      <formula1>$BN$7:$BN$18</formula1>
    </dataValidation>
    <dataValidation type="list" allowBlank="1" showInputMessage="1" showErrorMessage="1" sqref="E13">
      <formula1>$BI$7:$BI$22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0"/>
  <sheetViews>
    <sheetView rightToLeft="1" topLeftCell="A4" workbookViewId="0">
      <selection activeCell="C22" activeCellId="1" sqref="C11 C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170</v>
      </c>
      <c r="C1" s="68" t="s" vm="1">
        <v>248</v>
      </c>
    </row>
    <row r="2" spans="2:47">
      <c r="B2" s="47" t="s">
        <v>169</v>
      </c>
      <c r="C2" s="68" t="s">
        <v>249</v>
      </c>
    </row>
    <row r="3" spans="2:47">
      <c r="B3" s="47" t="s">
        <v>171</v>
      </c>
      <c r="C3" s="68" t="s">
        <v>250</v>
      </c>
    </row>
    <row r="4" spans="2:47">
      <c r="B4" s="47" t="s">
        <v>172</v>
      </c>
      <c r="C4" s="68">
        <v>2144</v>
      </c>
    </row>
    <row r="6" spans="2:47" ht="26.25" customHeight="1">
      <c r="B6" s="134" t="s">
        <v>207</v>
      </c>
      <c r="C6" s="135"/>
      <c r="D6" s="136"/>
    </row>
    <row r="7" spans="2:47" s="3" customFormat="1" ht="33">
      <c r="B7" s="48" t="s">
        <v>107</v>
      </c>
      <c r="C7" s="53" t="s">
        <v>99</v>
      </c>
      <c r="D7" s="54" t="s">
        <v>98</v>
      </c>
    </row>
    <row r="8" spans="2:47" s="3" customFormat="1">
      <c r="B8" s="15"/>
      <c r="C8" s="32" t="s">
        <v>228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24" t="s">
        <v>1554</v>
      </c>
      <c r="C10" s="81">
        <v>3693.2031366066376</v>
      </c>
      <c r="D10" s="12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1555</v>
      </c>
      <c r="C11" s="81">
        <v>1806.7428566066376</v>
      </c>
      <c r="D11" s="128"/>
    </row>
    <row r="12" spans="2:47">
      <c r="B12" s="77" t="s">
        <v>1557</v>
      </c>
      <c r="C12" s="84">
        <v>342.11250000000001</v>
      </c>
      <c r="D12" s="96">
        <v>44926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1558</v>
      </c>
      <c r="C13" s="84">
        <v>132.20974999999999</v>
      </c>
      <c r="D13" s="96">
        <v>44255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1559</v>
      </c>
      <c r="C14" s="84">
        <v>77.947199999999995</v>
      </c>
      <c r="D14" s="96">
        <v>44196</v>
      </c>
    </row>
    <row r="15" spans="2:47">
      <c r="B15" s="77" t="s">
        <v>1560</v>
      </c>
      <c r="C15" s="84">
        <v>1.3360399999999999</v>
      </c>
      <c r="D15" s="96">
        <v>44246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1561</v>
      </c>
      <c r="C16" s="84">
        <v>417.17613660663773</v>
      </c>
      <c r="D16" s="96">
        <v>51774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1562</v>
      </c>
      <c r="C17" s="84">
        <v>298.04629999999997</v>
      </c>
      <c r="D17" s="96">
        <v>46100</v>
      </c>
    </row>
    <row r="18" spans="2:4">
      <c r="B18" s="77" t="s">
        <v>1563</v>
      </c>
      <c r="C18" s="84">
        <v>429.04849000000002</v>
      </c>
      <c r="D18" s="96">
        <v>44545</v>
      </c>
    </row>
    <row r="19" spans="2:4">
      <c r="B19" s="77" t="s">
        <v>1564</v>
      </c>
      <c r="C19" s="84">
        <v>40.459989999999998</v>
      </c>
      <c r="D19" s="96">
        <v>44196</v>
      </c>
    </row>
    <row r="20" spans="2:4">
      <c r="B20" s="77" t="s">
        <v>1565</v>
      </c>
      <c r="C20" s="84">
        <v>68.406449999999992</v>
      </c>
      <c r="D20" s="96">
        <v>44739</v>
      </c>
    </row>
    <row r="21" spans="2:4">
      <c r="B21" s="77"/>
      <c r="C21" s="84"/>
      <c r="D21" s="96"/>
    </row>
    <row r="22" spans="2:4">
      <c r="B22" s="71" t="s">
        <v>1556</v>
      </c>
      <c r="C22" s="81">
        <v>1886.4602800000002</v>
      </c>
      <c r="D22" s="128"/>
    </row>
    <row r="23" spans="2:4">
      <c r="B23" s="77" t="s">
        <v>1566</v>
      </c>
      <c r="C23" s="84">
        <v>41.223010000000002</v>
      </c>
      <c r="D23" s="96">
        <v>44332</v>
      </c>
    </row>
    <row r="24" spans="2:4">
      <c r="B24" s="77" t="s">
        <v>1567</v>
      </c>
      <c r="C24" s="84">
        <v>322.27913000000001</v>
      </c>
      <c r="D24" s="96">
        <v>45615</v>
      </c>
    </row>
    <row r="25" spans="2:4">
      <c r="B25" s="77" t="s">
        <v>1568</v>
      </c>
      <c r="C25" s="84">
        <v>204.93611999999999</v>
      </c>
      <c r="D25" s="96">
        <v>46626</v>
      </c>
    </row>
    <row r="26" spans="2:4">
      <c r="B26" s="77" t="s">
        <v>1569</v>
      </c>
      <c r="C26" s="84">
        <v>160.4924</v>
      </c>
      <c r="D26" s="96">
        <v>44819</v>
      </c>
    </row>
    <row r="27" spans="2:4">
      <c r="B27" s="77" t="s">
        <v>1570</v>
      </c>
      <c r="C27" s="84">
        <v>132.26564000000002</v>
      </c>
      <c r="D27" s="96">
        <v>44821</v>
      </c>
    </row>
    <row r="28" spans="2:4">
      <c r="B28" s="77" t="s">
        <v>1571</v>
      </c>
      <c r="C28" s="84">
        <v>20.896129999999999</v>
      </c>
      <c r="D28" s="96">
        <v>46059</v>
      </c>
    </row>
    <row r="29" spans="2:4">
      <c r="B29" s="77" t="s">
        <v>1572</v>
      </c>
      <c r="C29" s="84">
        <v>30.5425</v>
      </c>
      <c r="D29" s="96">
        <v>44256</v>
      </c>
    </row>
    <row r="30" spans="2:4">
      <c r="B30" s="77" t="s">
        <v>1573</v>
      </c>
      <c r="C30" s="84">
        <v>40.533619999999999</v>
      </c>
      <c r="D30" s="96">
        <v>44611</v>
      </c>
    </row>
    <row r="31" spans="2:4">
      <c r="B31" s="77" t="s">
        <v>1574</v>
      </c>
      <c r="C31" s="84">
        <v>26.548669999999998</v>
      </c>
      <c r="D31" s="96">
        <v>45648</v>
      </c>
    </row>
    <row r="32" spans="2:4">
      <c r="B32" s="77" t="s">
        <v>1575</v>
      </c>
      <c r="C32" s="84">
        <v>98.621880000000004</v>
      </c>
      <c r="D32" s="96">
        <v>45602</v>
      </c>
    </row>
    <row r="33" spans="2:4">
      <c r="B33" s="77" t="s">
        <v>1576</v>
      </c>
      <c r="C33" s="84">
        <v>311.23235</v>
      </c>
      <c r="D33" s="96">
        <v>46325</v>
      </c>
    </row>
    <row r="34" spans="2:4">
      <c r="B34" s="77" t="s">
        <v>1577</v>
      </c>
      <c r="C34" s="84">
        <v>496.88883000000004</v>
      </c>
      <c r="D34" s="96">
        <v>44104</v>
      </c>
    </row>
    <row r="35" spans="2:4">
      <c r="B35" s="77"/>
      <c r="C35" s="84"/>
      <c r="D35" s="96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  <row r="110" spans="2:4">
      <c r="B110" s="91"/>
      <c r="C110" s="91"/>
      <c r="D110" s="91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5:C1048576 A1:B1048576 D1:XFD28 D31:XFD1048576 D29:AF30 AH29:XFD3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248</v>
      </c>
    </row>
    <row r="2" spans="2:18">
      <c r="B2" s="47" t="s">
        <v>169</v>
      </c>
      <c r="C2" s="68" t="s">
        <v>249</v>
      </c>
    </row>
    <row r="3" spans="2:18">
      <c r="B3" s="47" t="s">
        <v>171</v>
      </c>
      <c r="C3" s="68" t="s">
        <v>250</v>
      </c>
    </row>
    <row r="4" spans="2:18">
      <c r="B4" s="47" t="s">
        <v>172</v>
      </c>
      <c r="C4" s="68">
        <v>2144</v>
      </c>
    </row>
    <row r="6" spans="2:18" ht="26.25" customHeight="1">
      <c r="B6" s="134" t="s">
        <v>210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230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232</v>
      </c>
      <c r="M8" s="32" t="s">
        <v>228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5">
        <v>0</v>
      </c>
      <c r="N10" s="91"/>
      <c r="O10" s="91"/>
      <c r="P10" s="91"/>
      <c r="Q10" s="5"/>
    </row>
    <row r="11" spans="2:18" ht="20.25" customHeight="1">
      <c r="B11" s="89" t="s">
        <v>241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topLeftCell="A4" workbookViewId="0">
      <selection activeCell="Q31" sqref="P31:Q3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248</v>
      </c>
    </row>
    <row r="2" spans="2:18">
      <c r="B2" s="47" t="s">
        <v>169</v>
      </c>
      <c r="C2" s="68" t="s">
        <v>249</v>
      </c>
    </row>
    <row r="3" spans="2:18">
      <c r="B3" s="47" t="s">
        <v>171</v>
      </c>
      <c r="C3" s="68" t="s">
        <v>250</v>
      </c>
    </row>
    <row r="4" spans="2:18">
      <c r="B4" s="47" t="s">
        <v>172</v>
      </c>
      <c r="C4" s="68">
        <v>2144</v>
      </c>
    </row>
    <row r="6" spans="2:18" ht="26.25" customHeight="1">
      <c r="B6" s="134" t="s">
        <v>211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225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232</v>
      </c>
      <c r="M8" s="32" t="s">
        <v>228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5">
        <v>0</v>
      </c>
      <c r="N10" s="91"/>
      <c r="O10" s="91"/>
      <c r="P10" s="91"/>
      <c r="Q10" s="5"/>
    </row>
    <row r="11" spans="2:18" ht="20.25" customHeight="1">
      <c r="B11" s="89" t="s">
        <v>241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32" workbookViewId="0">
      <selection activeCell="K43" sqref="K43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170</v>
      </c>
      <c r="C1" s="68" t="s" vm="1">
        <v>248</v>
      </c>
    </row>
    <row r="2" spans="2:53">
      <c r="B2" s="47" t="s">
        <v>169</v>
      </c>
      <c r="C2" s="68" t="s">
        <v>249</v>
      </c>
    </row>
    <row r="3" spans="2:53">
      <c r="B3" s="47" t="s">
        <v>171</v>
      </c>
      <c r="C3" s="68" t="s">
        <v>250</v>
      </c>
    </row>
    <row r="4" spans="2:53">
      <c r="B4" s="47" t="s">
        <v>172</v>
      </c>
      <c r="C4" s="68">
        <v>2144</v>
      </c>
    </row>
    <row r="6" spans="2:53" ht="21.75" customHeight="1">
      <c r="B6" s="137" t="s">
        <v>200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53" ht="27.75" customHeight="1">
      <c r="B7" s="140" t="s">
        <v>80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AU7" s="3"/>
      <c r="AV7" s="3"/>
    </row>
    <row r="8" spans="2:53" s="3" customFormat="1" ht="66" customHeight="1">
      <c r="B8" s="22" t="s">
        <v>106</v>
      </c>
      <c r="C8" s="30" t="s">
        <v>41</v>
      </c>
      <c r="D8" s="30" t="s">
        <v>110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225</v>
      </c>
      <c r="M8" s="30" t="s">
        <v>224</v>
      </c>
      <c r="N8" s="30" t="s">
        <v>240</v>
      </c>
      <c r="O8" s="30" t="s">
        <v>56</v>
      </c>
      <c r="P8" s="30" t="s">
        <v>227</v>
      </c>
      <c r="Q8" s="30" t="s">
        <v>173</v>
      </c>
      <c r="R8" s="60" t="s">
        <v>175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232</v>
      </c>
      <c r="M9" s="32"/>
      <c r="N9" s="16" t="s">
        <v>228</v>
      </c>
      <c r="O9" s="32" t="s">
        <v>233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20" t="s">
        <v>105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6.9544421014316722</v>
      </c>
      <c r="I11" s="70"/>
      <c r="J11" s="70"/>
      <c r="K11" s="79">
        <v>1.215064266057375E-3</v>
      </c>
      <c r="L11" s="78"/>
      <c r="M11" s="80"/>
      <c r="N11" s="70"/>
      <c r="O11" s="78">
        <v>78138.116796080008</v>
      </c>
      <c r="P11" s="70"/>
      <c r="Q11" s="79">
        <f>O11/$O$11</f>
        <v>1</v>
      </c>
      <c r="R11" s="79">
        <f>O11/'סכום נכסי הקרן'!$C$42</f>
        <v>0.2736613427792986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221</v>
      </c>
      <c r="C12" s="72"/>
      <c r="D12" s="72"/>
      <c r="E12" s="72"/>
      <c r="F12" s="72"/>
      <c r="G12" s="72"/>
      <c r="H12" s="81">
        <v>6.7357975742601957</v>
      </c>
      <c r="I12" s="72"/>
      <c r="J12" s="72"/>
      <c r="K12" s="82">
        <v>7.5435909057753627E-4</v>
      </c>
      <c r="L12" s="81"/>
      <c r="M12" s="83"/>
      <c r="N12" s="72"/>
      <c r="O12" s="81">
        <v>77013.424464772004</v>
      </c>
      <c r="P12" s="72"/>
      <c r="Q12" s="82">
        <f t="shared" ref="Q12:Q25" si="0">O12/$O$11</f>
        <v>0.98560635478017522</v>
      </c>
      <c r="R12" s="82">
        <f>O12/'סכום נכסי הקרן'!$C$42</f>
        <v>0.26972235850095255</v>
      </c>
      <c r="AW12" s="4"/>
    </row>
    <row r="13" spans="2:53" s="90" customFormat="1">
      <c r="B13" s="110" t="s">
        <v>25</v>
      </c>
      <c r="C13" s="111"/>
      <c r="D13" s="111"/>
      <c r="E13" s="111"/>
      <c r="F13" s="111"/>
      <c r="G13" s="111"/>
      <c r="H13" s="112">
        <v>6.7313754465245204</v>
      </c>
      <c r="I13" s="111"/>
      <c r="J13" s="111"/>
      <c r="K13" s="113">
        <v>-3.7454726483709525E-3</v>
      </c>
      <c r="L13" s="112"/>
      <c r="M13" s="114"/>
      <c r="N13" s="111"/>
      <c r="O13" s="112">
        <v>38446.053775571003</v>
      </c>
      <c r="P13" s="111"/>
      <c r="Q13" s="113">
        <f t="shared" si="0"/>
        <v>0.49202687947938545</v>
      </c>
      <c r="R13" s="113">
        <f>O13/'סכום נכסי הקרן'!$C$42</f>
        <v>0.13464873652183676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6.7313754465245204</v>
      </c>
      <c r="I14" s="72"/>
      <c r="J14" s="72"/>
      <c r="K14" s="82">
        <v>-3.7454726483709525E-3</v>
      </c>
      <c r="L14" s="81"/>
      <c r="M14" s="83"/>
      <c r="N14" s="72"/>
      <c r="O14" s="81">
        <v>38446.053775571003</v>
      </c>
      <c r="P14" s="72"/>
      <c r="Q14" s="82">
        <f t="shared" si="0"/>
        <v>0.49202687947938545</v>
      </c>
      <c r="R14" s="82">
        <f>O14/'סכום נכסי הקרן'!$C$42</f>
        <v>0.13464873652183676</v>
      </c>
    </row>
    <row r="15" spans="2:53">
      <c r="B15" s="76" t="s">
        <v>251</v>
      </c>
      <c r="C15" s="74" t="s">
        <v>252</v>
      </c>
      <c r="D15" s="87" t="s">
        <v>111</v>
      </c>
      <c r="E15" s="74" t="s">
        <v>253</v>
      </c>
      <c r="F15" s="74"/>
      <c r="G15" s="74"/>
      <c r="H15" s="84">
        <v>1.0399999999998868</v>
      </c>
      <c r="I15" s="87" t="s">
        <v>155</v>
      </c>
      <c r="J15" s="88">
        <v>0.04</v>
      </c>
      <c r="K15" s="85">
        <v>-7.9999999999991287E-4</v>
      </c>
      <c r="L15" s="84">
        <v>3257765.5979760005</v>
      </c>
      <c r="M15" s="86">
        <v>140.97</v>
      </c>
      <c r="N15" s="74"/>
      <c r="O15" s="84">
        <v>4592.4721677380003</v>
      </c>
      <c r="P15" s="85">
        <v>2.0953216090063381E-4</v>
      </c>
      <c r="Q15" s="85">
        <f t="shared" si="0"/>
        <v>5.8773775924535629E-2</v>
      </c>
      <c r="R15" s="85">
        <f>O15/'סכום נכסי הקרן'!$C$42</f>
        <v>1.6084110439718032E-2</v>
      </c>
    </row>
    <row r="16" spans="2:53" ht="20.25">
      <c r="B16" s="76" t="s">
        <v>254</v>
      </c>
      <c r="C16" s="74" t="s">
        <v>255</v>
      </c>
      <c r="D16" s="87" t="s">
        <v>111</v>
      </c>
      <c r="E16" s="74" t="s">
        <v>253</v>
      </c>
      <c r="F16" s="74"/>
      <c r="G16" s="74"/>
      <c r="H16" s="84">
        <v>3.7600000000000779</v>
      </c>
      <c r="I16" s="87" t="s">
        <v>155</v>
      </c>
      <c r="J16" s="88">
        <v>0.04</v>
      </c>
      <c r="K16" s="85">
        <v>-5.0000000000000001E-3</v>
      </c>
      <c r="L16" s="84">
        <v>3045398.2936010002</v>
      </c>
      <c r="M16" s="86">
        <v>150.97999999999999</v>
      </c>
      <c r="N16" s="74"/>
      <c r="O16" s="84">
        <v>4597.9423982640001</v>
      </c>
      <c r="P16" s="85">
        <v>2.6212997756744897E-4</v>
      </c>
      <c r="Q16" s="85">
        <f t="shared" si="0"/>
        <v>5.8843783121410823E-2</v>
      </c>
      <c r="R16" s="85">
        <f>O16/'סכום נכסי הקרן'!$C$42</f>
        <v>1.6103268703219112E-2</v>
      </c>
      <c r="AU16" s="4"/>
    </row>
    <row r="17" spans="2:48" ht="20.25">
      <c r="B17" s="76" t="s">
        <v>256</v>
      </c>
      <c r="C17" s="74" t="s">
        <v>257</v>
      </c>
      <c r="D17" s="87" t="s">
        <v>111</v>
      </c>
      <c r="E17" s="74" t="s">
        <v>253</v>
      </c>
      <c r="F17" s="74"/>
      <c r="G17" s="74"/>
      <c r="H17" s="84">
        <v>6.769999999999559</v>
      </c>
      <c r="I17" s="87" t="s">
        <v>155</v>
      </c>
      <c r="J17" s="88">
        <v>7.4999999999999997E-3</v>
      </c>
      <c r="K17" s="85">
        <v>-6.7000000000003689E-3</v>
      </c>
      <c r="L17" s="84">
        <v>3395524.9325049995</v>
      </c>
      <c r="M17" s="86">
        <v>111.25</v>
      </c>
      <c r="N17" s="74"/>
      <c r="O17" s="84">
        <v>3777.5213385580005</v>
      </c>
      <c r="P17" s="85">
        <v>2.1256775545919958E-4</v>
      </c>
      <c r="Q17" s="85">
        <f t="shared" si="0"/>
        <v>4.8344156391896931E-2</v>
      </c>
      <c r="R17" s="85">
        <f>O17/'סכום נכסי הקרן'!$C$42</f>
        <v>1.3229926753738927E-2</v>
      </c>
      <c r="AV17" s="4"/>
    </row>
    <row r="18" spans="2:48">
      <c r="B18" s="76" t="s">
        <v>258</v>
      </c>
      <c r="C18" s="74" t="s">
        <v>259</v>
      </c>
      <c r="D18" s="87" t="s">
        <v>111</v>
      </c>
      <c r="E18" s="74" t="s">
        <v>253</v>
      </c>
      <c r="F18" s="74"/>
      <c r="G18" s="74"/>
      <c r="H18" s="84">
        <v>13.069999999999975</v>
      </c>
      <c r="I18" s="87" t="s">
        <v>155</v>
      </c>
      <c r="J18" s="88">
        <v>0.04</v>
      </c>
      <c r="K18" s="85">
        <v>-3.7000000000021425E-3</v>
      </c>
      <c r="L18" s="84">
        <v>1027315.8599170001</v>
      </c>
      <c r="M18" s="86">
        <v>204.5</v>
      </c>
      <c r="N18" s="74"/>
      <c r="O18" s="84">
        <v>2100.8609388149998</v>
      </c>
      <c r="P18" s="85">
        <v>6.3330107383160596E-5</v>
      </c>
      <c r="Q18" s="85">
        <f t="shared" si="0"/>
        <v>2.6886505907196302E-2</v>
      </c>
      <c r="R18" s="85">
        <f>O18/'סכום נכסי הקרן'!$C$42</f>
        <v>7.3577973092068842E-3</v>
      </c>
      <c r="AU18" s="3"/>
    </row>
    <row r="19" spans="2:48">
      <c r="B19" s="76" t="s">
        <v>260</v>
      </c>
      <c r="C19" s="74" t="s">
        <v>261</v>
      </c>
      <c r="D19" s="87" t="s">
        <v>111</v>
      </c>
      <c r="E19" s="74" t="s">
        <v>253</v>
      </c>
      <c r="F19" s="74"/>
      <c r="G19" s="74"/>
      <c r="H19" s="84">
        <v>17.249999999998739</v>
      </c>
      <c r="I19" s="87" t="s">
        <v>155</v>
      </c>
      <c r="J19" s="88">
        <v>2.75E-2</v>
      </c>
      <c r="K19" s="85">
        <v>-8.0000000000000015E-4</v>
      </c>
      <c r="L19" s="84">
        <v>1593301.7060789999</v>
      </c>
      <c r="M19" s="86">
        <v>174.21</v>
      </c>
      <c r="N19" s="74"/>
      <c r="O19" s="84">
        <v>2775.6909494499996</v>
      </c>
      <c r="P19" s="85">
        <v>9.0144026389206897E-5</v>
      </c>
      <c r="Q19" s="85">
        <f t="shared" si="0"/>
        <v>3.5522880039377258E-2</v>
      </c>
      <c r="R19" s="85">
        <f>O19/'סכום נכסי הקרן'!$C$42</f>
        <v>9.7212390509639254E-3</v>
      </c>
      <c r="AV19" s="3"/>
    </row>
    <row r="20" spans="2:48">
      <c r="B20" s="76" t="s">
        <v>262</v>
      </c>
      <c r="C20" s="74" t="s">
        <v>263</v>
      </c>
      <c r="D20" s="87" t="s">
        <v>111</v>
      </c>
      <c r="E20" s="74" t="s">
        <v>253</v>
      </c>
      <c r="F20" s="74"/>
      <c r="G20" s="74"/>
      <c r="H20" s="84">
        <v>3.150000000000118</v>
      </c>
      <c r="I20" s="87" t="s">
        <v>155</v>
      </c>
      <c r="J20" s="88">
        <v>1.7500000000000002E-2</v>
      </c>
      <c r="K20" s="85">
        <v>-4.2999999999998439E-3</v>
      </c>
      <c r="L20" s="84">
        <v>4635117.9581080005</v>
      </c>
      <c r="M20" s="86">
        <v>110.28</v>
      </c>
      <c r="N20" s="74"/>
      <c r="O20" s="84">
        <v>5111.6079742559996</v>
      </c>
      <c r="P20" s="85">
        <v>2.7427632586938058E-4</v>
      </c>
      <c r="Q20" s="85">
        <f t="shared" si="0"/>
        <v>6.5417598783394745E-2</v>
      </c>
      <c r="R20" s="85">
        <f>O20/'סכום נכסי הקרן'!$C$42</f>
        <v>1.7902267924461215E-2</v>
      </c>
    </row>
    <row r="21" spans="2:48">
      <c r="B21" s="76" t="s">
        <v>264</v>
      </c>
      <c r="C21" s="74" t="s">
        <v>265</v>
      </c>
      <c r="D21" s="87" t="s">
        <v>111</v>
      </c>
      <c r="E21" s="74" t="s">
        <v>253</v>
      </c>
      <c r="F21" s="74"/>
      <c r="G21" s="74"/>
      <c r="H21" s="84">
        <v>0.3300000000224278</v>
      </c>
      <c r="I21" s="87" t="s">
        <v>155</v>
      </c>
      <c r="J21" s="88">
        <v>1E-3</v>
      </c>
      <c r="K21" s="85">
        <v>-8.3999999995514434E-3</v>
      </c>
      <c r="L21" s="84">
        <v>10576.223334000002</v>
      </c>
      <c r="M21" s="86">
        <v>101.18</v>
      </c>
      <c r="N21" s="74"/>
      <c r="O21" s="84">
        <v>10.701022472</v>
      </c>
      <c r="P21" s="85">
        <v>8.7851317260001862E-7</v>
      </c>
      <c r="Q21" s="85">
        <f t="shared" si="0"/>
        <v>1.3695009440689313E-4</v>
      </c>
      <c r="R21" s="85">
        <f>O21/'סכום נכסי הקרן'!$C$42</f>
        <v>3.747794672914209E-5</v>
      </c>
    </row>
    <row r="22" spans="2:48">
      <c r="B22" s="76" t="s">
        <v>266</v>
      </c>
      <c r="C22" s="74" t="s">
        <v>267</v>
      </c>
      <c r="D22" s="87" t="s">
        <v>111</v>
      </c>
      <c r="E22" s="74" t="s">
        <v>253</v>
      </c>
      <c r="F22" s="74"/>
      <c r="G22" s="74"/>
      <c r="H22" s="84">
        <v>5.2300000000002838</v>
      </c>
      <c r="I22" s="87" t="s">
        <v>155</v>
      </c>
      <c r="J22" s="88">
        <v>7.4999999999999997E-3</v>
      </c>
      <c r="K22" s="85">
        <v>-6.1000000000012563E-3</v>
      </c>
      <c r="L22" s="84">
        <v>3966013.3662620001</v>
      </c>
      <c r="M22" s="86">
        <v>108.32</v>
      </c>
      <c r="N22" s="74"/>
      <c r="O22" s="84">
        <v>4295.9857496859995</v>
      </c>
      <c r="P22" s="85">
        <v>2.3410072348024007E-4</v>
      </c>
      <c r="Q22" s="85">
        <f t="shared" si="0"/>
        <v>5.4979386832388032E-2</v>
      </c>
      <c r="R22" s="85">
        <f>O22/'סכום נכסי הקרן'!$C$42</f>
        <v>1.5045732825733798E-2</v>
      </c>
    </row>
    <row r="23" spans="2:48">
      <c r="B23" s="76" t="s">
        <v>268</v>
      </c>
      <c r="C23" s="74" t="s">
        <v>269</v>
      </c>
      <c r="D23" s="87" t="s">
        <v>111</v>
      </c>
      <c r="E23" s="74" t="s">
        <v>253</v>
      </c>
      <c r="F23" s="74"/>
      <c r="G23" s="74"/>
      <c r="H23" s="84">
        <v>8.7499999999989075</v>
      </c>
      <c r="I23" s="87" t="s">
        <v>155</v>
      </c>
      <c r="J23" s="88">
        <v>5.0000000000000001E-3</v>
      </c>
      <c r="K23" s="85">
        <v>-6.8999999999985861E-3</v>
      </c>
      <c r="L23" s="84">
        <v>3504199.3873859998</v>
      </c>
      <c r="M23" s="86">
        <v>111</v>
      </c>
      <c r="N23" s="74"/>
      <c r="O23" s="84">
        <v>3889.6611759950001</v>
      </c>
      <c r="P23" s="85">
        <v>2.5750454721614401E-4</v>
      </c>
      <c r="Q23" s="85">
        <f t="shared" si="0"/>
        <v>4.9779305356769672E-2</v>
      </c>
      <c r="R23" s="85">
        <f>O23/'סכום נכסי הקרן'!$C$42</f>
        <v>1.3622671546554322E-2</v>
      </c>
    </row>
    <row r="24" spans="2:48">
      <c r="B24" s="76" t="s">
        <v>270</v>
      </c>
      <c r="C24" s="74" t="s">
        <v>271</v>
      </c>
      <c r="D24" s="87" t="s">
        <v>111</v>
      </c>
      <c r="E24" s="74" t="s">
        <v>253</v>
      </c>
      <c r="F24" s="74"/>
      <c r="G24" s="74"/>
      <c r="H24" s="84">
        <v>22.479999999997634</v>
      </c>
      <c r="I24" s="87" t="s">
        <v>155</v>
      </c>
      <c r="J24" s="88">
        <v>0.01</v>
      </c>
      <c r="K24" s="85">
        <v>1.5000000000017146E-3</v>
      </c>
      <c r="L24" s="84">
        <v>1915578.159455</v>
      </c>
      <c r="M24" s="86">
        <v>121.79</v>
      </c>
      <c r="N24" s="74"/>
      <c r="O24" s="84">
        <v>2332.982573624</v>
      </c>
      <c r="P24" s="85">
        <v>1.160174291862262E-4</v>
      </c>
      <c r="Q24" s="85">
        <f t="shared" si="0"/>
        <v>2.9857164074128799E-2</v>
      </c>
      <c r="R24" s="85">
        <f>O24/'סכום נכסי הקרן'!$C$42</f>
        <v>8.1707516121079203E-3</v>
      </c>
    </row>
    <row r="25" spans="2:48">
      <c r="B25" s="76" t="s">
        <v>272</v>
      </c>
      <c r="C25" s="74" t="s">
        <v>273</v>
      </c>
      <c r="D25" s="87" t="s">
        <v>111</v>
      </c>
      <c r="E25" s="74" t="s">
        <v>253</v>
      </c>
      <c r="F25" s="74"/>
      <c r="G25" s="74"/>
      <c r="H25" s="84">
        <v>2.1699999999999582</v>
      </c>
      <c r="I25" s="87" t="s">
        <v>155</v>
      </c>
      <c r="J25" s="88">
        <v>2.75E-2</v>
      </c>
      <c r="K25" s="85">
        <v>-2.1000000000005446E-3</v>
      </c>
      <c r="L25" s="84">
        <v>4403966.2866620002</v>
      </c>
      <c r="M25" s="86">
        <v>112.64</v>
      </c>
      <c r="N25" s="74"/>
      <c r="O25" s="84">
        <v>4960.6274867129996</v>
      </c>
      <c r="P25" s="85">
        <v>2.622555872159546E-4</v>
      </c>
      <c r="Q25" s="85">
        <f t="shared" si="0"/>
        <v>6.348537295388032E-2</v>
      </c>
      <c r="R25" s="85">
        <f>O25/'סכום נכסי הקרן'!$C$42</f>
        <v>1.7373492409403456E-2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 s="90" customFormat="1">
      <c r="B27" s="110" t="s">
        <v>42</v>
      </c>
      <c r="C27" s="111"/>
      <c r="D27" s="111"/>
      <c r="E27" s="111"/>
      <c r="F27" s="111"/>
      <c r="G27" s="111"/>
      <c r="H27" s="112">
        <v>6.7402057918205358</v>
      </c>
      <c r="I27" s="111"/>
      <c r="J27" s="111"/>
      <c r="K27" s="113">
        <v>5.8760303640840398E-3</v>
      </c>
      <c r="L27" s="112"/>
      <c r="M27" s="114"/>
      <c r="N27" s="111"/>
      <c r="O27" s="112">
        <v>38567.37068920098</v>
      </c>
      <c r="P27" s="111"/>
      <c r="Q27" s="113">
        <f t="shared" ref="Q27:Q35" si="1">O27/$O$11</f>
        <v>0.49357947530078955</v>
      </c>
      <c r="R27" s="113">
        <f>O27/'סכום נכסי הקרן'!$C$42</f>
        <v>0.13507362197911571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0.33327445915230042</v>
      </c>
      <c r="I28" s="72"/>
      <c r="J28" s="72"/>
      <c r="K28" s="82">
        <v>5.5459039987454937E-4</v>
      </c>
      <c r="L28" s="81"/>
      <c r="M28" s="83"/>
      <c r="N28" s="72"/>
      <c r="O28" s="81">
        <v>8092.4921752540004</v>
      </c>
      <c r="P28" s="72"/>
      <c r="Q28" s="82">
        <f t="shared" si="1"/>
        <v>0.10356651154484926</v>
      </c>
      <c r="R28" s="82">
        <f>O28/'סכום נכסי הקרן'!$C$42</f>
        <v>2.8342150616331181E-2</v>
      </c>
    </row>
    <row r="29" spans="2:48">
      <c r="B29" s="76" t="s">
        <v>274</v>
      </c>
      <c r="C29" s="74" t="s">
        <v>275</v>
      </c>
      <c r="D29" s="87" t="s">
        <v>111</v>
      </c>
      <c r="E29" s="74" t="s">
        <v>253</v>
      </c>
      <c r="F29" s="74"/>
      <c r="G29" s="74"/>
      <c r="H29" s="84">
        <v>0.29000000000015319</v>
      </c>
      <c r="I29" s="87" t="s">
        <v>155</v>
      </c>
      <c r="J29" s="88">
        <v>0</v>
      </c>
      <c r="K29" s="88">
        <v>0</v>
      </c>
      <c r="L29" s="84">
        <v>2349778.906616</v>
      </c>
      <c r="M29" s="86">
        <v>100</v>
      </c>
      <c r="N29" s="74"/>
      <c r="O29" s="84">
        <v>2349.7789066159999</v>
      </c>
      <c r="P29" s="85">
        <v>2.6108654517955558E-4</v>
      </c>
      <c r="Q29" s="85">
        <f t="shared" si="1"/>
        <v>3.0072121046227751E-2</v>
      </c>
      <c r="R29" s="85">
        <f>O29/'סכום נכסי הקרן'!$C$42</f>
        <v>8.2295770257322931E-3</v>
      </c>
    </row>
    <row r="30" spans="2:48">
      <c r="B30" s="76" t="s">
        <v>276</v>
      </c>
      <c r="C30" s="74" t="s">
        <v>277</v>
      </c>
      <c r="D30" s="87" t="s">
        <v>111</v>
      </c>
      <c r="E30" s="74" t="s">
        <v>253</v>
      </c>
      <c r="F30" s="74"/>
      <c r="G30" s="74"/>
      <c r="H30" s="84">
        <v>0.52000000000019886</v>
      </c>
      <c r="I30" s="87" t="s">
        <v>155</v>
      </c>
      <c r="J30" s="88">
        <v>0</v>
      </c>
      <c r="K30" s="88">
        <v>0</v>
      </c>
      <c r="L30" s="84">
        <v>1207295.2249129999</v>
      </c>
      <c r="M30" s="86">
        <v>100</v>
      </c>
      <c r="N30" s="74"/>
      <c r="O30" s="84">
        <v>1207.2952249129999</v>
      </c>
      <c r="P30" s="85">
        <v>1.5091190311412498E-4</v>
      </c>
      <c r="Q30" s="85">
        <f t="shared" si="1"/>
        <v>1.5450784769534742E-2</v>
      </c>
      <c r="R30" s="85">
        <f>O30/'סכום נכסי הקרן'!$C$42</f>
        <v>4.2282825070248135E-3</v>
      </c>
    </row>
    <row r="31" spans="2:48">
      <c r="B31" s="76" t="s">
        <v>278</v>
      </c>
      <c r="C31" s="74" t="s">
        <v>279</v>
      </c>
      <c r="D31" s="87" t="s">
        <v>111</v>
      </c>
      <c r="E31" s="74" t="s">
        <v>253</v>
      </c>
      <c r="F31" s="74"/>
      <c r="G31" s="74"/>
      <c r="H31" s="84">
        <v>0.3500000000003623</v>
      </c>
      <c r="I31" s="87" t="s">
        <v>155</v>
      </c>
      <c r="J31" s="88">
        <v>0</v>
      </c>
      <c r="K31" s="85">
        <v>6.0000000000338136E-4</v>
      </c>
      <c r="L31" s="84">
        <v>1242367.8174670001</v>
      </c>
      <c r="M31" s="86">
        <v>99.98</v>
      </c>
      <c r="N31" s="74"/>
      <c r="O31" s="84">
        <v>1242.119343893</v>
      </c>
      <c r="P31" s="85">
        <v>1.3804086860744446E-4</v>
      </c>
      <c r="Q31" s="85">
        <f t="shared" si="1"/>
        <v>1.5896458666064421E-2</v>
      </c>
      <c r="R31" s="85">
        <f>O31/'סכום נכסי הקרן'!$C$42</f>
        <v>4.3502462239908071E-3</v>
      </c>
    </row>
    <row r="32" spans="2:48">
      <c r="B32" s="76" t="s">
        <v>280</v>
      </c>
      <c r="C32" s="74" t="s">
        <v>281</v>
      </c>
      <c r="D32" s="87" t="s">
        <v>111</v>
      </c>
      <c r="E32" s="74" t="s">
        <v>253</v>
      </c>
      <c r="F32" s="74"/>
      <c r="G32" s="74"/>
      <c r="H32" s="84">
        <v>0.41999999999967474</v>
      </c>
      <c r="I32" s="87" t="s">
        <v>155</v>
      </c>
      <c r="J32" s="88">
        <v>0</v>
      </c>
      <c r="K32" s="88">
        <v>0</v>
      </c>
      <c r="L32" s="84">
        <v>860806.45248400001</v>
      </c>
      <c r="M32" s="86">
        <v>100</v>
      </c>
      <c r="N32" s="74"/>
      <c r="O32" s="84">
        <v>860.80645248400003</v>
      </c>
      <c r="P32" s="85">
        <v>9.564516138711111E-5</v>
      </c>
      <c r="Q32" s="85">
        <f t="shared" si="1"/>
        <v>1.1016472981176128E-2</v>
      </c>
      <c r="R32" s="85">
        <f>O32/'סכום נכסי הקרן'!$C$42</f>
        <v>3.0147827887205222E-3</v>
      </c>
    </row>
    <row r="33" spans="2:18">
      <c r="B33" s="76" t="s">
        <v>282</v>
      </c>
      <c r="C33" s="74" t="s">
        <v>283</v>
      </c>
      <c r="D33" s="87" t="s">
        <v>111</v>
      </c>
      <c r="E33" s="74" t="s">
        <v>253</v>
      </c>
      <c r="F33" s="74"/>
      <c r="G33" s="74"/>
      <c r="H33" s="84">
        <v>0.58999999999828279</v>
      </c>
      <c r="I33" s="87" t="s">
        <v>155</v>
      </c>
      <c r="J33" s="88">
        <v>0</v>
      </c>
      <c r="K33" s="85">
        <v>2.0000000000141145E-4</v>
      </c>
      <c r="L33" s="84">
        <v>425146.59481699998</v>
      </c>
      <c r="M33" s="86">
        <v>99.99</v>
      </c>
      <c r="N33" s="74"/>
      <c r="O33" s="84">
        <v>425.10408014699999</v>
      </c>
      <c r="P33" s="85">
        <v>6.0735227830999997E-5</v>
      </c>
      <c r="Q33" s="85">
        <f t="shared" si="1"/>
        <v>5.4404188068213899E-3</v>
      </c>
      <c r="R33" s="85">
        <f>O33/'סכום נכסי הקרן'!$C$42</f>
        <v>1.4888323159564911E-3</v>
      </c>
    </row>
    <row r="34" spans="2:18">
      <c r="B34" s="76" t="s">
        <v>284</v>
      </c>
      <c r="C34" s="74" t="s">
        <v>285</v>
      </c>
      <c r="D34" s="87" t="s">
        <v>111</v>
      </c>
      <c r="E34" s="74" t="s">
        <v>253</v>
      </c>
      <c r="F34" s="74"/>
      <c r="G34" s="74"/>
      <c r="H34" s="84">
        <v>0.10000000003774784</v>
      </c>
      <c r="I34" s="87" t="s">
        <v>155</v>
      </c>
      <c r="J34" s="88">
        <v>0</v>
      </c>
      <c r="K34" s="85">
        <v>1.0000000003774785E-3</v>
      </c>
      <c r="L34" s="84">
        <v>7948.2674930000003</v>
      </c>
      <c r="M34" s="86">
        <v>99.99</v>
      </c>
      <c r="N34" s="74"/>
      <c r="O34" s="84">
        <v>7.9474726870000003</v>
      </c>
      <c r="P34" s="85">
        <v>8.8314083255555563E-7</v>
      </c>
      <c r="Q34" s="85">
        <f t="shared" si="1"/>
        <v>1.01710573697864E-4</v>
      </c>
      <c r="R34" s="85">
        <f>O34/'סכום נכסי הקרן'!$C$42</f>
        <v>2.7834252173010272E-5</v>
      </c>
    </row>
    <row r="35" spans="2:18">
      <c r="B35" s="76" t="s">
        <v>286</v>
      </c>
      <c r="C35" s="74" t="s">
        <v>287</v>
      </c>
      <c r="D35" s="87" t="s">
        <v>111</v>
      </c>
      <c r="E35" s="74" t="s">
        <v>253</v>
      </c>
      <c r="F35" s="74"/>
      <c r="G35" s="74"/>
      <c r="H35" s="84">
        <v>0.16999999999980994</v>
      </c>
      <c r="I35" s="87" t="s">
        <v>155</v>
      </c>
      <c r="J35" s="88">
        <v>0</v>
      </c>
      <c r="K35" s="85">
        <v>6.000000000008002E-4</v>
      </c>
      <c r="L35" s="84">
        <v>1999640.6585830001</v>
      </c>
      <c r="M35" s="86">
        <v>99.99</v>
      </c>
      <c r="N35" s="74"/>
      <c r="O35" s="84">
        <v>1999.4406945140001</v>
      </c>
      <c r="P35" s="85">
        <v>1.8178551441663636E-4</v>
      </c>
      <c r="Q35" s="85">
        <f t="shared" si="1"/>
        <v>2.558854470132696E-2</v>
      </c>
      <c r="R35" s="85">
        <f>O35/'סכום נכסי הקרן'!$C$42</f>
        <v>7.0025955027332417E-3</v>
      </c>
    </row>
    <row r="36" spans="2:18">
      <c r="B36" s="77"/>
      <c r="C36" s="74"/>
      <c r="D36" s="74"/>
      <c r="E36" s="74"/>
      <c r="F36" s="74"/>
      <c r="G36" s="74"/>
      <c r="H36" s="74"/>
      <c r="I36" s="74"/>
      <c r="J36" s="74"/>
      <c r="K36" s="85"/>
      <c r="L36" s="84"/>
      <c r="M36" s="86"/>
      <c r="N36" s="74"/>
      <c r="O36" s="74"/>
      <c r="P36" s="74"/>
      <c r="Q36" s="85"/>
      <c r="R36" s="74"/>
    </row>
    <row r="37" spans="2:18">
      <c r="B37" s="75" t="s">
        <v>23</v>
      </c>
      <c r="C37" s="72"/>
      <c r="D37" s="72"/>
      <c r="E37" s="72"/>
      <c r="F37" s="72"/>
      <c r="G37" s="72"/>
      <c r="H37" s="81">
        <v>8.441542899802073</v>
      </c>
      <c r="I37" s="72"/>
      <c r="J37" s="72"/>
      <c r="K37" s="82">
        <v>6.5255952190939083E-3</v>
      </c>
      <c r="L37" s="81"/>
      <c r="M37" s="83"/>
      <c r="N37" s="72"/>
      <c r="O37" s="81">
        <v>30474.878513946998</v>
      </c>
      <c r="P37" s="72"/>
      <c r="Q37" s="82">
        <f t="shared" ref="Q37:Q52" si="2">O37/$O$11</f>
        <v>0.39001296375594052</v>
      </c>
      <c r="R37" s="82">
        <f>O37/'סכום נכסי הקרן'!$C$42</f>
        <v>0.1067314713627846</v>
      </c>
    </row>
    <row r="38" spans="2:18">
      <c r="B38" s="76" t="s">
        <v>288</v>
      </c>
      <c r="C38" s="74" t="s">
        <v>289</v>
      </c>
      <c r="D38" s="87" t="s">
        <v>111</v>
      </c>
      <c r="E38" s="74" t="s">
        <v>253</v>
      </c>
      <c r="F38" s="74"/>
      <c r="G38" s="74"/>
      <c r="H38" s="84">
        <v>5.4099999999998367</v>
      </c>
      <c r="I38" s="87" t="s">
        <v>155</v>
      </c>
      <c r="J38" s="88">
        <v>6.25E-2</v>
      </c>
      <c r="K38" s="85">
        <v>3.7999999999999167E-3</v>
      </c>
      <c r="L38" s="84">
        <v>1702802.784827</v>
      </c>
      <c r="M38" s="86">
        <v>140.84</v>
      </c>
      <c r="N38" s="74"/>
      <c r="O38" s="84">
        <v>2398.2274794790001</v>
      </c>
      <c r="P38" s="85">
        <v>1.0339863316668015E-4</v>
      </c>
      <c r="Q38" s="85">
        <f t="shared" si="2"/>
        <v>3.0692158677662333E-2</v>
      </c>
      <c r="R38" s="85">
        <f>O38/'סכום נכסי הקרן'!$C$42</f>
        <v>8.3992573565243762E-3</v>
      </c>
    </row>
    <row r="39" spans="2:18">
      <c r="B39" s="76" t="s">
        <v>290</v>
      </c>
      <c r="C39" s="74" t="s">
        <v>291</v>
      </c>
      <c r="D39" s="87" t="s">
        <v>111</v>
      </c>
      <c r="E39" s="74" t="s">
        <v>253</v>
      </c>
      <c r="F39" s="74"/>
      <c r="G39" s="74"/>
      <c r="H39" s="84">
        <v>3.5500000000007126</v>
      </c>
      <c r="I39" s="87" t="s">
        <v>155</v>
      </c>
      <c r="J39" s="88">
        <v>3.7499999999999999E-2</v>
      </c>
      <c r="K39" s="85">
        <v>2.1000000000002375E-3</v>
      </c>
      <c r="L39" s="84">
        <v>1474495.1021169999</v>
      </c>
      <c r="M39" s="86">
        <v>114.14</v>
      </c>
      <c r="N39" s="74"/>
      <c r="O39" s="84">
        <v>1682.9887317759999</v>
      </c>
      <c r="P39" s="85">
        <v>8.6108008013940365E-5</v>
      </c>
      <c r="Q39" s="85">
        <f t="shared" si="2"/>
        <v>2.1538639537066896E-2</v>
      </c>
      <c r="R39" s="85">
        <f>O39/'סכום נכסי הקרן'!$C$42</f>
        <v>5.8942930173530176E-3</v>
      </c>
    </row>
    <row r="40" spans="2:18">
      <c r="B40" s="76" t="s">
        <v>292</v>
      </c>
      <c r="C40" s="74" t="s">
        <v>293</v>
      </c>
      <c r="D40" s="87" t="s">
        <v>111</v>
      </c>
      <c r="E40" s="74" t="s">
        <v>253</v>
      </c>
      <c r="F40" s="74"/>
      <c r="G40" s="74"/>
      <c r="H40" s="84">
        <v>19.030000000000822</v>
      </c>
      <c r="I40" s="87" t="s">
        <v>155</v>
      </c>
      <c r="J40" s="88">
        <v>3.7499999999999999E-2</v>
      </c>
      <c r="K40" s="85">
        <v>1.5500000000000833E-2</v>
      </c>
      <c r="L40" s="84">
        <v>4447901.3776629996</v>
      </c>
      <c r="M40" s="86">
        <v>148.69999999999999</v>
      </c>
      <c r="N40" s="74"/>
      <c r="O40" s="84">
        <v>6614.0294363189987</v>
      </c>
      <c r="P40" s="85">
        <v>2.6607637504434201E-4</v>
      </c>
      <c r="Q40" s="85">
        <f t="shared" si="2"/>
        <v>8.4645365252145513E-2</v>
      </c>
      <c r="R40" s="85">
        <f>O40/'סכום נכסי הקרן'!$C$42</f>
        <v>2.3164164314946327E-2</v>
      </c>
    </row>
    <row r="41" spans="2:18">
      <c r="B41" s="76" t="s">
        <v>294</v>
      </c>
      <c r="C41" s="74" t="s">
        <v>295</v>
      </c>
      <c r="D41" s="87" t="s">
        <v>111</v>
      </c>
      <c r="E41" s="74" t="s">
        <v>253</v>
      </c>
      <c r="F41" s="74"/>
      <c r="G41" s="74"/>
      <c r="H41" s="84">
        <v>2.3800000000002508</v>
      </c>
      <c r="I41" s="87" t="s">
        <v>155</v>
      </c>
      <c r="J41" s="88">
        <v>1.2500000000000001E-2</v>
      </c>
      <c r="K41" s="85">
        <v>1.0999999999994426E-3</v>
      </c>
      <c r="L41" s="84">
        <v>1386886.0639300002</v>
      </c>
      <c r="M41" s="86">
        <v>103.48</v>
      </c>
      <c r="N41" s="74"/>
      <c r="O41" s="84">
        <v>1435.149727428</v>
      </c>
      <c r="P41" s="85">
        <v>1.1937162821134588E-4</v>
      </c>
      <c r="Q41" s="85">
        <f t="shared" si="2"/>
        <v>1.8366832811870348E-2</v>
      </c>
      <c r="R41" s="85">
        <f>O41/'סכום נכסי הקרן'!$C$42</f>
        <v>5.0262921298993204E-3</v>
      </c>
    </row>
    <row r="42" spans="2:18">
      <c r="B42" s="76" t="s">
        <v>296</v>
      </c>
      <c r="C42" s="74" t="s">
        <v>297</v>
      </c>
      <c r="D42" s="87" t="s">
        <v>111</v>
      </c>
      <c r="E42" s="74" t="s">
        <v>253</v>
      </c>
      <c r="F42" s="74"/>
      <c r="G42" s="74"/>
      <c r="H42" s="84">
        <v>3.3299999999996897</v>
      </c>
      <c r="I42" s="87" t="s">
        <v>155</v>
      </c>
      <c r="J42" s="88">
        <v>1.4999999999999999E-2</v>
      </c>
      <c r="K42" s="85">
        <v>1.8999999999995568E-3</v>
      </c>
      <c r="L42" s="84">
        <v>2141583.0462090001</v>
      </c>
      <c r="M42" s="86">
        <v>105.34</v>
      </c>
      <c r="N42" s="74"/>
      <c r="O42" s="84">
        <v>2255.9436336899998</v>
      </c>
      <c r="P42" s="85">
        <v>1.2734508467385374E-4</v>
      </c>
      <c r="Q42" s="85">
        <f t="shared" si="2"/>
        <v>2.8871231176167467E-2</v>
      </c>
      <c r="R42" s="85">
        <f>O42/'סכום נכסי הקרן'!$C$42</f>
        <v>7.9009398913615376E-3</v>
      </c>
    </row>
    <row r="43" spans="2:18">
      <c r="B43" s="76" t="s">
        <v>298</v>
      </c>
      <c r="C43" s="74" t="s">
        <v>299</v>
      </c>
      <c r="D43" s="87" t="s">
        <v>111</v>
      </c>
      <c r="E43" s="74" t="s">
        <v>253</v>
      </c>
      <c r="F43" s="74"/>
      <c r="G43" s="74"/>
      <c r="H43" s="84">
        <v>0.59000000000113118</v>
      </c>
      <c r="I43" s="87" t="s">
        <v>155</v>
      </c>
      <c r="J43" s="88">
        <v>5.0000000000000001E-3</v>
      </c>
      <c r="K43" s="88">
        <v>0</v>
      </c>
      <c r="L43" s="84">
        <v>369455.24813700008</v>
      </c>
      <c r="M43" s="86">
        <v>100.5</v>
      </c>
      <c r="N43" s="74"/>
      <c r="O43" s="84">
        <v>371.30252186199999</v>
      </c>
      <c r="P43" s="85">
        <v>2.3616680992041209E-5</v>
      </c>
      <c r="Q43" s="85">
        <f t="shared" si="2"/>
        <v>4.7518744639188345E-3</v>
      </c>
      <c r="R43" s="85">
        <f>O43/'סכום נכסי הקרן'!$C$42</f>
        <v>1.3004043465146881E-3</v>
      </c>
    </row>
    <row r="44" spans="2:18">
      <c r="B44" s="76" t="s">
        <v>300</v>
      </c>
      <c r="C44" s="74" t="s">
        <v>301</v>
      </c>
      <c r="D44" s="87" t="s">
        <v>111</v>
      </c>
      <c r="E44" s="74" t="s">
        <v>253</v>
      </c>
      <c r="F44" s="74"/>
      <c r="G44" s="74"/>
      <c r="H44" s="84">
        <v>1.5400000000003149</v>
      </c>
      <c r="I44" s="87" t="s">
        <v>155</v>
      </c>
      <c r="J44" s="88">
        <v>5.5E-2</v>
      </c>
      <c r="K44" s="85">
        <v>4.0000000000314692E-4</v>
      </c>
      <c r="L44" s="84">
        <v>1260352.8430359999</v>
      </c>
      <c r="M44" s="86">
        <v>110.94</v>
      </c>
      <c r="N44" s="74"/>
      <c r="O44" s="84">
        <v>1398.2354751639998</v>
      </c>
      <c r="P44" s="85">
        <v>7.111984215742471E-5</v>
      </c>
      <c r="Q44" s="85">
        <f t="shared" si="2"/>
        <v>1.7894409700364645E-2</v>
      </c>
      <c r="R44" s="85">
        <f>O44/'סכום נכסי הקרן'!$C$42</f>
        <v>4.8970081868446955E-3</v>
      </c>
    </row>
    <row r="45" spans="2:18">
      <c r="B45" s="76" t="s">
        <v>302</v>
      </c>
      <c r="C45" s="74" t="s">
        <v>303</v>
      </c>
      <c r="D45" s="87" t="s">
        <v>111</v>
      </c>
      <c r="E45" s="74" t="s">
        <v>253</v>
      </c>
      <c r="F45" s="74"/>
      <c r="G45" s="74"/>
      <c r="H45" s="84">
        <v>15.170000000001137</v>
      </c>
      <c r="I45" s="87" t="s">
        <v>155</v>
      </c>
      <c r="J45" s="88">
        <v>5.5E-2</v>
      </c>
      <c r="K45" s="85">
        <v>1.3199999999999662E-2</v>
      </c>
      <c r="L45" s="84">
        <v>1961576.1763319999</v>
      </c>
      <c r="M45" s="86">
        <v>180.5</v>
      </c>
      <c r="N45" s="74"/>
      <c r="O45" s="84">
        <v>3540.6450466410001</v>
      </c>
      <c r="P45" s="85">
        <v>1.0083344751934678E-4</v>
      </c>
      <c r="Q45" s="85">
        <f t="shared" si="2"/>
        <v>4.5312648830290535E-2</v>
      </c>
      <c r="R45" s="85">
        <f>O45/'סכום נכסי הקרן'!$C$42</f>
        <v>1.2400320323784122E-2</v>
      </c>
    </row>
    <row r="46" spans="2:18">
      <c r="B46" s="76" t="s">
        <v>304</v>
      </c>
      <c r="C46" s="74" t="s">
        <v>305</v>
      </c>
      <c r="D46" s="87" t="s">
        <v>111</v>
      </c>
      <c r="E46" s="74" t="s">
        <v>253</v>
      </c>
      <c r="F46" s="74"/>
      <c r="G46" s="74"/>
      <c r="H46" s="84">
        <v>2.6299999999995025</v>
      </c>
      <c r="I46" s="87" t="s">
        <v>155</v>
      </c>
      <c r="J46" s="88">
        <v>4.2500000000000003E-2</v>
      </c>
      <c r="K46" s="85">
        <v>1.500000000000921E-3</v>
      </c>
      <c r="L46" s="84">
        <v>2416954.0711889998</v>
      </c>
      <c r="M46" s="86">
        <v>112.31</v>
      </c>
      <c r="N46" s="74"/>
      <c r="O46" s="84">
        <v>2714.481094145</v>
      </c>
      <c r="P46" s="85">
        <v>1.3139163170251873E-4</v>
      </c>
      <c r="Q46" s="85">
        <f t="shared" si="2"/>
        <v>3.4739525412790323E-2</v>
      </c>
      <c r="R46" s="85">
        <f>O46/'סכום נכסי הקרן'!$C$42</f>
        <v>9.5068651719797687E-3</v>
      </c>
    </row>
    <row r="47" spans="2:18">
      <c r="B47" s="76" t="s">
        <v>306</v>
      </c>
      <c r="C47" s="74" t="s">
        <v>307</v>
      </c>
      <c r="D47" s="87" t="s">
        <v>111</v>
      </c>
      <c r="E47" s="74" t="s">
        <v>253</v>
      </c>
      <c r="F47" s="74"/>
      <c r="G47" s="74"/>
      <c r="H47" s="84">
        <v>6.3799999999993338</v>
      </c>
      <c r="I47" s="87" t="s">
        <v>155</v>
      </c>
      <c r="J47" s="88">
        <v>0.02</v>
      </c>
      <c r="K47" s="85">
        <v>4.1999999999992607E-3</v>
      </c>
      <c r="L47" s="84">
        <v>1217573.3248769999</v>
      </c>
      <c r="M47" s="86">
        <v>111.03</v>
      </c>
      <c r="N47" s="74"/>
      <c r="O47" s="84">
        <v>1351.8716186049999</v>
      </c>
      <c r="P47" s="85">
        <v>6.7991706536435782E-5</v>
      </c>
      <c r="Q47" s="85">
        <f t="shared" si="2"/>
        <v>1.730105195820153E-2</v>
      </c>
      <c r="R47" s="85">
        <f>O47/'סכום נכסי הקרן'!$C$42</f>
        <v>4.7346291103758445E-3</v>
      </c>
    </row>
    <row r="48" spans="2:18">
      <c r="B48" s="76" t="s">
        <v>308</v>
      </c>
      <c r="C48" s="74" t="s">
        <v>309</v>
      </c>
      <c r="D48" s="87" t="s">
        <v>111</v>
      </c>
      <c r="E48" s="74" t="s">
        <v>253</v>
      </c>
      <c r="F48" s="74"/>
      <c r="G48" s="74"/>
      <c r="H48" s="84">
        <v>9.3299999999832206</v>
      </c>
      <c r="I48" s="87" t="s">
        <v>155</v>
      </c>
      <c r="J48" s="88">
        <v>0.01</v>
      </c>
      <c r="K48" s="85">
        <v>6.2000000000035516E-3</v>
      </c>
      <c r="L48" s="84">
        <v>217037.99359999999</v>
      </c>
      <c r="M48" s="86">
        <v>103.79</v>
      </c>
      <c r="N48" s="74"/>
      <c r="O48" s="84">
        <v>225.263744366</v>
      </c>
      <c r="P48" s="85">
        <v>2.3747886846356732E-5</v>
      </c>
      <c r="Q48" s="85">
        <f t="shared" si="2"/>
        <v>2.8828919047777833E-3</v>
      </c>
      <c r="R48" s="85">
        <f>O48/'סכום נכסי הקרן'!$C$42</f>
        <v>7.8893606974905805E-4</v>
      </c>
    </row>
    <row r="49" spans="2:18">
      <c r="B49" s="76" t="s">
        <v>310</v>
      </c>
      <c r="C49" s="74" t="s">
        <v>311</v>
      </c>
      <c r="D49" s="87" t="s">
        <v>111</v>
      </c>
      <c r="E49" s="74" t="s">
        <v>253</v>
      </c>
      <c r="F49" s="74"/>
      <c r="G49" s="74"/>
      <c r="H49" s="84">
        <v>0.82999999998990259</v>
      </c>
      <c r="I49" s="87" t="s">
        <v>155</v>
      </c>
      <c r="J49" s="88">
        <v>0.01</v>
      </c>
      <c r="K49" s="85">
        <v>2.000000000118794E-4</v>
      </c>
      <c r="L49" s="84">
        <v>33345.004087000001</v>
      </c>
      <c r="M49" s="86">
        <v>100.98</v>
      </c>
      <c r="N49" s="74"/>
      <c r="O49" s="84">
        <v>33.671786597999997</v>
      </c>
      <c r="P49" s="85">
        <v>2.2573768104708154E-6</v>
      </c>
      <c r="Q49" s="85">
        <f t="shared" si="2"/>
        <v>4.3092651805103684E-4</v>
      </c>
      <c r="R49" s="85">
        <f>O49/'סכום נכסי הקרן'!$C$42</f>
        <v>1.1792792956905441E-4</v>
      </c>
    </row>
    <row r="50" spans="2:18">
      <c r="B50" s="76" t="s">
        <v>312</v>
      </c>
      <c r="C50" s="74" t="s">
        <v>313</v>
      </c>
      <c r="D50" s="87" t="s">
        <v>111</v>
      </c>
      <c r="E50" s="74" t="s">
        <v>253</v>
      </c>
      <c r="F50" s="74"/>
      <c r="G50" s="74"/>
      <c r="H50" s="84">
        <v>15.110000000015019</v>
      </c>
      <c r="I50" s="87" t="s">
        <v>155</v>
      </c>
      <c r="J50" s="88">
        <v>1.4999999999999999E-2</v>
      </c>
      <c r="K50" s="85">
        <v>1.1800000000004354E-2</v>
      </c>
      <c r="L50" s="84">
        <v>218788.3</v>
      </c>
      <c r="M50" s="86">
        <v>105</v>
      </c>
      <c r="N50" s="74"/>
      <c r="O50" s="84">
        <v>229.72770900499998</v>
      </c>
      <c r="P50" s="85">
        <v>7.5430871907530863E-5</v>
      </c>
      <c r="Q50" s="85">
        <f t="shared" si="2"/>
        <v>2.9400210604579717E-3</v>
      </c>
      <c r="R50" s="85">
        <f>O50/'סכום נכסי הקרן'!$C$42</f>
        <v>8.0457011120434597E-4</v>
      </c>
    </row>
    <row r="51" spans="2:18">
      <c r="B51" s="76" t="s">
        <v>314</v>
      </c>
      <c r="C51" s="74" t="s">
        <v>315</v>
      </c>
      <c r="D51" s="87" t="s">
        <v>111</v>
      </c>
      <c r="E51" s="74" t="s">
        <v>253</v>
      </c>
      <c r="F51" s="74"/>
      <c r="G51" s="74"/>
      <c r="H51" s="84">
        <v>2.060000000000493</v>
      </c>
      <c r="I51" s="87" t="s">
        <v>155</v>
      </c>
      <c r="J51" s="88">
        <v>7.4999999999999997E-3</v>
      </c>
      <c r="K51" s="85">
        <v>8.9999999999931313E-4</v>
      </c>
      <c r="L51" s="84">
        <v>2424820.1526739998</v>
      </c>
      <c r="M51" s="86">
        <v>102.07</v>
      </c>
      <c r="N51" s="74"/>
      <c r="O51" s="84">
        <v>2475.0138368130001</v>
      </c>
      <c r="P51" s="85">
        <v>1.6168889021410263E-4</v>
      </c>
      <c r="Q51" s="85">
        <f t="shared" si="2"/>
        <v>3.1674859061066665E-2</v>
      </c>
      <c r="R51" s="85">
        <f>O51/'סכום נכסי הקרן'!$C$42</f>
        <v>8.6681844629965359E-3</v>
      </c>
    </row>
    <row r="52" spans="2:18">
      <c r="B52" s="76" t="s">
        <v>316</v>
      </c>
      <c r="C52" s="74" t="s">
        <v>317</v>
      </c>
      <c r="D52" s="87" t="s">
        <v>111</v>
      </c>
      <c r="E52" s="74" t="s">
        <v>253</v>
      </c>
      <c r="F52" s="74"/>
      <c r="G52" s="74"/>
      <c r="H52" s="84">
        <v>4.9299999999996436</v>
      </c>
      <c r="I52" s="87" t="s">
        <v>155</v>
      </c>
      <c r="J52" s="88">
        <v>1.7500000000000002E-2</v>
      </c>
      <c r="K52" s="85">
        <v>3.0999999999997475E-3</v>
      </c>
      <c r="L52" s="84">
        <v>3273643.636498</v>
      </c>
      <c r="M52" s="86">
        <v>108.85</v>
      </c>
      <c r="N52" s="74"/>
      <c r="O52" s="84">
        <v>3563.3612059390007</v>
      </c>
      <c r="P52" s="85">
        <v>1.6782351229064249E-4</v>
      </c>
      <c r="Q52" s="85">
        <f t="shared" si="2"/>
        <v>4.5603366859204436E-2</v>
      </c>
      <c r="R52" s="85">
        <f>O52/'סכום נכסי הקרן'!$C$42</f>
        <v>1.2479878609946852E-2</v>
      </c>
    </row>
    <row r="53" spans="2:18">
      <c r="B53" s="76" t="s">
        <v>318</v>
      </c>
      <c r="C53" s="74" t="s">
        <v>319</v>
      </c>
      <c r="D53" s="87" t="s">
        <v>111</v>
      </c>
      <c r="E53" s="74" t="s">
        <v>253</v>
      </c>
      <c r="F53" s="74"/>
      <c r="G53" s="74"/>
      <c r="H53" s="84">
        <v>7.559999999986375</v>
      </c>
      <c r="I53" s="87" t="s">
        <v>155</v>
      </c>
      <c r="J53" s="88">
        <v>2.2499999999999999E-2</v>
      </c>
      <c r="K53" s="85">
        <v>5.2999999999994588E-3</v>
      </c>
      <c r="L53" s="84">
        <v>160032.421986</v>
      </c>
      <c r="M53" s="86">
        <v>115.58</v>
      </c>
      <c r="N53" s="74"/>
      <c r="O53" s="84">
        <v>184.96546611700003</v>
      </c>
      <c r="P53" s="85">
        <v>9.4280307723957707E-6</v>
      </c>
      <c r="Q53" s="85">
        <f>O53/$O$11</f>
        <v>2.3671605319041844E-3</v>
      </c>
      <c r="R53" s="85">
        <f>O53/'סכום נכסי הקרן'!$C$42</f>
        <v>6.4780032973505775E-4</v>
      </c>
    </row>
    <row r="54" spans="2:18">
      <c r="B54" s="77"/>
      <c r="C54" s="74"/>
      <c r="D54" s="74"/>
      <c r="E54" s="74"/>
      <c r="F54" s="74"/>
      <c r="G54" s="74"/>
      <c r="H54" s="74"/>
      <c r="I54" s="74"/>
      <c r="J54" s="74"/>
      <c r="K54" s="85"/>
      <c r="L54" s="84"/>
      <c r="M54" s="86"/>
      <c r="N54" s="74"/>
      <c r="O54" s="74"/>
      <c r="P54" s="74"/>
      <c r="Q54" s="85"/>
      <c r="R54" s="74"/>
    </row>
    <row r="55" spans="2:18">
      <c r="B55" s="71" t="s">
        <v>220</v>
      </c>
      <c r="C55" s="72"/>
      <c r="D55" s="72"/>
      <c r="E55" s="72"/>
      <c r="F55" s="72"/>
      <c r="G55" s="72"/>
      <c r="H55" s="81">
        <v>21.92614886000209</v>
      </c>
      <c r="I55" s="72"/>
      <c r="J55" s="72"/>
      <c r="K55" s="82">
        <v>3.0800116873690647E-2</v>
      </c>
      <c r="L55" s="81"/>
      <c r="M55" s="83"/>
      <c r="N55" s="72"/>
      <c r="O55" s="81">
        <v>1124.6923313080001</v>
      </c>
      <c r="P55" s="72"/>
      <c r="Q55" s="82">
        <f t="shared" ref="Q55:Q60" si="3">O55/$O$11</f>
        <v>1.4393645219824688E-2</v>
      </c>
      <c r="R55" s="82">
        <f>O55/'סכום נכסי הקרן'!$C$42</f>
        <v>3.9389842783460567E-3</v>
      </c>
    </row>
    <row r="56" spans="2:18">
      <c r="B56" s="73" t="s">
        <v>57</v>
      </c>
      <c r="C56" s="74"/>
      <c r="D56" s="74"/>
      <c r="E56" s="74"/>
      <c r="F56" s="74"/>
      <c r="G56" s="74"/>
      <c r="H56" s="84">
        <v>21.92614886000209</v>
      </c>
      <c r="I56" s="74"/>
      <c r="J56" s="74"/>
      <c r="K56" s="85">
        <v>3.0800116873690647E-2</v>
      </c>
      <c r="L56" s="84"/>
      <c r="M56" s="86"/>
      <c r="N56" s="74"/>
      <c r="O56" s="84">
        <v>1124.6923313080001</v>
      </c>
      <c r="P56" s="74"/>
      <c r="Q56" s="85">
        <f t="shared" si="3"/>
        <v>1.4393645219824688E-2</v>
      </c>
      <c r="R56" s="85">
        <f>O56/'סכום נכסי הקרן'!$C$42</f>
        <v>3.9389842783460567E-3</v>
      </c>
    </row>
    <row r="57" spans="2:18">
      <c r="B57" s="75" t="s">
        <v>57</v>
      </c>
      <c r="C57" s="72"/>
      <c r="D57" s="72"/>
      <c r="E57" s="72"/>
      <c r="F57" s="72"/>
      <c r="G57" s="72"/>
      <c r="H57" s="81">
        <v>21.92614886000209</v>
      </c>
      <c r="I57" s="72"/>
      <c r="J57" s="72"/>
      <c r="K57" s="82">
        <v>3.0800116873690647E-2</v>
      </c>
      <c r="L57" s="81"/>
      <c r="M57" s="83"/>
      <c r="N57" s="72"/>
      <c r="O57" s="81">
        <v>1124.6923313080001</v>
      </c>
      <c r="P57" s="72"/>
      <c r="Q57" s="82">
        <f t="shared" si="3"/>
        <v>1.4393645219824688E-2</v>
      </c>
      <c r="R57" s="82">
        <f>O57/'סכום נכסי הקרן'!$C$42</f>
        <v>3.9389842783460567E-3</v>
      </c>
    </row>
    <row r="58" spans="2:18">
      <c r="B58" s="76" t="s">
        <v>320</v>
      </c>
      <c r="C58" s="74" t="s">
        <v>321</v>
      </c>
      <c r="D58" s="87" t="s">
        <v>27</v>
      </c>
      <c r="E58" s="74" t="s">
        <v>322</v>
      </c>
      <c r="F58" s="74" t="s">
        <v>323</v>
      </c>
      <c r="G58" s="74"/>
      <c r="H58" s="84">
        <v>19.19000000001714</v>
      </c>
      <c r="I58" s="87" t="s">
        <v>154</v>
      </c>
      <c r="J58" s="88">
        <v>3.3750000000000002E-2</v>
      </c>
      <c r="K58" s="85">
        <v>2.8700000000034285E-2</v>
      </c>
      <c r="L58" s="84">
        <v>56790.399400000002</v>
      </c>
      <c r="M58" s="86">
        <v>111.1414</v>
      </c>
      <c r="N58" s="74"/>
      <c r="O58" s="84">
        <v>218.765797475</v>
      </c>
      <c r="P58" s="85">
        <v>2.8395199700000001E-5</v>
      </c>
      <c r="Q58" s="85">
        <f t="shared" si="3"/>
        <v>2.7997321466797231E-3</v>
      </c>
      <c r="R58" s="85">
        <f>O58/'סכום נכסי הקרן'!$C$42</f>
        <v>7.6617845868274116E-4</v>
      </c>
    </row>
    <row r="59" spans="2:18">
      <c r="B59" s="76" t="s">
        <v>324</v>
      </c>
      <c r="C59" s="74" t="s">
        <v>325</v>
      </c>
      <c r="D59" s="87" t="s">
        <v>27</v>
      </c>
      <c r="E59" s="74" t="s">
        <v>322</v>
      </c>
      <c r="F59" s="74" t="s">
        <v>323</v>
      </c>
      <c r="G59" s="74"/>
      <c r="H59" s="84">
        <v>22.089999999995364</v>
      </c>
      <c r="I59" s="87" t="s">
        <v>154</v>
      </c>
      <c r="J59" s="88">
        <v>3.7999999999999999E-2</v>
      </c>
      <c r="K59" s="85">
        <v>3.0999999999991531E-2</v>
      </c>
      <c r="L59" s="84">
        <v>205292.00279999999</v>
      </c>
      <c r="M59" s="86">
        <v>116.1416</v>
      </c>
      <c r="N59" s="74"/>
      <c r="O59" s="84">
        <v>826.39672958699998</v>
      </c>
      <c r="P59" s="85">
        <v>4.1058400559999997E-5</v>
      </c>
      <c r="Q59" s="85">
        <f t="shared" si="3"/>
        <v>1.057610246409801E-2</v>
      </c>
      <c r="R59" s="85">
        <f>O59/'סכום נכסי הקרן'!$C$42</f>
        <v>2.8942704016965107E-3</v>
      </c>
    </row>
    <row r="60" spans="2:18">
      <c r="B60" s="76" t="s">
        <v>326</v>
      </c>
      <c r="C60" s="74" t="s">
        <v>327</v>
      </c>
      <c r="D60" s="87" t="s">
        <v>27</v>
      </c>
      <c r="E60" s="74" t="s">
        <v>322</v>
      </c>
      <c r="F60" s="74" t="s">
        <v>323</v>
      </c>
      <c r="G60" s="74"/>
      <c r="H60" s="84">
        <v>27.750000000169749</v>
      </c>
      <c r="I60" s="87" t="s">
        <v>154</v>
      </c>
      <c r="J60" s="88">
        <v>4.4999999999999998E-2</v>
      </c>
      <c r="K60" s="85">
        <v>3.4500000000163462E-2</v>
      </c>
      <c r="L60" s="84">
        <v>17636.77</v>
      </c>
      <c r="M60" s="86">
        <v>130.10149999999999</v>
      </c>
      <c r="N60" s="74"/>
      <c r="O60" s="84">
        <v>79.529804245999998</v>
      </c>
      <c r="P60" s="85">
        <v>1.7636770000000002E-5</v>
      </c>
      <c r="Q60" s="85">
        <f t="shared" si="3"/>
        <v>1.0178106090469512E-3</v>
      </c>
      <c r="R60" s="85">
        <f>O60/'סכום נכסי הקרן'!$C$42</f>
        <v>2.785354179668044E-4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9" t="s">
        <v>103</v>
      </c>
      <c r="C64" s="90"/>
      <c r="D64" s="90"/>
    </row>
    <row r="65" spans="2:4">
      <c r="B65" s="89" t="s">
        <v>223</v>
      </c>
      <c r="C65" s="90"/>
      <c r="D65" s="90"/>
    </row>
    <row r="66" spans="2:4">
      <c r="B66" s="143" t="s">
        <v>231</v>
      </c>
      <c r="C66" s="143"/>
      <c r="D66" s="143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5" type="noConversion"/>
  <dataValidations count="1">
    <dataValidation allowBlank="1" showInputMessage="1" showErrorMessage="1" sqref="N10:Q10 N9 N1:N7 N32:N1048576 C5:C29 O1:Q9 O11:Q1048576 C67:D1048576 E1:I30 D1:D29 R1:AF1048576 AJ1:XFD1048576 AG1:AI27 AG31:AI1048576 A1:B1048576 E32:I1048576 C32:D65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248</v>
      </c>
    </row>
    <row r="2" spans="2:18">
      <c r="B2" s="47" t="s">
        <v>169</v>
      </c>
      <c r="C2" s="68" t="s">
        <v>249</v>
      </c>
    </row>
    <row r="3" spans="2:18">
      <c r="B3" s="47" t="s">
        <v>171</v>
      </c>
      <c r="C3" s="68" t="s">
        <v>250</v>
      </c>
    </row>
    <row r="4" spans="2:18">
      <c r="B4" s="47" t="s">
        <v>172</v>
      </c>
      <c r="C4" s="68">
        <v>2144</v>
      </c>
    </row>
    <row r="6" spans="2:18" ht="26.25" customHeight="1">
      <c r="B6" s="134" t="s">
        <v>213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225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232</v>
      </c>
      <c r="M8" s="32" t="s">
        <v>228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5">
        <v>0</v>
      </c>
      <c r="N10" s="91"/>
      <c r="O10" s="91"/>
      <c r="P10" s="91"/>
      <c r="Q10" s="5"/>
    </row>
    <row r="11" spans="2:18" ht="20.25" customHeight="1">
      <c r="B11" s="89" t="s">
        <v>241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170</v>
      </c>
      <c r="C1" s="68" t="s" vm="1">
        <v>248</v>
      </c>
    </row>
    <row r="2" spans="2:67">
      <c r="B2" s="47" t="s">
        <v>169</v>
      </c>
      <c r="C2" s="68" t="s">
        <v>249</v>
      </c>
    </row>
    <row r="3" spans="2:67">
      <c r="B3" s="47" t="s">
        <v>171</v>
      </c>
      <c r="C3" s="68" t="s">
        <v>250</v>
      </c>
    </row>
    <row r="4" spans="2:67">
      <c r="B4" s="47" t="s">
        <v>172</v>
      </c>
      <c r="C4" s="68">
        <v>2144</v>
      </c>
    </row>
    <row r="6" spans="2:67" ht="26.25" customHeight="1">
      <c r="B6" s="140" t="s">
        <v>200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BO6" s="3"/>
    </row>
    <row r="7" spans="2:67" ht="26.25" customHeight="1">
      <c r="B7" s="140" t="s">
        <v>81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AZ7" s="42"/>
      <c r="BJ7" s="3"/>
      <c r="BO7" s="3"/>
    </row>
    <row r="8" spans="2:67" s="3" customFormat="1" ht="78.75">
      <c r="B8" s="37" t="s">
        <v>106</v>
      </c>
      <c r="C8" s="13" t="s">
        <v>41</v>
      </c>
      <c r="D8" s="13" t="s">
        <v>110</v>
      </c>
      <c r="E8" s="13" t="s">
        <v>216</v>
      </c>
      <c r="F8" s="13" t="s">
        <v>108</v>
      </c>
      <c r="G8" s="13" t="s">
        <v>60</v>
      </c>
      <c r="H8" s="13" t="s">
        <v>14</v>
      </c>
      <c r="I8" s="13" t="s">
        <v>61</v>
      </c>
      <c r="J8" s="13" t="s">
        <v>95</v>
      </c>
      <c r="K8" s="13" t="s">
        <v>17</v>
      </c>
      <c r="L8" s="13" t="s">
        <v>94</v>
      </c>
      <c r="M8" s="13" t="s">
        <v>16</v>
      </c>
      <c r="N8" s="13" t="s">
        <v>18</v>
      </c>
      <c r="O8" s="13" t="s">
        <v>225</v>
      </c>
      <c r="P8" s="13" t="s">
        <v>224</v>
      </c>
      <c r="Q8" s="13" t="s">
        <v>56</v>
      </c>
      <c r="R8" s="13" t="s">
        <v>53</v>
      </c>
      <c r="S8" s="13" t="s">
        <v>173</v>
      </c>
      <c r="T8" s="38" t="s">
        <v>175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232</v>
      </c>
      <c r="P9" s="16"/>
      <c r="Q9" s="16" t="s">
        <v>228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44" t="s">
        <v>176</v>
      </c>
      <c r="T10" s="61" t="s">
        <v>217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15">
        <v>0</v>
      </c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1"/>
  <sheetViews>
    <sheetView rightToLeft="1" topLeftCell="A229" zoomScale="80" zoomScaleNormal="80" workbookViewId="0">
      <selection activeCell="A250" sqref="A250:XFD250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4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3" style="1" bestFit="1" customWidth="1"/>
    <col min="17" max="17" width="9.85546875" style="1" bestFit="1" customWidth="1"/>
    <col min="18" max="18" width="11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14" style="1" bestFit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170</v>
      </c>
      <c r="C1" s="68" t="s" vm="1">
        <v>248</v>
      </c>
    </row>
    <row r="2" spans="2:66">
      <c r="B2" s="47" t="s">
        <v>169</v>
      </c>
      <c r="C2" s="68" t="s">
        <v>249</v>
      </c>
    </row>
    <row r="3" spans="2:66">
      <c r="B3" s="47" t="s">
        <v>171</v>
      </c>
      <c r="C3" s="68" t="s">
        <v>250</v>
      </c>
    </row>
    <row r="4" spans="2:66">
      <c r="B4" s="47" t="s">
        <v>172</v>
      </c>
      <c r="C4" s="68">
        <v>2144</v>
      </c>
    </row>
    <row r="6" spans="2:66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2:66" ht="26.25" customHeight="1">
      <c r="B7" s="134" t="s">
        <v>82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  <c r="BN7" s="3"/>
    </row>
    <row r="8" spans="2:66" s="3" customFormat="1" ht="78.75">
      <c r="B8" s="22" t="s">
        <v>106</v>
      </c>
      <c r="C8" s="30" t="s">
        <v>41</v>
      </c>
      <c r="D8" s="30" t="s">
        <v>110</v>
      </c>
      <c r="E8" s="30" t="s">
        <v>216</v>
      </c>
      <c r="F8" s="30" t="s">
        <v>108</v>
      </c>
      <c r="G8" s="30" t="s">
        <v>60</v>
      </c>
      <c r="H8" s="30" t="s">
        <v>14</v>
      </c>
      <c r="I8" s="30" t="s">
        <v>61</v>
      </c>
      <c r="J8" s="30" t="s">
        <v>95</v>
      </c>
      <c r="K8" s="30" t="s">
        <v>17</v>
      </c>
      <c r="L8" s="30" t="s">
        <v>94</v>
      </c>
      <c r="M8" s="30" t="s">
        <v>16</v>
      </c>
      <c r="N8" s="30" t="s">
        <v>18</v>
      </c>
      <c r="O8" s="13" t="s">
        <v>225</v>
      </c>
      <c r="P8" s="30" t="s">
        <v>224</v>
      </c>
      <c r="Q8" s="30" t="s">
        <v>240</v>
      </c>
      <c r="R8" s="30" t="s">
        <v>56</v>
      </c>
      <c r="S8" s="13" t="s">
        <v>53</v>
      </c>
      <c r="T8" s="30" t="s">
        <v>173</v>
      </c>
      <c r="U8" s="14" t="s">
        <v>175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232</v>
      </c>
      <c r="P9" s="32"/>
      <c r="Q9" s="16" t="s">
        <v>228</v>
      </c>
      <c r="R9" s="32" t="s">
        <v>228</v>
      </c>
      <c r="S9" s="16" t="s">
        <v>19</v>
      </c>
      <c r="T9" s="32" t="s">
        <v>228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104</v>
      </c>
      <c r="R10" s="19" t="s">
        <v>105</v>
      </c>
      <c r="S10" s="19" t="s">
        <v>176</v>
      </c>
      <c r="T10" s="19" t="s">
        <v>217</v>
      </c>
      <c r="U10" s="20" t="s">
        <v>234</v>
      </c>
      <c r="V10" s="5"/>
      <c r="BI10" s="1"/>
      <c r="BJ10" s="3"/>
      <c r="BK10" s="1"/>
    </row>
    <row r="11" spans="2:66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0"/>
      <c r="J11" s="70"/>
      <c r="K11" s="78">
        <v>5.3318710520707882</v>
      </c>
      <c r="L11" s="70"/>
      <c r="M11" s="70"/>
      <c r="N11" s="93">
        <v>2.545355067112021E-2</v>
      </c>
      <c r="O11" s="78"/>
      <c r="P11" s="80"/>
      <c r="Q11" s="78">
        <v>1095.4738085349998</v>
      </c>
      <c r="R11" s="78">
        <f>R12+R253</f>
        <v>82608.479333832744</v>
      </c>
      <c r="S11" s="70"/>
      <c r="T11" s="79">
        <f t="shared" ref="T11:T42" si="0">R11/$R$11</f>
        <v>1</v>
      </c>
      <c r="U11" s="79">
        <f>R11/'סכום נכסי הקרן'!$C$42</f>
        <v>0.28931779144934205</v>
      </c>
      <c r="V11" s="5"/>
      <c r="BI11" s="1"/>
      <c r="BJ11" s="3"/>
      <c r="BK11" s="1"/>
      <c r="BN11" s="1"/>
    </row>
    <row r="12" spans="2:66">
      <c r="B12" s="71" t="s">
        <v>221</v>
      </c>
      <c r="C12" s="72"/>
      <c r="D12" s="72"/>
      <c r="E12" s="72"/>
      <c r="F12" s="72"/>
      <c r="G12" s="72"/>
      <c r="H12" s="72"/>
      <c r="I12" s="72"/>
      <c r="J12" s="72"/>
      <c r="K12" s="81">
        <v>4.5544271468297168</v>
      </c>
      <c r="L12" s="72"/>
      <c r="M12" s="72"/>
      <c r="N12" s="94">
        <v>2.2419142261790249E-2</v>
      </c>
      <c r="O12" s="81"/>
      <c r="P12" s="83"/>
      <c r="Q12" s="81">
        <v>1095.4738085349998</v>
      </c>
      <c r="R12" s="81">
        <f>R13+R161+R245</f>
        <v>66032.049509143748</v>
      </c>
      <c r="S12" s="72"/>
      <c r="T12" s="82">
        <f t="shared" si="0"/>
        <v>0.79933742930067431</v>
      </c>
      <c r="U12" s="82">
        <f>R12/'סכום נכסי הקרן'!$C$42</f>
        <v>0.2312625396680657</v>
      </c>
      <c r="BJ12" s="3"/>
    </row>
    <row r="13" spans="2:66" ht="20.25">
      <c r="B13" s="92" t="s">
        <v>29</v>
      </c>
      <c r="C13" s="72"/>
      <c r="D13" s="72"/>
      <c r="E13" s="72"/>
      <c r="F13" s="72"/>
      <c r="G13" s="72"/>
      <c r="H13" s="72"/>
      <c r="I13" s="72"/>
      <c r="J13" s="72"/>
      <c r="K13" s="81">
        <v>4.5182340977123818</v>
      </c>
      <c r="L13" s="72"/>
      <c r="M13" s="72"/>
      <c r="N13" s="94">
        <v>1.5715694252678086E-2</v>
      </c>
      <c r="O13" s="81"/>
      <c r="P13" s="83"/>
      <c r="Q13" s="81">
        <v>1046.499400852</v>
      </c>
      <c r="R13" s="81">
        <f>SUM(R14:R159)</f>
        <v>51438.940031660997</v>
      </c>
      <c r="S13" s="72"/>
      <c r="T13" s="82">
        <f t="shared" si="0"/>
        <v>0.62268353619958117</v>
      </c>
      <c r="U13" s="82">
        <f>R13/'סכום נכסי הקרן'!$C$42</f>
        <v>0.18015342546512927</v>
      </c>
      <c r="BJ13" s="4"/>
    </row>
    <row r="14" spans="2:66">
      <c r="B14" s="77" t="s">
        <v>328</v>
      </c>
      <c r="C14" s="74" t="s">
        <v>329</v>
      </c>
      <c r="D14" s="87" t="s">
        <v>111</v>
      </c>
      <c r="E14" s="87" t="s">
        <v>330</v>
      </c>
      <c r="F14" s="74" t="s">
        <v>331</v>
      </c>
      <c r="G14" s="87" t="s">
        <v>332</v>
      </c>
      <c r="H14" s="74" t="s">
        <v>333</v>
      </c>
      <c r="I14" s="74" t="s">
        <v>334</v>
      </c>
      <c r="J14" s="74"/>
      <c r="K14" s="84">
        <v>2.3200000000005625</v>
      </c>
      <c r="L14" s="87" t="s">
        <v>155</v>
      </c>
      <c r="M14" s="88">
        <v>6.1999999999999998E-3</v>
      </c>
      <c r="N14" s="88">
        <v>8.9000000000053914E-3</v>
      </c>
      <c r="O14" s="84">
        <v>1272060.7632240001</v>
      </c>
      <c r="P14" s="86">
        <v>100.59</v>
      </c>
      <c r="Q14" s="74"/>
      <c r="R14" s="84">
        <v>1279.5659281790001</v>
      </c>
      <c r="S14" s="85">
        <v>2.568570723738982E-4</v>
      </c>
      <c r="T14" s="85">
        <f t="shared" si="0"/>
        <v>1.5489522849199175E-2</v>
      </c>
      <c r="U14" s="85">
        <f>R14/'סכום נכסי הקרן'!$C$42</f>
        <v>4.4813945413344257E-3</v>
      </c>
    </row>
    <row r="15" spans="2:66">
      <c r="B15" s="77" t="s">
        <v>335</v>
      </c>
      <c r="C15" s="74" t="s">
        <v>336</v>
      </c>
      <c r="D15" s="87" t="s">
        <v>111</v>
      </c>
      <c r="E15" s="87" t="s">
        <v>330</v>
      </c>
      <c r="F15" s="74" t="s">
        <v>331</v>
      </c>
      <c r="G15" s="87" t="s">
        <v>332</v>
      </c>
      <c r="H15" s="74" t="s">
        <v>333</v>
      </c>
      <c r="I15" s="74" t="s">
        <v>334</v>
      </c>
      <c r="J15" s="74"/>
      <c r="K15" s="84">
        <v>5.5400000000040208</v>
      </c>
      <c r="L15" s="87" t="s">
        <v>155</v>
      </c>
      <c r="M15" s="88">
        <v>5.0000000000000001E-4</v>
      </c>
      <c r="N15" s="88">
        <v>7.1000000000094998E-3</v>
      </c>
      <c r="O15" s="84">
        <v>472737.16128599999</v>
      </c>
      <c r="P15" s="86">
        <v>95.75</v>
      </c>
      <c r="Q15" s="74"/>
      <c r="R15" s="84">
        <v>452.645830467</v>
      </c>
      <c r="S15" s="85">
        <v>5.9290620512916987E-4</v>
      </c>
      <c r="T15" s="85">
        <f t="shared" si="0"/>
        <v>5.4794112434607724E-3</v>
      </c>
      <c r="U15" s="85">
        <f>R15/'סכום נכסי הקרן'!$C$42</f>
        <v>1.5852911594007638E-3</v>
      </c>
    </row>
    <row r="16" spans="2:66">
      <c r="B16" s="77" t="s">
        <v>337</v>
      </c>
      <c r="C16" s="74" t="s">
        <v>338</v>
      </c>
      <c r="D16" s="87" t="s">
        <v>111</v>
      </c>
      <c r="E16" s="87" t="s">
        <v>330</v>
      </c>
      <c r="F16" s="74" t="s">
        <v>339</v>
      </c>
      <c r="G16" s="87" t="s">
        <v>340</v>
      </c>
      <c r="H16" s="74" t="s">
        <v>333</v>
      </c>
      <c r="I16" s="74" t="s">
        <v>334</v>
      </c>
      <c r="J16" s="74"/>
      <c r="K16" s="84">
        <v>1.5299999999927261</v>
      </c>
      <c r="L16" s="87" t="s">
        <v>155</v>
      </c>
      <c r="M16" s="88">
        <v>3.5499999999999997E-2</v>
      </c>
      <c r="N16" s="88">
        <v>1.329999999998431E-2</v>
      </c>
      <c r="O16" s="84">
        <v>121935.05907999999</v>
      </c>
      <c r="P16" s="86">
        <v>115</v>
      </c>
      <c r="Q16" s="74"/>
      <c r="R16" s="84">
        <v>140.225311334</v>
      </c>
      <c r="S16" s="85">
        <v>4.2770199629244438E-4</v>
      </c>
      <c r="T16" s="85">
        <f t="shared" si="0"/>
        <v>1.6974687400712141E-3</v>
      </c>
      <c r="U16" s="85">
        <f>R16/'סכום נכסי הקרן'!$C$42</f>
        <v>4.9110790693170092E-4</v>
      </c>
    </row>
    <row r="17" spans="2:61" ht="20.25">
      <c r="B17" s="77" t="s">
        <v>341</v>
      </c>
      <c r="C17" s="74" t="s">
        <v>342</v>
      </c>
      <c r="D17" s="87" t="s">
        <v>111</v>
      </c>
      <c r="E17" s="87" t="s">
        <v>330</v>
      </c>
      <c r="F17" s="74" t="s">
        <v>339</v>
      </c>
      <c r="G17" s="87" t="s">
        <v>340</v>
      </c>
      <c r="H17" s="74" t="s">
        <v>333</v>
      </c>
      <c r="I17" s="74" t="s">
        <v>334</v>
      </c>
      <c r="J17" s="74"/>
      <c r="K17" s="84">
        <v>0.43999999999201178</v>
      </c>
      <c r="L17" s="87" t="s">
        <v>155</v>
      </c>
      <c r="M17" s="88">
        <v>4.6500000000000007E-2</v>
      </c>
      <c r="N17" s="88">
        <v>2.5999999999800297E-3</v>
      </c>
      <c r="O17" s="84">
        <v>39845.354240000001</v>
      </c>
      <c r="P17" s="86">
        <v>125.67</v>
      </c>
      <c r="Q17" s="74"/>
      <c r="R17" s="84">
        <v>50.073654134999998</v>
      </c>
      <c r="S17" s="85">
        <v>2.006089437524257E-4</v>
      </c>
      <c r="T17" s="85">
        <f t="shared" si="0"/>
        <v>6.0615634785680006E-4</v>
      </c>
      <c r="U17" s="85">
        <f>R17/'סכום נכסי הקרן'!$C$42</f>
        <v>1.7537181583492852E-4</v>
      </c>
      <c r="BI17" s="4"/>
    </row>
    <row r="18" spans="2:61">
      <c r="B18" s="77" t="s">
        <v>343</v>
      </c>
      <c r="C18" s="74" t="s">
        <v>344</v>
      </c>
      <c r="D18" s="87" t="s">
        <v>111</v>
      </c>
      <c r="E18" s="87" t="s">
        <v>330</v>
      </c>
      <c r="F18" s="74" t="s">
        <v>339</v>
      </c>
      <c r="G18" s="87" t="s">
        <v>340</v>
      </c>
      <c r="H18" s="74" t="s">
        <v>333</v>
      </c>
      <c r="I18" s="74" t="s">
        <v>334</v>
      </c>
      <c r="J18" s="74"/>
      <c r="K18" s="84">
        <v>4.9399999999947886</v>
      </c>
      <c r="L18" s="87" t="s">
        <v>155</v>
      </c>
      <c r="M18" s="88">
        <v>1.4999999999999999E-2</v>
      </c>
      <c r="N18" s="88">
        <v>4.0999999999918749E-3</v>
      </c>
      <c r="O18" s="84">
        <v>336804.56298500003</v>
      </c>
      <c r="P18" s="86">
        <v>105.97</v>
      </c>
      <c r="Q18" s="74"/>
      <c r="R18" s="84">
        <v>356.911795369</v>
      </c>
      <c r="S18" s="85">
        <v>7.2467098728317553E-4</v>
      </c>
      <c r="T18" s="85">
        <f t="shared" si="0"/>
        <v>4.3205225207774145E-3</v>
      </c>
      <c r="U18" s="85">
        <f>R18/'סכום נכסי הקרן'!$C$42</f>
        <v>1.2500040336184657E-3</v>
      </c>
    </row>
    <row r="19" spans="2:61">
      <c r="B19" s="77" t="s">
        <v>345</v>
      </c>
      <c r="C19" s="74" t="s">
        <v>346</v>
      </c>
      <c r="D19" s="87" t="s">
        <v>111</v>
      </c>
      <c r="E19" s="87" t="s">
        <v>330</v>
      </c>
      <c r="F19" s="74" t="s">
        <v>347</v>
      </c>
      <c r="G19" s="87" t="s">
        <v>340</v>
      </c>
      <c r="H19" s="74" t="s">
        <v>348</v>
      </c>
      <c r="I19" s="74" t="s">
        <v>151</v>
      </c>
      <c r="J19" s="74"/>
      <c r="K19" s="84">
        <v>5.1799999999986612</v>
      </c>
      <c r="L19" s="87" t="s">
        <v>155</v>
      </c>
      <c r="M19" s="88">
        <v>1E-3</v>
      </c>
      <c r="N19" s="88">
        <v>2.5999999999967438E-3</v>
      </c>
      <c r="O19" s="84">
        <v>560817.73296499997</v>
      </c>
      <c r="P19" s="86">
        <v>98.56</v>
      </c>
      <c r="Q19" s="74"/>
      <c r="R19" s="84">
        <v>552.74196874299992</v>
      </c>
      <c r="S19" s="85">
        <v>3.7387848864333333E-4</v>
      </c>
      <c r="T19" s="85">
        <f t="shared" si="0"/>
        <v>6.6911045113091858E-3</v>
      </c>
      <c r="U19" s="85">
        <f>R19/'סכום נכסי הקרן'!$C$42</f>
        <v>1.9358555795687027E-3</v>
      </c>
      <c r="BI19" s="3"/>
    </row>
    <row r="20" spans="2:61">
      <c r="B20" s="77" t="s">
        <v>349</v>
      </c>
      <c r="C20" s="74" t="s">
        <v>350</v>
      </c>
      <c r="D20" s="87" t="s">
        <v>111</v>
      </c>
      <c r="E20" s="87" t="s">
        <v>330</v>
      </c>
      <c r="F20" s="74" t="s">
        <v>347</v>
      </c>
      <c r="G20" s="87" t="s">
        <v>340</v>
      </c>
      <c r="H20" s="74" t="s">
        <v>348</v>
      </c>
      <c r="I20" s="74" t="s">
        <v>151</v>
      </c>
      <c r="J20" s="74"/>
      <c r="K20" s="84">
        <v>0.749999999998338</v>
      </c>
      <c r="L20" s="87" t="s">
        <v>155</v>
      </c>
      <c r="M20" s="88">
        <v>8.0000000000000002E-3</v>
      </c>
      <c r="N20" s="88">
        <v>6.1999999999800557E-3</v>
      </c>
      <c r="O20" s="84">
        <v>147694.49564499999</v>
      </c>
      <c r="P20" s="86">
        <v>101.85</v>
      </c>
      <c r="Q20" s="74"/>
      <c r="R20" s="84">
        <v>150.426842115</v>
      </c>
      <c r="S20" s="85">
        <v>6.8744003709968692E-4</v>
      </c>
      <c r="T20" s="85">
        <f t="shared" si="0"/>
        <v>1.8209612781649629E-3</v>
      </c>
      <c r="U20" s="85">
        <f>R20/'סכום נכסי הקרן'!$C$42</f>
        <v>5.2683649531345804E-4</v>
      </c>
    </row>
    <row r="21" spans="2:61">
      <c r="B21" s="77" t="s">
        <v>351</v>
      </c>
      <c r="C21" s="74" t="s">
        <v>352</v>
      </c>
      <c r="D21" s="87" t="s">
        <v>111</v>
      </c>
      <c r="E21" s="87" t="s">
        <v>330</v>
      </c>
      <c r="F21" s="74" t="s">
        <v>353</v>
      </c>
      <c r="G21" s="87" t="s">
        <v>340</v>
      </c>
      <c r="H21" s="74" t="s">
        <v>348</v>
      </c>
      <c r="I21" s="74" t="s">
        <v>151</v>
      </c>
      <c r="J21" s="74"/>
      <c r="K21" s="84">
        <v>4.9200000000022879</v>
      </c>
      <c r="L21" s="87" t="s">
        <v>155</v>
      </c>
      <c r="M21" s="88">
        <v>8.3000000000000001E-3</v>
      </c>
      <c r="N21" s="88">
        <v>2.3999999999885636E-3</v>
      </c>
      <c r="O21" s="84">
        <v>340192.59260899998</v>
      </c>
      <c r="P21" s="86">
        <v>102.81</v>
      </c>
      <c r="Q21" s="74"/>
      <c r="R21" s="84">
        <v>349.75200558499995</v>
      </c>
      <c r="S21" s="85">
        <v>2.6454162430616577E-4</v>
      </c>
      <c r="T21" s="85">
        <f t="shared" si="0"/>
        <v>4.2338511543300759E-3</v>
      </c>
      <c r="U21" s="85">
        <f>R21/'סכום נכסי הקרן'!$C$42</f>
        <v>1.2249284652960249E-3</v>
      </c>
    </row>
    <row r="22" spans="2:61">
      <c r="B22" s="77" t="s">
        <v>354</v>
      </c>
      <c r="C22" s="74" t="s">
        <v>355</v>
      </c>
      <c r="D22" s="87" t="s">
        <v>111</v>
      </c>
      <c r="E22" s="87" t="s">
        <v>330</v>
      </c>
      <c r="F22" s="74" t="s">
        <v>356</v>
      </c>
      <c r="G22" s="87" t="s">
        <v>340</v>
      </c>
      <c r="H22" s="74" t="s">
        <v>348</v>
      </c>
      <c r="I22" s="74" t="s">
        <v>151</v>
      </c>
      <c r="J22" s="74"/>
      <c r="K22" s="84">
        <v>0.69989047097480839</v>
      </c>
      <c r="L22" s="87" t="s">
        <v>155</v>
      </c>
      <c r="M22" s="88">
        <v>4.0999999999999995E-3</v>
      </c>
      <c r="N22" s="88">
        <v>2.300109529025192E-3</v>
      </c>
      <c r="O22" s="84">
        <v>3.6519999999999999E-3</v>
      </c>
      <c r="P22" s="86">
        <v>100.05</v>
      </c>
      <c r="Q22" s="74"/>
      <c r="R22" s="84">
        <v>3.6519999999999999E-6</v>
      </c>
      <c r="S22" s="85">
        <v>4.4431504748753332E-12</v>
      </c>
      <c r="T22" s="85">
        <f t="shared" si="0"/>
        <v>4.4208536816683707E-11</v>
      </c>
      <c r="U22" s="85">
        <f>R22/'סכום נכסי הקרן'!$C$42</f>
        <v>1.2790316235009856E-11</v>
      </c>
    </row>
    <row r="23" spans="2:61">
      <c r="B23" s="77" t="s">
        <v>357</v>
      </c>
      <c r="C23" s="74" t="s">
        <v>358</v>
      </c>
      <c r="D23" s="87" t="s">
        <v>111</v>
      </c>
      <c r="E23" s="87" t="s">
        <v>330</v>
      </c>
      <c r="F23" s="74" t="s">
        <v>356</v>
      </c>
      <c r="G23" s="87" t="s">
        <v>340</v>
      </c>
      <c r="H23" s="74" t="s">
        <v>348</v>
      </c>
      <c r="I23" s="74" t="s">
        <v>151</v>
      </c>
      <c r="J23" s="74"/>
      <c r="K23" s="84">
        <v>2.2100000000030753</v>
      </c>
      <c r="L23" s="87" t="s">
        <v>155</v>
      </c>
      <c r="M23" s="88">
        <v>9.8999999999999991E-3</v>
      </c>
      <c r="N23" s="88">
        <v>7.7000000000032832E-3</v>
      </c>
      <c r="O23" s="84">
        <v>328243.49592700001</v>
      </c>
      <c r="P23" s="86">
        <v>102.05</v>
      </c>
      <c r="Q23" s="74"/>
      <c r="R23" s="84">
        <v>334.97247655699999</v>
      </c>
      <c r="S23" s="85">
        <v>1.0891082239237607E-4</v>
      </c>
      <c r="T23" s="85">
        <f t="shared" si="0"/>
        <v>4.0549405976029176E-3</v>
      </c>
      <c r="U23" s="85">
        <f>R23/'סכום נכסי הקרן'!$C$42</f>
        <v>1.1731664581567513E-3</v>
      </c>
    </row>
    <row r="24" spans="2:61">
      <c r="B24" s="77" t="s">
        <v>359</v>
      </c>
      <c r="C24" s="74" t="s">
        <v>360</v>
      </c>
      <c r="D24" s="87" t="s">
        <v>111</v>
      </c>
      <c r="E24" s="87" t="s">
        <v>330</v>
      </c>
      <c r="F24" s="74" t="s">
        <v>356</v>
      </c>
      <c r="G24" s="87" t="s">
        <v>340</v>
      </c>
      <c r="H24" s="74" t="s">
        <v>348</v>
      </c>
      <c r="I24" s="74" t="s">
        <v>151</v>
      </c>
      <c r="J24" s="74"/>
      <c r="K24" s="84">
        <v>4.170000000000857</v>
      </c>
      <c r="L24" s="87" t="s">
        <v>155</v>
      </c>
      <c r="M24" s="88">
        <v>8.6E-3</v>
      </c>
      <c r="N24" s="88">
        <v>4.5000000000012972E-3</v>
      </c>
      <c r="O24" s="84">
        <v>746309.70546700002</v>
      </c>
      <c r="P24" s="86">
        <v>103.29</v>
      </c>
      <c r="Q24" s="74"/>
      <c r="R24" s="84">
        <v>770.86329980200003</v>
      </c>
      <c r="S24" s="85">
        <v>2.9836264701235454E-4</v>
      </c>
      <c r="T24" s="85">
        <f t="shared" si="0"/>
        <v>9.3315275383151729E-3</v>
      </c>
      <c r="U24" s="85">
        <f>R24/'סכום נכסי הקרן'!$C$42</f>
        <v>2.6997769382340613E-3</v>
      </c>
    </row>
    <row r="25" spans="2:61">
      <c r="B25" s="77" t="s">
        <v>361</v>
      </c>
      <c r="C25" s="74" t="s">
        <v>362</v>
      </c>
      <c r="D25" s="87" t="s">
        <v>111</v>
      </c>
      <c r="E25" s="87" t="s">
        <v>330</v>
      </c>
      <c r="F25" s="74" t="s">
        <v>356</v>
      </c>
      <c r="G25" s="87" t="s">
        <v>340</v>
      </c>
      <c r="H25" s="74" t="s">
        <v>348</v>
      </c>
      <c r="I25" s="74" t="s">
        <v>151</v>
      </c>
      <c r="J25" s="74"/>
      <c r="K25" s="84">
        <v>5.9200000000006465</v>
      </c>
      <c r="L25" s="87" t="s">
        <v>155</v>
      </c>
      <c r="M25" s="88">
        <v>3.8E-3</v>
      </c>
      <c r="N25" s="88">
        <v>3.3000000000036368E-3</v>
      </c>
      <c r="O25" s="84">
        <v>1253316.045799</v>
      </c>
      <c r="P25" s="86">
        <v>98.72</v>
      </c>
      <c r="Q25" s="74"/>
      <c r="R25" s="84">
        <v>1237.2736275350001</v>
      </c>
      <c r="S25" s="85">
        <v>4.1777201526633329E-4</v>
      </c>
      <c r="T25" s="85">
        <f t="shared" si="0"/>
        <v>1.4977562079735173E-2</v>
      </c>
      <c r="U25" s="85">
        <f>R25/'סכום נכסי הקרן'!$C$42</f>
        <v>4.3332751822043949E-3</v>
      </c>
    </row>
    <row r="26" spans="2:61">
      <c r="B26" s="77" t="s">
        <v>363</v>
      </c>
      <c r="C26" s="74" t="s">
        <v>364</v>
      </c>
      <c r="D26" s="87" t="s">
        <v>111</v>
      </c>
      <c r="E26" s="87" t="s">
        <v>330</v>
      </c>
      <c r="F26" s="74" t="s">
        <v>356</v>
      </c>
      <c r="G26" s="87" t="s">
        <v>340</v>
      </c>
      <c r="H26" s="74" t="s">
        <v>348</v>
      </c>
      <c r="I26" s="74" t="s">
        <v>151</v>
      </c>
      <c r="J26" s="74"/>
      <c r="K26" s="84">
        <v>3.3199999999951082</v>
      </c>
      <c r="L26" s="87" t="s">
        <v>155</v>
      </c>
      <c r="M26" s="88">
        <v>1E-3</v>
      </c>
      <c r="N26" s="88">
        <v>4.5999999999806369E-3</v>
      </c>
      <c r="O26" s="84">
        <v>199830.64861800001</v>
      </c>
      <c r="P26" s="86">
        <v>98.21</v>
      </c>
      <c r="Q26" s="74"/>
      <c r="R26" s="84">
        <v>196.253690753</v>
      </c>
      <c r="S26" s="85">
        <v>7.8548795226632368E-5</v>
      </c>
      <c r="T26" s="85">
        <f t="shared" si="0"/>
        <v>2.3757087932815058E-3</v>
      </c>
      <c r="U26" s="85">
        <f>R26/'סכום נכסי הקרן'!$C$42</f>
        <v>6.873348211989868E-4</v>
      </c>
    </row>
    <row r="27" spans="2:61">
      <c r="B27" s="77" t="s">
        <v>365</v>
      </c>
      <c r="C27" s="74" t="s">
        <v>366</v>
      </c>
      <c r="D27" s="87" t="s">
        <v>111</v>
      </c>
      <c r="E27" s="87" t="s">
        <v>330</v>
      </c>
      <c r="F27" s="74" t="s">
        <v>356</v>
      </c>
      <c r="G27" s="87" t="s">
        <v>340</v>
      </c>
      <c r="H27" s="74" t="s">
        <v>348</v>
      </c>
      <c r="I27" s="74" t="s">
        <v>151</v>
      </c>
      <c r="J27" s="74"/>
      <c r="K27" s="84">
        <v>9.759999999944684</v>
      </c>
      <c r="L27" s="87" t="s">
        <v>155</v>
      </c>
      <c r="M27" s="88">
        <v>5.1000000000000004E-3</v>
      </c>
      <c r="N27" s="88">
        <v>5.7000000000675365E-3</v>
      </c>
      <c r="O27" s="84">
        <v>31262.877179999999</v>
      </c>
      <c r="P27" s="86">
        <v>99.46</v>
      </c>
      <c r="Q27" s="74"/>
      <c r="R27" s="84">
        <v>31.094056447</v>
      </c>
      <c r="S27" s="85">
        <v>4.4538644588397367E-5</v>
      </c>
      <c r="T27" s="85">
        <f t="shared" si="0"/>
        <v>3.7640272158193891E-4</v>
      </c>
      <c r="U27" s="85">
        <f>R27/'סכום נכסי הקרן'!$C$42</f>
        <v>1.0890000410360816E-4</v>
      </c>
    </row>
    <row r="28" spans="2:61">
      <c r="B28" s="77" t="s">
        <v>367</v>
      </c>
      <c r="C28" s="74" t="s">
        <v>368</v>
      </c>
      <c r="D28" s="87" t="s">
        <v>111</v>
      </c>
      <c r="E28" s="87" t="s">
        <v>330</v>
      </c>
      <c r="F28" s="74" t="s">
        <v>369</v>
      </c>
      <c r="G28" s="87" t="s">
        <v>147</v>
      </c>
      <c r="H28" s="74" t="s">
        <v>333</v>
      </c>
      <c r="I28" s="74" t="s">
        <v>334</v>
      </c>
      <c r="J28" s="74"/>
      <c r="K28" s="84">
        <v>15.399999999995822</v>
      </c>
      <c r="L28" s="87" t="s">
        <v>155</v>
      </c>
      <c r="M28" s="88">
        <v>2.07E-2</v>
      </c>
      <c r="N28" s="88">
        <v>7.3999999999938334E-3</v>
      </c>
      <c r="O28" s="84">
        <v>839581.06789599999</v>
      </c>
      <c r="P28" s="86">
        <v>119.75</v>
      </c>
      <c r="Q28" s="74"/>
      <c r="R28" s="84">
        <v>1005.398328813</v>
      </c>
      <c r="S28" s="85">
        <v>5.6785619839974026E-4</v>
      </c>
      <c r="T28" s="85">
        <f t="shared" si="0"/>
        <v>1.2170643218719E-2</v>
      </c>
      <c r="U28" s="85">
        <f>R28/'סכום נכסי הקרן'!$C$42</f>
        <v>3.5211836165576923E-3</v>
      </c>
    </row>
    <row r="29" spans="2:61">
      <c r="B29" s="77" t="s">
        <v>370</v>
      </c>
      <c r="C29" s="74" t="s">
        <v>371</v>
      </c>
      <c r="D29" s="87" t="s">
        <v>111</v>
      </c>
      <c r="E29" s="87" t="s">
        <v>330</v>
      </c>
      <c r="F29" s="74" t="s">
        <v>372</v>
      </c>
      <c r="G29" s="87" t="s">
        <v>340</v>
      </c>
      <c r="H29" s="74" t="s">
        <v>348</v>
      </c>
      <c r="I29" s="74" t="s">
        <v>151</v>
      </c>
      <c r="J29" s="74"/>
      <c r="K29" s="84">
        <v>2</v>
      </c>
      <c r="L29" s="87" t="s">
        <v>155</v>
      </c>
      <c r="M29" s="88">
        <v>0.05</v>
      </c>
      <c r="N29" s="88">
        <v>8.1000000000055992E-3</v>
      </c>
      <c r="O29" s="84">
        <v>547389.13500799995</v>
      </c>
      <c r="P29" s="86">
        <v>114.21</v>
      </c>
      <c r="Q29" s="74"/>
      <c r="R29" s="84">
        <v>625.17313496500003</v>
      </c>
      <c r="S29" s="85">
        <v>1.7368572128694979E-4</v>
      </c>
      <c r="T29" s="85">
        <f t="shared" si="0"/>
        <v>7.5679051352414498E-3</v>
      </c>
      <c r="U29" s="85">
        <f>R29/'סכום נכסי הקרן'!$C$42</f>
        <v>2.1895295996261907E-3</v>
      </c>
    </row>
    <row r="30" spans="2:61">
      <c r="B30" s="77" t="s">
        <v>373</v>
      </c>
      <c r="C30" s="74" t="s">
        <v>374</v>
      </c>
      <c r="D30" s="87" t="s">
        <v>111</v>
      </c>
      <c r="E30" s="87" t="s">
        <v>330</v>
      </c>
      <c r="F30" s="74" t="s">
        <v>372</v>
      </c>
      <c r="G30" s="87" t="s">
        <v>340</v>
      </c>
      <c r="H30" s="74" t="s">
        <v>348</v>
      </c>
      <c r="I30" s="74" t="s">
        <v>151</v>
      </c>
      <c r="J30" s="74"/>
      <c r="K30" s="84">
        <v>0.21006686478454681</v>
      </c>
      <c r="L30" s="87" t="s">
        <v>155</v>
      </c>
      <c r="M30" s="88">
        <v>1.6E-2</v>
      </c>
      <c r="N30" s="88">
        <v>-1.3099925705794949E-2</v>
      </c>
      <c r="O30" s="84">
        <v>5.2890000000000003E-3</v>
      </c>
      <c r="P30" s="86">
        <v>101.47</v>
      </c>
      <c r="Q30" s="74"/>
      <c r="R30" s="84">
        <v>5.3839999999999996E-6</v>
      </c>
      <c r="S30" s="85">
        <v>5.0390311452816221E-12</v>
      </c>
      <c r="T30" s="85">
        <f t="shared" si="0"/>
        <v>6.5174907508495363E-11</v>
      </c>
      <c r="U30" s="85">
        <f>R30/'סכום נכסי הקרן'!$C$42</f>
        <v>1.8856260298273018E-11</v>
      </c>
    </row>
    <row r="31" spans="2:61">
      <c r="B31" s="77" t="s">
        <v>375</v>
      </c>
      <c r="C31" s="74" t="s">
        <v>376</v>
      </c>
      <c r="D31" s="87" t="s">
        <v>111</v>
      </c>
      <c r="E31" s="87" t="s">
        <v>330</v>
      </c>
      <c r="F31" s="74" t="s">
        <v>372</v>
      </c>
      <c r="G31" s="87" t="s">
        <v>340</v>
      </c>
      <c r="H31" s="74" t="s">
        <v>348</v>
      </c>
      <c r="I31" s="74" t="s">
        <v>151</v>
      </c>
      <c r="J31" s="74"/>
      <c r="K31" s="84">
        <v>1.7200000000015532</v>
      </c>
      <c r="L31" s="87" t="s">
        <v>155</v>
      </c>
      <c r="M31" s="88">
        <v>6.9999999999999993E-3</v>
      </c>
      <c r="N31" s="88">
        <v>8.1000000000174752E-3</v>
      </c>
      <c r="O31" s="84">
        <v>304465.67915400001</v>
      </c>
      <c r="P31" s="86">
        <v>101.5</v>
      </c>
      <c r="Q31" s="74"/>
      <c r="R31" s="84">
        <v>309.03267686599997</v>
      </c>
      <c r="S31" s="85">
        <v>1.4279650415633259E-4</v>
      </c>
      <c r="T31" s="85">
        <f t="shared" si="0"/>
        <v>3.7409316738195178E-3</v>
      </c>
      <c r="U31" s="85">
        <f>R31/'סכום נכסי הקרן'!$C$42</f>
        <v>1.0823180898323534E-3</v>
      </c>
    </row>
    <row r="32" spans="2:61">
      <c r="B32" s="77" t="s">
        <v>377</v>
      </c>
      <c r="C32" s="74" t="s">
        <v>378</v>
      </c>
      <c r="D32" s="87" t="s">
        <v>111</v>
      </c>
      <c r="E32" s="87" t="s">
        <v>330</v>
      </c>
      <c r="F32" s="74" t="s">
        <v>372</v>
      </c>
      <c r="G32" s="87" t="s">
        <v>340</v>
      </c>
      <c r="H32" s="74" t="s">
        <v>348</v>
      </c>
      <c r="I32" s="74" t="s">
        <v>151</v>
      </c>
      <c r="J32" s="74"/>
      <c r="K32" s="84">
        <v>4.2799999999964466</v>
      </c>
      <c r="L32" s="87" t="s">
        <v>155</v>
      </c>
      <c r="M32" s="88">
        <v>6.0000000000000001E-3</v>
      </c>
      <c r="N32" s="88">
        <v>4.2000000000040113E-3</v>
      </c>
      <c r="O32" s="84">
        <v>343255.43532500009</v>
      </c>
      <c r="P32" s="86">
        <v>101.67</v>
      </c>
      <c r="Q32" s="74"/>
      <c r="R32" s="84">
        <v>348.98779623299998</v>
      </c>
      <c r="S32" s="85">
        <v>1.9291426330398878E-4</v>
      </c>
      <c r="T32" s="85">
        <f t="shared" si="0"/>
        <v>4.2246001747918652E-3</v>
      </c>
      <c r="U32" s="85">
        <f>R32/'סכום נכסי הקרן'!$C$42</f>
        <v>1.2222519923272869E-3</v>
      </c>
    </row>
    <row r="33" spans="2:21">
      <c r="B33" s="77" t="s">
        <v>379</v>
      </c>
      <c r="C33" s="74" t="s">
        <v>380</v>
      </c>
      <c r="D33" s="87" t="s">
        <v>111</v>
      </c>
      <c r="E33" s="87" t="s">
        <v>330</v>
      </c>
      <c r="F33" s="74" t="s">
        <v>372</v>
      </c>
      <c r="G33" s="87" t="s">
        <v>340</v>
      </c>
      <c r="H33" s="74" t="s">
        <v>348</v>
      </c>
      <c r="I33" s="74" t="s">
        <v>151</v>
      </c>
      <c r="J33" s="74"/>
      <c r="K33" s="84">
        <v>5.239999999999351</v>
      </c>
      <c r="L33" s="87" t="s">
        <v>155</v>
      </c>
      <c r="M33" s="88">
        <v>1.7500000000000002E-2</v>
      </c>
      <c r="N33" s="88">
        <v>3.3000000000029078E-3</v>
      </c>
      <c r="O33" s="84">
        <v>1370697.534242</v>
      </c>
      <c r="P33" s="86">
        <v>107.89</v>
      </c>
      <c r="Q33" s="74"/>
      <c r="R33" s="84">
        <v>1478.8455480289999</v>
      </c>
      <c r="S33" s="85">
        <v>3.4566570779586737E-4</v>
      </c>
      <c r="T33" s="85">
        <f t="shared" si="0"/>
        <v>1.7901861406415344E-2</v>
      </c>
      <c r="U33" s="85">
        <f>R33/'סכום נכסי הקרן'!$C$42</f>
        <v>5.1793270049362997E-3</v>
      </c>
    </row>
    <row r="34" spans="2:21">
      <c r="B34" s="77" t="s">
        <v>381</v>
      </c>
      <c r="C34" s="74" t="s">
        <v>382</v>
      </c>
      <c r="D34" s="87" t="s">
        <v>111</v>
      </c>
      <c r="E34" s="87" t="s">
        <v>330</v>
      </c>
      <c r="F34" s="74" t="s">
        <v>347</v>
      </c>
      <c r="G34" s="87" t="s">
        <v>340</v>
      </c>
      <c r="H34" s="74" t="s">
        <v>383</v>
      </c>
      <c r="I34" s="74" t="s">
        <v>151</v>
      </c>
      <c r="J34" s="74"/>
      <c r="K34" s="84">
        <v>0.57999999999852636</v>
      </c>
      <c r="L34" s="87" t="s">
        <v>155</v>
      </c>
      <c r="M34" s="88">
        <v>3.1E-2</v>
      </c>
      <c r="N34" s="88">
        <v>1.5799999999985263E-2</v>
      </c>
      <c r="O34" s="84">
        <v>87889.765241000001</v>
      </c>
      <c r="P34" s="86">
        <v>108.09</v>
      </c>
      <c r="Q34" s="74"/>
      <c r="R34" s="84">
        <v>95.000045583000002</v>
      </c>
      <c r="S34" s="85">
        <v>5.1093531957232239E-4</v>
      </c>
      <c r="T34" s="85">
        <f t="shared" si="0"/>
        <v>1.1500035631825537E-3</v>
      </c>
      <c r="U34" s="85">
        <f>R34/'סכום נכסי הקרן'!$C$42</f>
        <v>3.3271649105885031E-4</v>
      </c>
    </row>
    <row r="35" spans="2:21">
      <c r="B35" s="77" t="s">
        <v>384</v>
      </c>
      <c r="C35" s="74" t="s">
        <v>385</v>
      </c>
      <c r="D35" s="87" t="s">
        <v>111</v>
      </c>
      <c r="E35" s="87" t="s">
        <v>330</v>
      </c>
      <c r="F35" s="74" t="s">
        <v>347</v>
      </c>
      <c r="G35" s="87" t="s">
        <v>340</v>
      </c>
      <c r="H35" s="74" t="s">
        <v>383</v>
      </c>
      <c r="I35" s="74" t="s">
        <v>151</v>
      </c>
      <c r="J35" s="74"/>
      <c r="K35" s="84">
        <v>0.71000000008196285</v>
      </c>
      <c r="L35" s="87" t="s">
        <v>155</v>
      </c>
      <c r="M35" s="88">
        <v>4.2000000000000003E-2</v>
      </c>
      <c r="N35" s="88">
        <v>2.0300000000567437E-2</v>
      </c>
      <c r="O35" s="84">
        <v>5095.0328399999999</v>
      </c>
      <c r="P35" s="86">
        <v>124.52</v>
      </c>
      <c r="Q35" s="74"/>
      <c r="R35" s="84">
        <v>6.344334688</v>
      </c>
      <c r="S35" s="85">
        <v>1.9533921864816164E-4</v>
      </c>
      <c r="T35" s="85">
        <f t="shared" si="0"/>
        <v>7.6800042067856397E-5</v>
      </c>
      <c r="U35" s="85">
        <f>R35/'סכום נכסי הקרן'!$C$42</f>
        <v>2.2219618554288771E-5</v>
      </c>
    </row>
    <row r="36" spans="2:21">
      <c r="B36" s="77" t="s">
        <v>386</v>
      </c>
      <c r="C36" s="74" t="s">
        <v>387</v>
      </c>
      <c r="D36" s="87" t="s">
        <v>111</v>
      </c>
      <c r="E36" s="87" t="s">
        <v>330</v>
      </c>
      <c r="F36" s="74" t="s">
        <v>388</v>
      </c>
      <c r="G36" s="87" t="s">
        <v>340</v>
      </c>
      <c r="H36" s="74" t="s">
        <v>383</v>
      </c>
      <c r="I36" s="74" t="s">
        <v>151</v>
      </c>
      <c r="J36" s="74"/>
      <c r="K36" s="84">
        <v>1.4199999999997268</v>
      </c>
      <c r="L36" s="87" t="s">
        <v>155</v>
      </c>
      <c r="M36" s="88">
        <v>3.85E-2</v>
      </c>
      <c r="N36" s="88">
        <v>1.0699999999976766E-2</v>
      </c>
      <c r="O36" s="84">
        <v>65146.451493</v>
      </c>
      <c r="P36" s="86">
        <v>112.31</v>
      </c>
      <c r="Q36" s="74"/>
      <c r="R36" s="84">
        <v>73.165980630999996</v>
      </c>
      <c r="S36" s="85">
        <v>3.058999959758929E-4</v>
      </c>
      <c r="T36" s="85">
        <f t="shared" si="0"/>
        <v>8.8569576901816277E-4</v>
      </c>
      <c r="U36" s="85">
        <f>R36/'סכום נכסי הקרן'!$C$42</f>
        <v>2.5624754378836143E-4</v>
      </c>
    </row>
    <row r="37" spans="2:21">
      <c r="B37" s="77" t="s">
        <v>389</v>
      </c>
      <c r="C37" s="74" t="s">
        <v>390</v>
      </c>
      <c r="D37" s="87" t="s">
        <v>111</v>
      </c>
      <c r="E37" s="87" t="s">
        <v>330</v>
      </c>
      <c r="F37" s="74" t="s">
        <v>391</v>
      </c>
      <c r="G37" s="87" t="s">
        <v>340</v>
      </c>
      <c r="H37" s="74" t="s">
        <v>383</v>
      </c>
      <c r="I37" s="74" t="s">
        <v>151</v>
      </c>
      <c r="J37" s="74"/>
      <c r="K37" s="84">
        <v>1.290027700831025</v>
      </c>
      <c r="L37" s="87" t="s">
        <v>155</v>
      </c>
      <c r="M37" s="88">
        <v>4.7500000000000001E-2</v>
      </c>
      <c r="N37" s="88">
        <v>1.430009233610342E-2</v>
      </c>
      <c r="O37" s="84">
        <v>8.4690000000000008E-3</v>
      </c>
      <c r="P37" s="86">
        <v>126.84</v>
      </c>
      <c r="Q37" s="74"/>
      <c r="R37" s="84">
        <v>1.083E-5</v>
      </c>
      <c r="S37" s="85">
        <v>3.8905894043112091E-11</v>
      </c>
      <c r="T37" s="85">
        <f t="shared" si="0"/>
        <v>1.311003432981064E-10</v>
      </c>
      <c r="U37" s="85">
        <f>R37/'סכום נכסי הקרן'!$C$42</f>
        <v>3.7929661781258695E-11</v>
      </c>
    </row>
    <row r="38" spans="2:21">
      <c r="B38" s="77" t="s">
        <v>392</v>
      </c>
      <c r="C38" s="74" t="s">
        <v>393</v>
      </c>
      <c r="D38" s="87" t="s">
        <v>111</v>
      </c>
      <c r="E38" s="87" t="s">
        <v>330</v>
      </c>
      <c r="F38" s="74" t="s">
        <v>394</v>
      </c>
      <c r="G38" s="87" t="s">
        <v>395</v>
      </c>
      <c r="H38" s="74" t="s">
        <v>396</v>
      </c>
      <c r="I38" s="74" t="s">
        <v>334</v>
      </c>
      <c r="J38" s="74"/>
      <c r="K38" s="84">
        <v>1.1599999999456108</v>
      </c>
      <c r="L38" s="87" t="s">
        <v>155</v>
      </c>
      <c r="M38" s="88">
        <v>3.6400000000000002E-2</v>
      </c>
      <c r="N38" s="88">
        <v>1.0199999999858116E-2</v>
      </c>
      <c r="O38" s="84">
        <v>14897.939619999997</v>
      </c>
      <c r="P38" s="86">
        <v>113.54</v>
      </c>
      <c r="Q38" s="74"/>
      <c r="R38" s="84">
        <v>16.915119962000002</v>
      </c>
      <c r="S38" s="85">
        <v>2.7025740807256232E-4</v>
      </c>
      <c r="T38" s="85">
        <f t="shared" si="0"/>
        <v>2.0476251467653302E-4</v>
      </c>
      <c r="U38" s="85">
        <f>R38/'סכום נכסי הקרן'!$C$42</f>
        <v>5.9241438517828025E-5</v>
      </c>
    </row>
    <row r="39" spans="2:21">
      <c r="B39" s="77" t="s">
        <v>397</v>
      </c>
      <c r="C39" s="74" t="s">
        <v>398</v>
      </c>
      <c r="D39" s="87" t="s">
        <v>111</v>
      </c>
      <c r="E39" s="87" t="s">
        <v>330</v>
      </c>
      <c r="F39" s="74" t="s">
        <v>353</v>
      </c>
      <c r="G39" s="87" t="s">
        <v>340</v>
      </c>
      <c r="H39" s="74" t="s">
        <v>383</v>
      </c>
      <c r="I39" s="74" t="s">
        <v>151</v>
      </c>
      <c r="J39" s="74"/>
      <c r="K39" s="84">
        <v>0.36000000000019072</v>
      </c>
      <c r="L39" s="87" t="s">
        <v>155</v>
      </c>
      <c r="M39" s="88">
        <v>3.4000000000000002E-2</v>
      </c>
      <c r="N39" s="88">
        <v>1.5500000000021451E-2</v>
      </c>
      <c r="O39" s="84">
        <v>197757.43952099996</v>
      </c>
      <c r="P39" s="86">
        <v>106.08</v>
      </c>
      <c r="Q39" s="74"/>
      <c r="R39" s="84">
        <v>209.78108576099999</v>
      </c>
      <c r="S39" s="85">
        <v>2.2124382067271474E-4</v>
      </c>
      <c r="T39" s="85">
        <f t="shared" si="0"/>
        <v>2.5394618984964541E-3</v>
      </c>
      <c r="U39" s="85">
        <f>R39/'סכום נכסי הקרן'!$C$42</f>
        <v>7.347115079427473E-4</v>
      </c>
    </row>
    <row r="40" spans="2:21">
      <c r="B40" s="77" t="s">
        <v>399</v>
      </c>
      <c r="C40" s="74" t="s">
        <v>400</v>
      </c>
      <c r="D40" s="87" t="s">
        <v>111</v>
      </c>
      <c r="E40" s="87" t="s">
        <v>330</v>
      </c>
      <c r="F40" s="74" t="s">
        <v>401</v>
      </c>
      <c r="G40" s="87" t="s">
        <v>395</v>
      </c>
      <c r="H40" s="74" t="s">
        <v>383</v>
      </c>
      <c r="I40" s="74" t="s">
        <v>151</v>
      </c>
      <c r="J40" s="74"/>
      <c r="K40" s="84">
        <v>5.0400000000034204</v>
      </c>
      <c r="L40" s="87" t="s">
        <v>155</v>
      </c>
      <c r="M40" s="88">
        <v>8.3000000000000001E-3</v>
      </c>
      <c r="N40" s="88">
        <v>2.900000000002663E-3</v>
      </c>
      <c r="O40" s="84">
        <v>688935.02999299997</v>
      </c>
      <c r="P40" s="86">
        <v>103.55</v>
      </c>
      <c r="Q40" s="74"/>
      <c r="R40" s="84">
        <v>713.39222248900001</v>
      </c>
      <c r="S40" s="85">
        <v>4.4986622236914447E-4</v>
      </c>
      <c r="T40" s="85">
        <f t="shared" si="0"/>
        <v>8.635823201708864E-3</v>
      </c>
      <c r="U40" s="85">
        <f>R40/'סכום נכסי הקרן'!$C$42</f>
        <v>2.4984972960653946E-3</v>
      </c>
    </row>
    <row r="41" spans="2:21">
      <c r="B41" s="77" t="s">
        <v>402</v>
      </c>
      <c r="C41" s="74" t="s">
        <v>403</v>
      </c>
      <c r="D41" s="87" t="s">
        <v>111</v>
      </c>
      <c r="E41" s="87" t="s">
        <v>330</v>
      </c>
      <c r="F41" s="74" t="s">
        <v>401</v>
      </c>
      <c r="G41" s="87" t="s">
        <v>395</v>
      </c>
      <c r="H41" s="74" t="s">
        <v>383</v>
      </c>
      <c r="I41" s="74" t="s">
        <v>151</v>
      </c>
      <c r="J41" s="74"/>
      <c r="K41" s="84">
        <v>8.890000000005104</v>
      </c>
      <c r="L41" s="87" t="s">
        <v>155</v>
      </c>
      <c r="M41" s="88">
        <v>1.6500000000000001E-2</v>
      </c>
      <c r="N41" s="88">
        <v>4.0999999999965378E-3</v>
      </c>
      <c r="O41" s="84">
        <v>411226.17609999998</v>
      </c>
      <c r="P41" s="86">
        <v>112.42</v>
      </c>
      <c r="Q41" s="74"/>
      <c r="R41" s="84">
        <v>462.30046567599999</v>
      </c>
      <c r="S41" s="85">
        <v>2.8165597700047256E-4</v>
      </c>
      <c r="T41" s="85">
        <f t="shared" si="0"/>
        <v>5.5962834493996352E-3</v>
      </c>
      <c r="U41" s="85">
        <f>R41/'סכום נכסי הקרן'!$C$42</f>
        <v>1.6191043679048083E-3</v>
      </c>
    </row>
    <row r="42" spans="2:21">
      <c r="B42" s="77" t="s">
        <v>404</v>
      </c>
      <c r="C42" s="74" t="s">
        <v>405</v>
      </c>
      <c r="D42" s="87" t="s">
        <v>111</v>
      </c>
      <c r="E42" s="87" t="s">
        <v>330</v>
      </c>
      <c r="F42" s="74" t="s">
        <v>406</v>
      </c>
      <c r="G42" s="87" t="s">
        <v>147</v>
      </c>
      <c r="H42" s="74" t="s">
        <v>383</v>
      </c>
      <c r="I42" s="74" t="s">
        <v>151</v>
      </c>
      <c r="J42" s="74"/>
      <c r="K42" s="84">
        <v>8.8400000000233074</v>
      </c>
      <c r="L42" s="87" t="s">
        <v>155</v>
      </c>
      <c r="M42" s="88">
        <v>2.6499999999999999E-2</v>
      </c>
      <c r="N42" s="88">
        <v>5.5999999999864882E-3</v>
      </c>
      <c r="O42" s="84">
        <v>98350.508531999993</v>
      </c>
      <c r="P42" s="86">
        <v>120.4</v>
      </c>
      <c r="Q42" s="74"/>
      <c r="R42" s="84">
        <v>118.414011836</v>
      </c>
      <c r="S42" s="85">
        <v>8.5011078465450693E-5</v>
      </c>
      <c r="T42" s="85">
        <f t="shared" si="0"/>
        <v>1.4334365284400399E-3</v>
      </c>
      <c r="U42" s="85">
        <f>R42/'סכום נכסי הקרן'!$C$42</f>
        <v>4.1471869059108438E-4</v>
      </c>
    </row>
    <row r="43" spans="2:21">
      <c r="B43" s="77" t="s">
        <v>407</v>
      </c>
      <c r="C43" s="74" t="s">
        <v>408</v>
      </c>
      <c r="D43" s="87" t="s">
        <v>111</v>
      </c>
      <c r="E43" s="87" t="s">
        <v>330</v>
      </c>
      <c r="F43" s="74" t="s">
        <v>409</v>
      </c>
      <c r="G43" s="87" t="s">
        <v>395</v>
      </c>
      <c r="H43" s="74" t="s">
        <v>396</v>
      </c>
      <c r="I43" s="74" t="s">
        <v>334</v>
      </c>
      <c r="J43" s="74"/>
      <c r="K43" s="84">
        <v>2.7099999999939635</v>
      </c>
      <c r="L43" s="87" t="s">
        <v>155</v>
      </c>
      <c r="M43" s="88">
        <v>6.5000000000000006E-3</v>
      </c>
      <c r="N43" s="88">
        <v>1.0499999999990264E-2</v>
      </c>
      <c r="O43" s="84">
        <v>155634.41902100001</v>
      </c>
      <c r="P43" s="86">
        <v>98.99</v>
      </c>
      <c r="Q43" s="74"/>
      <c r="R43" s="84">
        <v>154.06251138300001</v>
      </c>
      <c r="S43" s="85">
        <v>2.0618793864748237E-4</v>
      </c>
      <c r="T43" s="85">
        <f t="shared" ref="T43:T74" si="1">R43/$R$11</f>
        <v>1.8649721266555609E-3</v>
      </c>
      <c r="U43" s="85">
        <f>R43/'סכום נכסי הקרן'!$C$42</f>
        <v>5.3956961679856952E-4</v>
      </c>
    </row>
    <row r="44" spans="2:21">
      <c r="B44" s="77" t="s">
        <v>410</v>
      </c>
      <c r="C44" s="74" t="s">
        <v>411</v>
      </c>
      <c r="D44" s="87" t="s">
        <v>111</v>
      </c>
      <c r="E44" s="87" t="s">
        <v>330</v>
      </c>
      <c r="F44" s="74" t="s">
        <v>409</v>
      </c>
      <c r="G44" s="87" t="s">
        <v>395</v>
      </c>
      <c r="H44" s="74" t="s">
        <v>383</v>
      </c>
      <c r="I44" s="74" t="s">
        <v>151</v>
      </c>
      <c r="J44" s="74"/>
      <c r="K44" s="84">
        <v>5.0700000000008298</v>
      </c>
      <c r="L44" s="87" t="s">
        <v>155</v>
      </c>
      <c r="M44" s="88">
        <v>1.34E-2</v>
      </c>
      <c r="N44" s="88">
        <v>1.0800000000001435E-2</v>
      </c>
      <c r="O44" s="84">
        <v>1803654.310693</v>
      </c>
      <c r="P44" s="86">
        <v>102.52</v>
      </c>
      <c r="Q44" s="84">
        <v>104.10933989799997</v>
      </c>
      <c r="R44" s="84">
        <v>1953.2157392339998</v>
      </c>
      <c r="S44" s="85">
        <v>5.2088798162738099E-4</v>
      </c>
      <c r="T44" s="85">
        <f t="shared" si="1"/>
        <v>2.3644252442183013E-2</v>
      </c>
      <c r="U44" s="85">
        <f>R44/'סכום נכסי הקרן'!$C$42</f>
        <v>6.840702897043101E-3</v>
      </c>
    </row>
    <row r="45" spans="2:21">
      <c r="B45" s="77" t="s">
        <v>412</v>
      </c>
      <c r="C45" s="74" t="s">
        <v>413</v>
      </c>
      <c r="D45" s="87" t="s">
        <v>111</v>
      </c>
      <c r="E45" s="87" t="s">
        <v>330</v>
      </c>
      <c r="F45" s="74" t="s">
        <v>409</v>
      </c>
      <c r="G45" s="87" t="s">
        <v>395</v>
      </c>
      <c r="H45" s="74" t="s">
        <v>383</v>
      </c>
      <c r="I45" s="74" t="s">
        <v>151</v>
      </c>
      <c r="J45" s="74"/>
      <c r="K45" s="84">
        <v>5.7900000000017595</v>
      </c>
      <c r="L45" s="87" t="s">
        <v>155</v>
      </c>
      <c r="M45" s="88">
        <v>1.77E-2</v>
      </c>
      <c r="N45" s="88">
        <v>1.14000000000075E-2</v>
      </c>
      <c r="O45" s="84">
        <v>1003621.898098</v>
      </c>
      <c r="P45" s="86">
        <v>103.6</v>
      </c>
      <c r="Q45" s="74"/>
      <c r="R45" s="84">
        <v>1039.752286423</v>
      </c>
      <c r="S45" s="85">
        <v>3.0943598785900309E-4</v>
      </c>
      <c r="T45" s="85">
        <f t="shared" si="1"/>
        <v>1.2586508005082766E-2</v>
      </c>
      <c r="U45" s="85">
        <f>R45/'סכום נכסי הקרן'!$C$42</f>
        <v>3.6415006980900096E-3</v>
      </c>
    </row>
    <row r="46" spans="2:21">
      <c r="B46" s="77" t="s">
        <v>414</v>
      </c>
      <c r="C46" s="74" t="s">
        <v>415</v>
      </c>
      <c r="D46" s="87" t="s">
        <v>111</v>
      </c>
      <c r="E46" s="87" t="s">
        <v>330</v>
      </c>
      <c r="F46" s="74" t="s">
        <v>409</v>
      </c>
      <c r="G46" s="87" t="s">
        <v>395</v>
      </c>
      <c r="H46" s="74" t="s">
        <v>383</v>
      </c>
      <c r="I46" s="74" t="s">
        <v>151</v>
      </c>
      <c r="J46" s="74"/>
      <c r="K46" s="84">
        <v>9.1400000000001977</v>
      </c>
      <c r="L46" s="87" t="s">
        <v>155</v>
      </c>
      <c r="M46" s="88">
        <v>2.4799999999999999E-2</v>
      </c>
      <c r="N46" s="88">
        <v>1.4400000000004427E-2</v>
      </c>
      <c r="O46" s="84">
        <v>741069.53326299996</v>
      </c>
      <c r="P46" s="86">
        <v>109.75</v>
      </c>
      <c r="Q46" s="74"/>
      <c r="R46" s="84">
        <v>813.32381275599994</v>
      </c>
      <c r="S46" s="85">
        <v>3.7848542061974874E-4</v>
      </c>
      <c r="T46" s="85">
        <f t="shared" si="1"/>
        <v>9.845524567390249E-3</v>
      </c>
      <c r="U46" s="85">
        <f>R46/'סכום נכסי הקרן'!$C$42</f>
        <v>2.8484854234975855E-3</v>
      </c>
    </row>
    <row r="47" spans="2:21">
      <c r="B47" s="77" t="s">
        <v>416</v>
      </c>
      <c r="C47" s="74" t="s">
        <v>417</v>
      </c>
      <c r="D47" s="87" t="s">
        <v>111</v>
      </c>
      <c r="E47" s="87" t="s">
        <v>330</v>
      </c>
      <c r="F47" s="74" t="s">
        <v>372</v>
      </c>
      <c r="G47" s="87" t="s">
        <v>340</v>
      </c>
      <c r="H47" s="74" t="s">
        <v>383</v>
      </c>
      <c r="I47" s="74" t="s">
        <v>151</v>
      </c>
      <c r="J47" s="74"/>
      <c r="K47" s="84">
        <v>0.74000000000688526</v>
      </c>
      <c r="L47" s="87" t="s">
        <v>155</v>
      </c>
      <c r="M47" s="88">
        <v>4.0999999999999995E-2</v>
      </c>
      <c r="N47" s="88">
        <v>1.7700000000077459E-2</v>
      </c>
      <c r="O47" s="84">
        <v>55968.013574000004</v>
      </c>
      <c r="P47" s="86">
        <v>124.56</v>
      </c>
      <c r="Q47" s="74"/>
      <c r="R47" s="84">
        <v>69.713757897999997</v>
      </c>
      <c r="S47" s="85">
        <v>7.1835700997315661E-5</v>
      </c>
      <c r="T47" s="85">
        <f t="shared" si="1"/>
        <v>8.439055949241806E-4</v>
      </c>
      <c r="U47" s="85">
        <f>R47/'סכום נכסי הקרן'!$C$42</f>
        <v>2.44156902915207E-4</v>
      </c>
    </row>
    <row r="48" spans="2:21">
      <c r="B48" s="77" t="s">
        <v>418</v>
      </c>
      <c r="C48" s="74" t="s">
        <v>419</v>
      </c>
      <c r="D48" s="87" t="s">
        <v>111</v>
      </c>
      <c r="E48" s="87" t="s">
        <v>330</v>
      </c>
      <c r="F48" s="74" t="s">
        <v>372</v>
      </c>
      <c r="G48" s="87" t="s">
        <v>340</v>
      </c>
      <c r="H48" s="74" t="s">
        <v>383</v>
      </c>
      <c r="I48" s="74" t="s">
        <v>151</v>
      </c>
      <c r="J48" s="74"/>
      <c r="K48" s="84">
        <v>1.8799999999979491</v>
      </c>
      <c r="L48" s="87" t="s">
        <v>155</v>
      </c>
      <c r="M48" s="88">
        <v>4.2000000000000003E-2</v>
      </c>
      <c r="N48" s="88">
        <v>0.01</v>
      </c>
      <c r="O48" s="84">
        <v>89966.70859900002</v>
      </c>
      <c r="P48" s="86">
        <v>108.4</v>
      </c>
      <c r="Q48" s="74"/>
      <c r="R48" s="84">
        <v>97.523911290000001</v>
      </c>
      <c r="S48" s="85">
        <v>9.0171036166954334E-5</v>
      </c>
      <c r="T48" s="85">
        <f t="shared" si="1"/>
        <v>1.1805557017445128E-3</v>
      </c>
      <c r="U48" s="85">
        <f>R48/'סכום נכסי הקרן'!$C$42</f>
        <v>3.4155576831165063E-4</v>
      </c>
    </row>
    <row r="49" spans="2:21">
      <c r="B49" s="77" t="s">
        <v>420</v>
      </c>
      <c r="C49" s="74" t="s">
        <v>421</v>
      </c>
      <c r="D49" s="87" t="s">
        <v>111</v>
      </c>
      <c r="E49" s="87" t="s">
        <v>330</v>
      </c>
      <c r="F49" s="74" t="s">
        <v>372</v>
      </c>
      <c r="G49" s="87" t="s">
        <v>340</v>
      </c>
      <c r="H49" s="74" t="s">
        <v>383</v>
      </c>
      <c r="I49" s="74" t="s">
        <v>151</v>
      </c>
      <c r="J49" s="74"/>
      <c r="K49" s="84">
        <v>1.4100000000019874</v>
      </c>
      <c r="L49" s="87" t="s">
        <v>155</v>
      </c>
      <c r="M49" s="88">
        <v>0.04</v>
      </c>
      <c r="N49" s="88">
        <v>1.2100000000008833E-2</v>
      </c>
      <c r="O49" s="84">
        <v>164131.551882</v>
      </c>
      <c r="P49" s="86">
        <v>110.36</v>
      </c>
      <c r="Q49" s="74"/>
      <c r="R49" s="84">
        <v>181.135584104</v>
      </c>
      <c r="S49" s="85">
        <v>7.5341586439744336E-5</v>
      </c>
      <c r="T49" s="85">
        <f t="shared" si="1"/>
        <v>2.1926996546202606E-3</v>
      </c>
      <c r="U49" s="85">
        <f>R49/'סכום נכסי הקרן'!$C$42</f>
        <v>6.3438702138646891E-4</v>
      </c>
    </row>
    <row r="50" spans="2:21">
      <c r="B50" s="77" t="s">
        <v>422</v>
      </c>
      <c r="C50" s="74" t="s">
        <v>423</v>
      </c>
      <c r="D50" s="87" t="s">
        <v>111</v>
      </c>
      <c r="E50" s="87" t="s">
        <v>330</v>
      </c>
      <c r="F50" s="74" t="s">
        <v>424</v>
      </c>
      <c r="G50" s="87" t="s">
        <v>395</v>
      </c>
      <c r="H50" s="74" t="s">
        <v>425</v>
      </c>
      <c r="I50" s="74" t="s">
        <v>334</v>
      </c>
      <c r="J50" s="74"/>
      <c r="K50" s="84">
        <v>4.1999999999989717</v>
      </c>
      <c r="L50" s="87" t="s">
        <v>155</v>
      </c>
      <c r="M50" s="88">
        <v>2.3399999999999997E-2</v>
      </c>
      <c r="N50" s="88">
        <v>1.4299999999993745E-2</v>
      </c>
      <c r="O50" s="84">
        <v>1118347.669792</v>
      </c>
      <c r="P50" s="86">
        <v>104.3</v>
      </c>
      <c r="Q50" s="74"/>
      <c r="R50" s="84">
        <v>1166.4365966109999</v>
      </c>
      <c r="S50" s="85">
        <v>3.1552004883485799E-4</v>
      </c>
      <c r="T50" s="85">
        <f t="shared" si="1"/>
        <v>1.4120058933626679E-2</v>
      </c>
      <c r="U50" s="85">
        <f>R50/'סכום נכסי הקרן'!$C$42</f>
        <v>4.0851842658114227E-3</v>
      </c>
    </row>
    <row r="51" spans="2:21">
      <c r="B51" s="77" t="s">
        <v>426</v>
      </c>
      <c r="C51" s="74" t="s">
        <v>427</v>
      </c>
      <c r="D51" s="87" t="s">
        <v>111</v>
      </c>
      <c r="E51" s="87" t="s">
        <v>330</v>
      </c>
      <c r="F51" s="74" t="s">
        <v>424</v>
      </c>
      <c r="G51" s="87" t="s">
        <v>395</v>
      </c>
      <c r="H51" s="74" t="s">
        <v>425</v>
      </c>
      <c r="I51" s="74" t="s">
        <v>334</v>
      </c>
      <c r="J51" s="74"/>
      <c r="K51" s="84">
        <v>7.7900000000213012</v>
      </c>
      <c r="L51" s="87" t="s">
        <v>155</v>
      </c>
      <c r="M51" s="88">
        <v>6.5000000000000006E-3</v>
      </c>
      <c r="N51" s="88">
        <v>1.7900000000028851E-2</v>
      </c>
      <c r="O51" s="84">
        <v>178898.94733200001</v>
      </c>
      <c r="P51" s="86">
        <v>91.06</v>
      </c>
      <c r="Q51" s="74"/>
      <c r="R51" s="84">
        <v>162.90538740700001</v>
      </c>
      <c r="S51" s="85">
        <v>5.9632982444000004E-4</v>
      </c>
      <c r="T51" s="85">
        <f t="shared" si="1"/>
        <v>1.9720177483073609E-3</v>
      </c>
      <c r="U51" s="85">
        <f>R51/'סכום נכסי הקרן'!$C$42</f>
        <v>5.7053981963919019E-4</v>
      </c>
    </row>
    <row r="52" spans="2:21">
      <c r="B52" s="77" t="s">
        <v>428</v>
      </c>
      <c r="C52" s="74" t="s">
        <v>429</v>
      </c>
      <c r="D52" s="87" t="s">
        <v>111</v>
      </c>
      <c r="E52" s="87" t="s">
        <v>330</v>
      </c>
      <c r="F52" s="74" t="s">
        <v>430</v>
      </c>
      <c r="G52" s="87" t="s">
        <v>395</v>
      </c>
      <c r="H52" s="74" t="s">
        <v>431</v>
      </c>
      <c r="I52" s="74" t="s">
        <v>151</v>
      </c>
      <c r="J52" s="74"/>
      <c r="K52" s="84">
        <v>1.4899999999999052</v>
      </c>
      <c r="L52" s="87" t="s">
        <v>155</v>
      </c>
      <c r="M52" s="88">
        <v>4.8000000000000001E-2</v>
      </c>
      <c r="N52" s="88">
        <v>9.5999999999962053E-3</v>
      </c>
      <c r="O52" s="84">
        <v>571666.321673</v>
      </c>
      <c r="P52" s="86">
        <v>107.68</v>
      </c>
      <c r="Q52" s="84">
        <v>333.17929497400002</v>
      </c>
      <c r="R52" s="84">
        <v>948.749590141</v>
      </c>
      <c r="S52" s="85">
        <v>1.0512081216474715E-3</v>
      </c>
      <c r="T52" s="85">
        <f t="shared" si="1"/>
        <v>1.1484893533834056E-2</v>
      </c>
      <c r="U52" s="85">
        <f>R52/'סכום נכסי הקרן'!$C$42</f>
        <v>3.3227840322396988E-3</v>
      </c>
    </row>
    <row r="53" spans="2:21">
      <c r="B53" s="77" t="s">
        <v>432</v>
      </c>
      <c r="C53" s="74" t="s">
        <v>433</v>
      </c>
      <c r="D53" s="87" t="s">
        <v>111</v>
      </c>
      <c r="E53" s="87" t="s">
        <v>330</v>
      </c>
      <c r="F53" s="74" t="s">
        <v>430</v>
      </c>
      <c r="G53" s="87" t="s">
        <v>395</v>
      </c>
      <c r="H53" s="74" t="s">
        <v>431</v>
      </c>
      <c r="I53" s="74" t="s">
        <v>151</v>
      </c>
      <c r="J53" s="74"/>
      <c r="K53" s="84">
        <v>0.50000000000790301</v>
      </c>
      <c r="L53" s="87" t="s">
        <v>155</v>
      </c>
      <c r="M53" s="88">
        <v>4.9000000000000002E-2</v>
      </c>
      <c r="N53" s="88">
        <v>1.160000000002529E-2</v>
      </c>
      <c r="O53" s="84">
        <v>56058.300603000003</v>
      </c>
      <c r="P53" s="86">
        <v>112.86</v>
      </c>
      <c r="Q53" s="74"/>
      <c r="R53" s="84">
        <v>63.267400349000006</v>
      </c>
      <c r="S53" s="85">
        <v>5.6594896054759842E-4</v>
      </c>
      <c r="T53" s="85">
        <f t="shared" si="1"/>
        <v>7.658705360417947E-4</v>
      </c>
      <c r="U53" s="85">
        <f>R53/'סכום נכסי הקרן'!$C$42</f>
        <v>2.2157997202373577E-4</v>
      </c>
    </row>
    <row r="54" spans="2:21">
      <c r="B54" s="77" t="s">
        <v>434</v>
      </c>
      <c r="C54" s="74" t="s">
        <v>435</v>
      </c>
      <c r="D54" s="87" t="s">
        <v>111</v>
      </c>
      <c r="E54" s="87" t="s">
        <v>330</v>
      </c>
      <c r="F54" s="74" t="s">
        <v>430</v>
      </c>
      <c r="G54" s="87" t="s">
        <v>395</v>
      </c>
      <c r="H54" s="74" t="s">
        <v>431</v>
      </c>
      <c r="I54" s="74" t="s">
        <v>151</v>
      </c>
      <c r="J54" s="74"/>
      <c r="K54" s="84">
        <v>4.9899999999976776</v>
      </c>
      <c r="L54" s="87" t="s">
        <v>155</v>
      </c>
      <c r="M54" s="88">
        <v>3.2000000000000001E-2</v>
      </c>
      <c r="N54" s="88">
        <v>1.2599999999999794E-2</v>
      </c>
      <c r="O54" s="84">
        <v>851573.21560899983</v>
      </c>
      <c r="P54" s="86">
        <v>109.51</v>
      </c>
      <c r="Q54" s="84">
        <v>27.640021345000001</v>
      </c>
      <c r="R54" s="84">
        <v>960.19787427699998</v>
      </c>
      <c r="S54" s="85">
        <v>5.1622511882098608E-4</v>
      </c>
      <c r="T54" s="85">
        <f t="shared" si="1"/>
        <v>1.1623478388903666E-2</v>
      </c>
      <c r="U54" s="85">
        <f>R54/'סכום נכסי הקרן'!$C$42</f>
        <v>3.3628790964367653E-3</v>
      </c>
    </row>
    <row r="55" spans="2:21">
      <c r="B55" s="77" t="s">
        <v>436</v>
      </c>
      <c r="C55" s="74" t="s">
        <v>437</v>
      </c>
      <c r="D55" s="87" t="s">
        <v>111</v>
      </c>
      <c r="E55" s="87" t="s">
        <v>330</v>
      </c>
      <c r="F55" s="74" t="s">
        <v>430</v>
      </c>
      <c r="G55" s="87" t="s">
        <v>395</v>
      </c>
      <c r="H55" s="74" t="s">
        <v>431</v>
      </c>
      <c r="I55" s="74" t="s">
        <v>151</v>
      </c>
      <c r="J55" s="74"/>
      <c r="K55" s="84">
        <v>7.2999999999956442</v>
      </c>
      <c r="L55" s="87" t="s">
        <v>155</v>
      </c>
      <c r="M55" s="88">
        <v>1.1399999999999999E-2</v>
      </c>
      <c r="N55" s="88">
        <v>1.4999999999981854E-2</v>
      </c>
      <c r="O55" s="84">
        <v>569914.87306300004</v>
      </c>
      <c r="P55" s="86">
        <v>96.7</v>
      </c>
      <c r="Q55" s="74"/>
      <c r="R55" s="84">
        <v>551.10768225800007</v>
      </c>
      <c r="S55" s="85">
        <v>2.7545652770612423E-4</v>
      </c>
      <c r="T55" s="85">
        <f t="shared" si="1"/>
        <v>6.6713209915279358E-3</v>
      </c>
      <c r="U55" s="85">
        <f>R55/'סכום נכסי הקרן'!$C$42</f>
        <v>1.9301318553184973E-3</v>
      </c>
    </row>
    <row r="56" spans="2:21">
      <c r="B56" s="77" t="s">
        <v>438</v>
      </c>
      <c r="C56" s="74" t="s">
        <v>439</v>
      </c>
      <c r="D56" s="87" t="s">
        <v>111</v>
      </c>
      <c r="E56" s="87" t="s">
        <v>330</v>
      </c>
      <c r="F56" s="74" t="s">
        <v>440</v>
      </c>
      <c r="G56" s="87" t="s">
        <v>395</v>
      </c>
      <c r="H56" s="74" t="s">
        <v>425</v>
      </c>
      <c r="I56" s="74" t="s">
        <v>334</v>
      </c>
      <c r="J56" s="74"/>
      <c r="K56" s="84">
        <v>5.7699999999924181</v>
      </c>
      <c r="L56" s="87" t="s">
        <v>155</v>
      </c>
      <c r="M56" s="88">
        <v>1.8200000000000001E-2</v>
      </c>
      <c r="N56" s="88">
        <v>1.2599999999986811E-2</v>
      </c>
      <c r="O56" s="84">
        <v>293285.87801400002</v>
      </c>
      <c r="P56" s="86">
        <v>103.43</v>
      </c>
      <c r="Q56" s="74"/>
      <c r="R56" s="84">
        <v>303.34558039000001</v>
      </c>
      <c r="S56" s="85">
        <v>6.5268916883053302E-4</v>
      </c>
      <c r="T56" s="85">
        <f t="shared" si="1"/>
        <v>3.6720876940990149E-3</v>
      </c>
      <c r="U56" s="85">
        <f>R56/'סכום נכסי הקרן'!$C$42</f>
        <v>1.0624003016650341E-3</v>
      </c>
    </row>
    <row r="57" spans="2:21">
      <c r="B57" s="77" t="s">
        <v>441</v>
      </c>
      <c r="C57" s="74" t="s">
        <v>442</v>
      </c>
      <c r="D57" s="87" t="s">
        <v>111</v>
      </c>
      <c r="E57" s="87" t="s">
        <v>330</v>
      </c>
      <c r="F57" s="74" t="s">
        <v>440</v>
      </c>
      <c r="G57" s="87" t="s">
        <v>395</v>
      </c>
      <c r="H57" s="74" t="s">
        <v>425</v>
      </c>
      <c r="I57" s="74" t="s">
        <v>334</v>
      </c>
      <c r="J57" s="74"/>
      <c r="K57" s="84">
        <v>6.8599999999657264</v>
      </c>
      <c r="L57" s="87" t="s">
        <v>155</v>
      </c>
      <c r="M57" s="88">
        <v>7.8000000000000005E-3</v>
      </c>
      <c r="N57" s="88">
        <v>1.4000000000000002E-2</v>
      </c>
      <c r="O57" s="84">
        <v>21469.309553999999</v>
      </c>
      <c r="P57" s="86">
        <v>95.13</v>
      </c>
      <c r="Q57" s="74"/>
      <c r="R57" s="84">
        <v>20.423754894999998</v>
      </c>
      <c r="S57" s="85">
        <v>4.6835317526178007E-5</v>
      </c>
      <c r="T57" s="85">
        <f t="shared" si="1"/>
        <v>2.4723557508503054E-4</v>
      </c>
      <c r="U57" s="85">
        <f>R57/'סכום נכסי הקרן'!$C$42</f>
        <v>7.1529650551309016E-5</v>
      </c>
    </row>
    <row r="58" spans="2:21">
      <c r="B58" s="77" t="s">
        <v>443</v>
      </c>
      <c r="C58" s="74" t="s">
        <v>444</v>
      </c>
      <c r="D58" s="87" t="s">
        <v>111</v>
      </c>
      <c r="E58" s="87" t="s">
        <v>330</v>
      </c>
      <c r="F58" s="74" t="s">
        <v>440</v>
      </c>
      <c r="G58" s="87" t="s">
        <v>395</v>
      </c>
      <c r="H58" s="74" t="s">
        <v>425</v>
      </c>
      <c r="I58" s="74" t="s">
        <v>334</v>
      </c>
      <c r="J58" s="74"/>
      <c r="K58" s="84">
        <v>4.779999999994204</v>
      </c>
      <c r="L58" s="87" t="s">
        <v>155</v>
      </c>
      <c r="M58" s="88">
        <v>2E-3</v>
      </c>
      <c r="N58" s="88">
        <v>1.1999999999981598E-2</v>
      </c>
      <c r="O58" s="84">
        <v>230442.83809100001</v>
      </c>
      <c r="P58" s="86">
        <v>94.33</v>
      </c>
      <c r="Q58" s="74"/>
      <c r="R58" s="84">
        <v>217.375198367</v>
      </c>
      <c r="S58" s="85">
        <v>6.1451423490933334E-4</v>
      </c>
      <c r="T58" s="85">
        <f t="shared" si="1"/>
        <v>2.6313908707670986E-3</v>
      </c>
      <c r="U58" s="85">
        <f>R58/'סכום נכסי הקרן'!$C$42</f>
        <v>7.6130819517029793E-4</v>
      </c>
    </row>
    <row r="59" spans="2:21">
      <c r="B59" s="77" t="s">
        <v>445</v>
      </c>
      <c r="C59" s="74" t="s">
        <v>446</v>
      </c>
      <c r="D59" s="87" t="s">
        <v>111</v>
      </c>
      <c r="E59" s="87" t="s">
        <v>330</v>
      </c>
      <c r="F59" s="74" t="s">
        <v>353</v>
      </c>
      <c r="G59" s="87" t="s">
        <v>340</v>
      </c>
      <c r="H59" s="74" t="s">
        <v>431</v>
      </c>
      <c r="I59" s="74" t="s">
        <v>151</v>
      </c>
      <c r="J59" s="74"/>
      <c r="K59" s="84">
        <v>0.59000000000054154</v>
      </c>
      <c r="L59" s="87" t="s">
        <v>155</v>
      </c>
      <c r="M59" s="88">
        <v>0.04</v>
      </c>
      <c r="N59" s="88">
        <v>2.5699999999997128E-2</v>
      </c>
      <c r="O59" s="84">
        <v>857692.29043399985</v>
      </c>
      <c r="P59" s="86">
        <v>109.8</v>
      </c>
      <c r="Q59" s="74"/>
      <c r="R59" s="84">
        <v>941.74619311100014</v>
      </c>
      <c r="S59" s="85">
        <v>6.353285637712055E-4</v>
      </c>
      <c r="T59" s="85">
        <f t="shared" si="1"/>
        <v>1.1400115347787343E-2</v>
      </c>
      <c r="U59" s="85">
        <f>R59/'סכום נכסי הקרן'!$C$42</f>
        <v>3.298256194689582E-3</v>
      </c>
    </row>
    <row r="60" spans="2:21">
      <c r="B60" s="77" t="s">
        <v>447</v>
      </c>
      <c r="C60" s="74" t="s">
        <v>448</v>
      </c>
      <c r="D60" s="87" t="s">
        <v>111</v>
      </c>
      <c r="E60" s="87" t="s">
        <v>330</v>
      </c>
      <c r="F60" s="74" t="s">
        <v>449</v>
      </c>
      <c r="G60" s="87" t="s">
        <v>395</v>
      </c>
      <c r="H60" s="74" t="s">
        <v>431</v>
      </c>
      <c r="I60" s="74" t="s">
        <v>151</v>
      </c>
      <c r="J60" s="74"/>
      <c r="K60" s="84">
        <v>3.0600000000013097</v>
      </c>
      <c r="L60" s="87" t="s">
        <v>155</v>
      </c>
      <c r="M60" s="88">
        <v>4.7500000000000001E-2</v>
      </c>
      <c r="N60" s="88">
        <v>1.3300000000002135E-2</v>
      </c>
      <c r="O60" s="84">
        <v>1001179.348672</v>
      </c>
      <c r="P60" s="86">
        <v>135.75</v>
      </c>
      <c r="Q60" s="74"/>
      <c r="R60" s="84">
        <v>1359.1009496869999</v>
      </c>
      <c r="S60" s="85">
        <v>5.3048235504265357E-4</v>
      </c>
      <c r="T60" s="85">
        <f t="shared" si="1"/>
        <v>1.6452317735987824E-2</v>
      </c>
      <c r="U60" s="85">
        <f>R60/'סכום נכסי הקרן'!$C$42</f>
        <v>4.7599482315988364E-3</v>
      </c>
    </row>
    <row r="61" spans="2:21">
      <c r="B61" s="77" t="s">
        <v>450</v>
      </c>
      <c r="C61" s="74" t="s">
        <v>451</v>
      </c>
      <c r="D61" s="87" t="s">
        <v>111</v>
      </c>
      <c r="E61" s="87" t="s">
        <v>330</v>
      </c>
      <c r="F61" s="74" t="s">
        <v>449</v>
      </c>
      <c r="G61" s="87" t="s">
        <v>395</v>
      </c>
      <c r="H61" s="74" t="s">
        <v>431</v>
      </c>
      <c r="I61" s="74" t="s">
        <v>151</v>
      </c>
      <c r="J61" s="74"/>
      <c r="K61" s="84">
        <v>5.2900000000094716</v>
      </c>
      <c r="L61" s="87" t="s">
        <v>155</v>
      </c>
      <c r="M61" s="88">
        <v>5.0000000000000001E-3</v>
      </c>
      <c r="N61" s="88">
        <v>1.250000000000936E-2</v>
      </c>
      <c r="O61" s="84">
        <v>278808.55087400001</v>
      </c>
      <c r="P61" s="86">
        <v>95.8</v>
      </c>
      <c r="Q61" s="74"/>
      <c r="R61" s="84">
        <v>267.09859174300004</v>
      </c>
      <c r="S61" s="85">
        <v>3.6959173941930276E-4</v>
      </c>
      <c r="T61" s="85">
        <f t="shared" si="1"/>
        <v>3.2333072088594709E-3</v>
      </c>
      <c r="U61" s="85">
        <f>R61/'סכום נכסי הקרן'!$C$42</f>
        <v>9.3545330074445868E-4</v>
      </c>
    </row>
    <row r="62" spans="2:21">
      <c r="B62" s="77" t="s">
        <v>452</v>
      </c>
      <c r="C62" s="74" t="s">
        <v>453</v>
      </c>
      <c r="D62" s="87" t="s">
        <v>111</v>
      </c>
      <c r="E62" s="87" t="s">
        <v>330</v>
      </c>
      <c r="F62" s="74" t="s">
        <v>454</v>
      </c>
      <c r="G62" s="87" t="s">
        <v>455</v>
      </c>
      <c r="H62" s="74" t="s">
        <v>425</v>
      </c>
      <c r="I62" s="74" t="s">
        <v>334</v>
      </c>
      <c r="J62" s="74"/>
      <c r="K62" s="84">
        <v>0.98999999991977916</v>
      </c>
      <c r="L62" s="87" t="s">
        <v>155</v>
      </c>
      <c r="M62" s="88">
        <v>4.6500000000000007E-2</v>
      </c>
      <c r="N62" s="88">
        <v>1.5499999998280983E-2</v>
      </c>
      <c r="O62" s="84">
        <v>1375.1331049999999</v>
      </c>
      <c r="P62" s="86">
        <v>126.91</v>
      </c>
      <c r="Q62" s="74"/>
      <c r="R62" s="84">
        <v>1.7451814859999999</v>
      </c>
      <c r="S62" s="85">
        <v>2.7141380470420187E-5</v>
      </c>
      <c r="T62" s="85">
        <f t="shared" si="1"/>
        <v>2.1125936466491177E-5</v>
      </c>
      <c r="U62" s="85">
        <f>R62/'סכום נכסי הקרן'!$C$42</f>
        <v>6.1121092807843441E-6</v>
      </c>
    </row>
    <row r="63" spans="2:21">
      <c r="B63" s="77" t="s">
        <v>456</v>
      </c>
      <c r="C63" s="74" t="s">
        <v>457</v>
      </c>
      <c r="D63" s="87" t="s">
        <v>111</v>
      </c>
      <c r="E63" s="87" t="s">
        <v>330</v>
      </c>
      <c r="F63" s="74" t="s">
        <v>458</v>
      </c>
      <c r="G63" s="87" t="s">
        <v>459</v>
      </c>
      <c r="H63" s="74" t="s">
        <v>431</v>
      </c>
      <c r="I63" s="74" t="s">
        <v>151</v>
      </c>
      <c r="J63" s="74"/>
      <c r="K63" s="84">
        <v>6.8000000000015985</v>
      </c>
      <c r="L63" s="87" t="s">
        <v>155</v>
      </c>
      <c r="M63" s="88">
        <v>3.85E-2</v>
      </c>
      <c r="N63" s="88">
        <v>5.8999999999968019E-3</v>
      </c>
      <c r="O63" s="84">
        <v>695512.73695100006</v>
      </c>
      <c r="P63" s="86">
        <v>125.9</v>
      </c>
      <c r="Q63" s="74"/>
      <c r="R63" s="84">
        <v>875.650511392</v>
      </c>
      <c r="S63" s="85">
        <v>2.6088816479092898E-4</v>
      </c>
      <c r="T63" s="85">
        <f t="shared" si="1"/>
        <v>1.0600007631823973E-2</v>
      </c>
      <c r="U63" s="85">
        <f>R63/'סכום נכסי הקרן'!$C$42</f>
        <v>3.0667707973854822E-3</v>
      </c>
    </row>
    <row r="64" spans="2:21">
      <c r="B64" s="77" t="s">
        <v>460</v>
      </c>
      <c r="C64" s="74" t="s">
        <v>461</v>
      </c>
      <c r="D64" s="87" t="s">
        <v>111</v>
      </c>
      <c r="E64" s="87" t="s">
        <v>330</v>
      </c>
      <c r="F64" s="74" t="s">
        <v>458</v>
      </c>
      <c r="G64" s="87" t="s">
        <v>459</v>
      </c>
      <c r="H64" s="74" t="s">
        <v>431</v>
      </c>
      <c r="I64" s="74" t="s">
        <v>151</v>
      </c>
      <c r="J64" s="74"/>
      <c r="K64" s="84">
        <v>4.6699999999990682</v>
      </c>
      <c r="L64" s="87" t="s">
        <v>155</v>
      </c>
      <c r="M64" s="88">
        <v>4.4999999999999998E-2</v>
      </c>
      <c r="N64" s="88">
        <v>3.9999999999989697E-3</v>
      </c>
      <c r="O64" s="84">
        <v>1564882.4539079999</v>
      </c>
      <c r="P64" s="86">
        <v>124.05</v>
      </c>
      <c r="Q64" s="74"/>
      <c r="R64" s="84">
        <v>1941.2367550429999</v>
      </c>
      <c r="S64" s="85">
        <v>5.294627864505005E-4</v>
      </c>
      <c r="T64" s="85">
        <f t="shared" si="1"/>
        <v>2.349924330646716E-2</v>
      </c>
      <c r="U64" s="85">
        <f>R64/'סכום נכסי הקרן'!$C$42</f>
        <v>6.7987491741578129E-3</v>
      </c>
    </row>
    <row r="65" spans="2:21">
      <c r="B65" s="77" t="s">
        <v>462</v>
      </c>
      <c r="C65" s="74" t="s">
        <v>463</v>
      </c>
      <c r="D65" s="87" t="s">
        <v>111</v>
      </c>
      <c r="E65" s="87" t="s">
        <v>330</v>
      </c>
      <c r="F65" s="74" t="s">
        <v>458</v>
      </c>
      <c r="G65" s="87" t="s">
        <v>459</v>
      </c>
      <c r="H65" s="74" t="s">
        <v>431</v>
      </c>
      <c r="I65" s="74" t="s">
        <v>151</v>
      </c>
      <c r="J65" s="74"/>
      <c r="K65" s="84">
        <v>9.3900000000015797</v>
      </c>
      <c r="L65" s="87" t="s">
        <v>155</v>
      </c>
      <c r="M65" s="88">
        <v>2.3900000000000001E-2</v>
      </c>
      <c r="N65" s="88">
        <v>7.2000000000021604E-3</v>
      </c>
      <c r="O65" s="84">
        <v>633227.50399999996</v>
      </c>
      <c r="P65" s="86">
        <v>116.99</v>
      </c>
      <c r="Q65" s="74"/>
      <c r="R65" s="84">
        <v>740.81284989699998</v>
      </c>
      <c r="S65" s="85">
        <v>3.2132599775710796E-4</v>
      </c>
      <c r="T65" s="85">
        <f t="shared" si="1"/>
        <v>8.9677579816385272E-3</v>
      </c>
      <c r="U65" s="85">
        <f>R65/'סכום נכסי הקרן'!$C$42</f>
        <v>2.5945319334998683E-3</v>
      </c>
    </row>
    <row r="66" spans="2:21">
      <c r="B66" s="77" t="s">
        <v>464</v>
      </c>
      <c r="C66" s="74" t="s">
        <v>465</v>
      </c>
      <c r="D66" s="87" t="s">
        <v>111</v>
      </c>
      <c r="E66" s="87" t="s">
        <v>330</v>
      </c>
      <c r="F66" s="74" t="s">
        <v>466</v>
      </c>
      <c r="G66" s="87" t="s">
        <v>395</v>
      </c>
      <c r="H66" s="74" t="s">
        <v>431</v>
      </c>
      <c r="I66" s="74" t="s">
        <v>151</v>
      </c>
      <c r="J66" s="74"/>
      <c r="K66" s="84">
        <v>5.3300000000038095</v>
      </c>
      <c r="L66" s="87" t="s">
        <v>155</v>
      </c>
      <c r="M66" s="88">
        <v>1.5800000000000002E-2</v>
      </c>
      <c r="N66" s="88">
        <v>1.1099999999980943E-2</v>
      </c>
      <c r="O66" s="84">
        <v>202486.21294900001</v>
      </c>
      <c r="P66" s="86">
        <v>103.67</v>
      </c>
      <c r="Q66" s="74"/>
      <c r="R66" s="84">
        <v>209.91745694000002</v>
      </c>
      <c r="S66" s="85">
        <v>3.5369100355775197E-4</v>
      </c>
      <c r="T66" s="85">
        <f t="shared" si="1"/>
        <v>2.5411127118282056E-3</v>
      </c>
      <c r="U66" s="85">
        <f>R66/'סכום נכסי הקרן'!$C$42</f>
        <v>7.3518911760998493E-4</v>
      </c>
    </row>
    <row r="67" spans="2:21">
      <c r="B67" s="77" t="s">
        <v>467</v>
      </c>
      <c r="C67" s="74" t="s">
        <v>468</v>
      </c>
      <c r="D67" s="87" t="s">
        <v>111</v>
      </c>
      <c r="E67" s="87" t="s">
        <v>330</v>
      </c>
      <c r="F67" s="74" t="s">
        <v>466</v>
      </c>
      <c r="G67" s="87" t="s">
        <v>395</v>
      </c>
      <c r="H67" s="74" t="s">
        <v>431</v>
      </c>
      <c r="I67" s="74" t="s">
        <v>151</v>
      </c>
      <c r="J67" s="74"/>
      <c r="K67" s="84">
        <v>7.9400000000127644</v>
      </c>
      <c r="L67" s="87" t="s">
        <v>155</v>
      </c>
      <c r="M67" s="88">
        <v>8.3999999999999995E-3</v>
      </c>
      <c r="N67" s="88">
        <v>1.2500000000014375E-2</v>
      </c>
      <c r="O67" s="84">
        <v>180920.40436399999</v>
      </c>
      <c r="P67" s="86">
        <v>96.13</v>
      </c>
      <c r="Q67" s="74"/>
      <c r="R67" s="84">
        <v>173.91877868700001</v>
      </c>
      <c r="S67" s="85">
        <v>7.2368161745599996E-4</v>
      </c>
      <c r="T67" s="85">
        <f t="shared" si="1"/>
        <v>2.1053380971240159E-3</v>
      </c>
      <c r="U67" s="85">
        <f>R67/'סכום נכסי הקרן'!$C$42</f>
        <v>6.0911176851408068E-4</v>
      </c>
    </row>
    <row r="68" spans="2:21">
      <c r="B68" s="77" t="s">
        <v>469</v>
      </c>
      <c r="C68" s="74" t="s">
        <v>470</v>
      </c>
      <c r="D68" s="87" t="s">
        <v>111</v>
      </c>
      <c r="E68" s="87" t="s">
        <v>330</v>
      </c>
      <c r="F68" s="74" t="s">
        <v>471</v>
      </c>
      <c r="G68" s="87" t="s">
        <v>455</v>
      </c>
      <c r="H68" s="74" t="s">
        <v>431</v>
      </c>
      <c r="I68" s="74" t="s">
        <v>151</v>
      </c>
      <c r="J68" s="74"/>
      <c r="K68" s="84">
        <v>0.91999999962066081</v>
      </c>
      <c r="L68" s="87" t="s">
        <v>155</v>
      </c>
      <c r="M68" s="88">
        <v>4.8899999999999999E-2</v>
      </c>
      <c r="N68" s="88">
        <v>7.1999999985774788E-3</v>
      </c>
      <c r="O68" s="84">
        <v>1362.4681889999999</v>
      </c>
      <c r="P68" s="86">
        <v>123.83</v>
      </c>
      <c r="Q68" s="74"/>
      <c r="R68" s="84">
        <v>1.6871442669999999</v>
      </c>
      <c r="S68" s="85">
        <v>7.3179207199047035E-5</v>
      </c>
      <c r="T68" s="85">
        <f t="shared" si="1"/>
        <v>2.042337881783306E-5</v>
      </c>
      <c r="U68" s="85">
        <f>R68/'סכום נכסי הקרן'!$C$42</f>
        <v>5.9088468535087353E-6</v>
      </c>
    </row>
    <row r="69" spans="2:21">
      <c r="B69" s="77" t="s">
        <v>472</v>
      </c>
      <c r="C69" s="74" t="s">
        <v>473</v>
      </c>
      <c r="D69" s="87" t="s">
        <v>111</v>
      </c>
      <c r="E69" s="87" t="s">
        <v>330</v>
      </c>
      <c r="F69" s="74" t="s">
        <v>353</v>
      </c>
      <c r="G69" s="87" t="s">
        <v>340</v>
      </c>
      <c r="H69" s="74" t="s">
        <v>425</v>
      </c>
      <c r="I69" s="74" t="s">
        <v>334</v>
      </c>
      <c r="J69" s="74"/>
      <c r="K69" s="84">
        <v>2.9999999999974261</v>
      </c>
      <c r="L69" s="87" t="s">
        <v>155</v>
      </c>
      <c r="M69" s="88">
        <v>1.6399999999999998E-2</v>
      </c>
      <c r="N69" s="88">
        <v>2.9599999999976322E-2</v>
      </c>
      <c r="O69" s="84">
        <f>402985.728/50000</f>
        <v>8.0597145599999998</v>
      </c>
      <c r="P69" s="86">
        <v>4820001</v>
      </c>
      <c r="Q69" s="74"/>
      <c r="R69" s="84">
        <v>388.47834685200002</v>
      </c>
      <c r="S69" s="85">
        <f>3282.71202346041%/50000</f>
        <v>6.5654240469208201E-4</v>
      </c>
      <c r="T69" s="85">
        <f t="shared" si="1"/>
        <v>4.7026449340884626E-3</v>
      </c>
      <c r="U69" s="85">
        <f>R69/'סכום נכסי הקרן'!$C$42</f>
        <v>1.3605588463009109E-3</v>
      </c>
    </row>
    <row r="70" spans="2:21">
      <c r="B70" s="77" t="s">
        <v>474</v>
      </c>
      <c r="C70" s="74" t="s">
        <v>475</v>
      </c>
      <c r="D70" s="87" t="s">
        <v>111</v>
      </c>
      <c r="E70" s="87" t="s">
        <v>330</v>
      </c>
      <c r="F70" s="74" t="s">
        <v>353</v>
      </c>
      <c r="G70" s="87" t="s">
        <v>340</v>
      </c>
      <c r="H70" s="74" t="s">
        <v>425</v>
      </c>
      <c r="I70" s="74" t="s">
        <v>334</v>
      </c>
      <c r="J70" s="74"/>
      <c r="K70" s="84">
        <v>7.2300000000167071</v>
      </c>
      <c r="L70" s="87" t="s">
        <v>155</v>
      </c>
      <c r="M70" s="88">
        <v>2.7799999999999998E-2</v>
      </c>
      <c r="N70" s="88">
        <v>3.0300000000073882E-2</v>
      </c>
      <c r="O70" s="84">
        <f>152064.1458/50000</f>
        <v>3.0412829160000001</v>
      </c>
      <c r="P70" s="86">
        <v>4940000</v>
      </c>
      <c r="Q70" s="74"/>
      <c r="R70" s="84">
        <v>150.23937696299998</v>
      </c>
      <c r="S70" s="85">
        <f>3636.15843615495%/50000</f>
        <v>7.2723168723098995E-4</v>
      </c>
      <c r="T70" s="85">
        <f t="shared" si="1"/>
        <v>1.8186919572246458E-3</v>
      </c>
      <c r="U70" s="85">
        <f>R70/'סכום נכסי הקרן'!$C$42</f>
        <v>5.2617994039091585E-4</v>
      </c>
    </row>
    <row r="71" spans="2:21">
      <c r="B71" s="77" t="s">
        <v>476</v>
      </c>
      <c r="C71" s="74" t="s">
        <v>477</v>
      </c>
      <c r="D71" s="87" t="s">
        <v>111</v>
      </c>
      <c r="E71" s="87" t="s">
        <v>330</v>
      </c>
      <c r="F71" s="74" t="s">
        <v>353</v>
      </c>
      <c r="G71" s="87" t="s">
        <v>340</v>
      </c>
      <c r="H71" s="74" t="s">
        <v>425</v>
      </c>
      <c r="I71" s="74" t="s">
        <v>334</v>
      </c>
      <c r="J71" s="74"/>
      <c r="K71" s="84">
        <v>4.4300000000064212</v>
      </c>
      <c r="L71" s="87" t="s">
        <v>155</v>
      </c>
      <c r="M71" s="88">
        <v>2.4199999999999999E-2</v>
      </c>
      <c r="N71" s="88">
        <v>2.8200000000044887E-2</v>
      </c>
      <c r="O71" s="84">
        <f>324120.1617/50000</f>
        <v>6.4824032339999995</v>
      </c>
      <c r="P71" s="86">
        <v>4949250</v>
      </c>
      <c r="Q71" s="74"/>
      <c r="R71" s="84">
        <v>320.83033525799999</v>
      </c>
      <c r="S71" s="85">
        <f>1124.51917461749%/50000</f>
        <v>2.2490383492349803E-4</v>
      </c>
      <c r="T71" s="85">
        <f t="shared" si="1"/>
        <v>3.8837458072733485E-3</v>
      </c>
      <c r="U71" s="85">
        <f>R71/'סכום נכסי הקרן'!$C$42</f>
        <v>1.1236367595109673E-3</v>
      </c>
    </row>
    <row r="72" spans="2:21">
      <c r="B72" s="77" t="s">
        <v>478</v>
      </c>
      <c r="C72" s="74" t="s">
        <v>479</v>
      </c>
      <c r="D72" s="87" t="s">
        <v>111</v>
      </c>
      <c r="E72" s="87" t="s">
        <v>330</v>
      </c>
      <c r="F72" s="74" t="s">
        <v>353</v>
      </c>
      <c r="G72" s="87" t="s">
        <v>340</v>
      </c>
      <c r="H72" s="74" t="s">
        <v>425</v>
      </c>
      <c r="I72" s="74" t="s">
        <v>334</v>
      </c>
      <c r="J72" s="74"/>
      <c r="K72" s="84">
        <v>4.0400000000007603</v>
      </c>
      <c r="L72" s="87" t="s">
        <v>155</v>
      </c>
      <c r="M72" s="88">
        <v>1.95E-2</v>
      </c>
      <c r="N72" s="88">
        <v>3.1200000000001685E-2</v>
      </c>
      <c r="O72" s="84">
        <f>494129.7657/50000</f>
        <v>9.8825953139999996</v>
      </c>
      <c r="P72" s="86">
        <v>4788222</v>
      </c>
      <c r="Q72" s="74"/>
      <c r="R72" s="84">
        <v>473.20061414100007</v>
      </c>
      <c r="S72" s="85">
        <f>1990.93342076635%/50000</f>
        <v>3.9818668415327003E-4</v>
      </c>
      <c r="T72" s="85">
        <f t="shared" si="1"/>
        <v>5.7282329605503127E-3</v>
      </c>
      <c r="U72" s="85">
        <f>R72/'סכום נכסי הקרן'!$C$42</f>
        <v>1.6572797090537426E-3</v>
      </c>
    </row>
    <row r="73" spans="2:21">
      <c r="B73" s="77" t="s">
        <v>480</v>
      </c>
      <c r="C73" s="74" t="s">
        <v>481</v>
      </c>
      <c r="D73" s="87" t="s">
        <v>111</v>
      </c>
      <c r="E73" s="87" t="s">
        <v>330</v>
      </c>
      <c r="F73" s="74" t="s">
        <v>353</v>
      </c>
      <c r="G73" s="87" t="s">
        <v>340</v>
      </c>
      <c r="H73" s="74" t="s">
        <v>431</v>
      </c>
      <c r="I73" s="74" t="s">
        <v>151</v>
      </c>
      <c r="J73" s="74"/>
      <c r="K73" s="84">
        <v>0.11000000000074872</v>
      </c>
      <c r="L73" s="87" t="s">
        <v>155</v>
      </c>
      <c r="M73" s="88">
        <v>0.05</v>
      </c>
      <c r="N73" s="88">
        <v>3.0799999999993343E-2</v>
      </c>
      <c r="O73" s="84">
        <v>540969.96649999998</v>
      </c>
      <c r="P73" s="86">
        <v>111.1</v>
      </c>
      <c r="Q73" s="74"/>
      <c r="R73" s="84">
        <v>601.01768470499997</v>
      </c>
      <c r="S73" s="85">
        <v>5.4097050747050745E-4</v>
      </c>
      <c r="T73" s="85">
        <f t="shared" si="1"/>
        <v>7.2754962874476978E-3</v>
      </c>
      <c r="U73" s="85">
        <f>R73/'סכום נכסי הקרן'!$C$42</f>
        <v>2.1049305175822553E-3</v>
      </c>
    </row>
    <row r="74" spans="2:21">
      <c r="B74" s="77" t="s">
        <v>482</v>
      </c>
      <c r="C74" s="74" t="s">
        <v>483</v>
      </c>
      <c r="D74" s="87" t="s">
        <v>111</v>
      </c>
      <c r="E74" s="87" t="s">
        <v>330</v>
      </c>
      <c r="F74" s="74" t="s">
        <v>484</v>
      </c>
      <c r="G74" s="87" t="s">
        <v>395</v>
      </c>
      <c r="H74" s="74" t="s">
        <v>425</v>
      </c>
      <c r="I74" s="74" t="s">
        <v>334</v>
      </c>
      <c r="J74" s="74"/>
      <c r="K74" s="84">
        <v>3.3499999999968342</v>
      </c>
      <c r="L74" s="87" t="s">
        <v>155</v>
      </c>
      <c r="M74" s="88">
        <v>2.8500000000000001E-2</v>
      </c>
      <c r="N74" s="88">
        <v>1.3899999999990399E-2</v>
      </c>
      <c r="O74" s="84">
        <v>455478.87227200001</v>
      </c>
      <c r="P74" s="86">
        <v>107.5</v>
      </c>
      <c r="Q74" s="74"/>
      <c r="R74" s="84">
        <v>489.63977227300001</v>
      </c>
      <c r="S74" s="85">
        <v>6.6687975442459733E-4</v>
      </c>
      <c r="T74" s="85">
        <f t="shared" si="1"/>
        <v>5.9272338169341588E-3</v>
      </c>
      <c r="U74" s="85">
        <f>R74/'סכום נכסי הקרן'!$C$42</f>
        <v>1.7148541973192445E-3</v>
      </c>
    </row>
    <row r="75" spans="2:21">
      <c r="B75" s="77" t="s">
        <v>485</v>
      </c>
      <c r="C75" s="74" t="s">
        <v>486</v>
      </c>
      <c r="D75" s="87" t="s">
        <v>111</v>
      </c>
      <c r="E75" s="87" t="s">
        <v>330</v>
      </c>
      <c r="F75" s="74" t="s">
        <v>484</v>
      </c>
      <c r="G75" s="87" t="s">
        <v>395</v>
      </c>
      <c r="H75" s="74" t="s">
        <v>425</v>
      </c>
      <c r="I75" s="74" t="s">
        <v>334</v>
      </c>
      <c r="J75" s="74"/>
      <c r="K75" s="84">
        <v>4.8300000000090426</v>
      </c>
      <c r="L75" s="87" t="s">
        <v>155</v>
      </c>
      <c r="M75" s="88">
        <v>2.4E-2</v>
      </c>
      <c r="N75" s="88">
        <v>1.1800000000068896E-2</v>
      </c>
      <c r="O75" s="84">
        <v>43335.575729999997</v>
      </c>
      <c r="P75" s="86">
        <v>107.18</v>
      </c>
      <c r="Q75" s="74"/>
      <c r="R75" s="84">
        <v>46.447069126000002</v>
      </c>
      <c r="S75" s="85">
        <v>8.8250800187997057E-5</v>
      </c>
      <c r="T75" s="85">
        <f t="shared" ref="T75:T106" si="2">R75/$R$11</f>
        <v>5.6225546699995184E-4</v>
      </c>
      <c r="U75" s="85">
        <f>R75/'סכום נכסי הקרן'!$C$42</f>
        <v>1.6267050994274451E-4</v>
      </c>
    </row>
    <row r="76" spans="2:21">
      <c r="B76" s="77" t="s">
        <v>487</v>
      </c>
      <c r="C76" s="74" t="s">
        <v>488</v>
      </c>
      <c r="D76" s="87" t="s">
        <v>111</v>
      </c>
      <c r="E76" s="87" t="s">
        <v>330</v>
      </c>
      <c r="F76" s="74" t="s">
        <v>489</v>
      </c>
      <c r="G76" s="87" t="s">
        <v>395</v>
      </c>
      <c r="H76" s="74" t="s">
        <v>425</v>
      </c>
      <c r="I76" s="74" t="s">
        <v>334</v>
      </c>
      <c r="J76" s="74"/>
      <c r="K76" s="84">
        <v>1.9999999997595344E-2</v>
      </c>
      <c r="L76" s="87" t="s">
        <v>155</v>
      </c>
      <c r="M76" s="88">
        <v>5.0999999999999997E-2</v>
      </c>
      <c r="N76" s="88">
        <v>1.0300000000018579E-2</v>
      </c>
      <c r="O76" s="84">
        <v>160704.80681499999</v>
      </c>
      <c r="P76" s="86">
        <v>113.86</v>
      </c>
      <c r="Q76" s="74"/>
      <c r="R76" s="84">
        <v>182.97850082200003</v>
      </c>
      <c r="S76" s="85">
        <v>3.6174554489302497E-4</v>
      </c>
      <c r="T76" s="85">
        <f t="shared" si="2"/>
        <v>2.2150087048880005E-3</v>
      </c>
      <c r="U76" s="85">
        <f>R76/'סכום נכסי הקרן'!$C$42</f>
        <v>6.4084142653926383E-4</v>
      </c>
    </row>
    <row r="77" spans="2:21">
      <c r="B77" s="77" t="s">
        <v>490</v>
      </c>
      <c r="C77" s="74" t="s">
        <v>491</v>
      </c>
      <c r="D77" s="87" t="s">
        <v>111</v>
      </c>
      <c r="E77" s="87" t="s">
        <v>330</v>
      </c>
      <c r="F77" s="74" t="s">
        <v>489</v>
      </c>
      <c r="G77" s="87" t="s">
        <v>395</v>
      </c>
      <c r="H77" s="74" t="s">
        <v>425</v>
      </c>
      <c r="I77" s="74" t="s">
        <v>334</v>
      </c>
      <c r="J77" s="74"/>
      <c r="K77" s="84">
        <v>1.4700000000014508</v>
      </c>
      <c r="L77" s="87" t="s">
        <v>155</v>
      </c>
      <c r="M77" s="88">
        <v>2.5499999999999998E-2</v>
      </c>
      <c r="N77" s="88">
        <v>1.8200000000011485E-2</v>
      </c>
      <c r="O77" s="84">
        <v>632393.40954699996</v>
      </c>
      <c r="P77" s="86">
        <v>102.15</v>
      </c>
      <c r="Q77" s="84">
        <v>15.677534983000001</v>
      </c>
      <c r="R77" s="84">
        <v>661.66740283200011</v>
      </c>
      <c r="S77" s="85">
        <v>5.8733217816354976E-4</v>
      </c>
      <c r="T77" s="85">
        <f t="shared" si="2"/>
        <v>8.0096790083510304E-3</v>
      </c>
      <c r="U77" s="85">
        <f>R77/'סכום נכסי הקרן'!$C$42</f>
        <v>2.3173426409142765E-3</v>
      </c>
    </row>
    <row r="78" spans="2:21">
      <c r="B78" s="77" t="s">
        <v>492</v>
      </c>
      <c r="C78" s="74" t="s">
        <v>493</v>
      </c>
      <c r="D78" s="87" t="s">
        <v>111</v>
      </c>
      <c r="E78" s="87" t="s">
        <v>330</v>
      </c>
      <c r="F78" s="74" t="s">
        <v>489</v>
      </c>
      <c r="G78" s="87" t="s">
        <v>395</v>
      </c>
      <c r="H78" s="74" t="s">
        <v>425</v>
      </c>
      <c r="I78" s="74" t="s">
        <v>334</v>
      </c>
      <c r="J78" s="74"/>
      <c r="K78" s="84">
        <v>5.8400000000043164</v>
      </c>
      <c r="L78" s="87" t="s">
        <v>155</v>
      </c>
      <c r="M78" s="88">
        <v>2.35E-2</v>
      </c>
      <c r="N78" s="88">
        <v>1.3400000000012624E-2</v>
      </c>
      <c r="O78" s="84">
        <v>455550.369259</v>
      </c>
      <c r="P78" s="86">
        <v>107.81</v>
      </c>
      <c r="Q78" s="74"/>
      <c r="R78" s="84">
        <v>491.128845807</v>
      </c>
      <c r="S78" s="85">
        <v>5.8042287439533677E-4</v>
      </c>
      <c r="T78" s="85">
        <f t="shared" si="2"/>
        <v>5.9452594911265427E-3</v>
      </c>
      <c r="U78" s="85">
        <f>R78/'סכום נכסי הקרן'!$C$42</f>
        <v>1.7200693455659707E-3</v>
      </c>
    </row>
    <row r="79" spans="2:21">
      <c r="B79" s="77" t="s">
        <v>494</v>
      </c>
      <c r="C79" s="74" t="s">
        <v>495</v>
      </c>
      <c r="D79" s="87" t="s">
        <v>111</v>
      </c>
      <c r="E79" s="87" t="s">
        <v>330</v>
      </c>
      <c r="F79" s="74" t="s">
        <v>489</v>
      </c>
      <c r="G79" s="87" t="s">
        <v>395</v>
      </c>
      <c r="H79" s="74" t="s">
        <v>425</v>
      </c>
      <c r="I79" s="74" t="s">
        <v>334</v>
      </c>
      <c r="J79" s="74"/>
      <c r="K79" s="84">
        <v>4.5999999999994952</v>
      </c>
      <c r="L79" s="87" t="s">
        <v>155</v>
      </c>
      <c r="M79" s="88">
        <v>1.7600000000000001E-2</v>
      </c>
      <c r="N79" s="88">
        <v>1.3299999999996598E-2</v>
      </c>
      <c r="O79" s="84">
        <v>752107.5936250001</v>
      </c>
      <c r="P79" s="86">
        <v>103.5</v>
      </c>
      <c r="Q79" s="84">
        <v>15.276314029000002</v>
      </c>
      <c r="R79" s="84">
        <v>793.70767341900012</v>
      </c>
      <c r="S79" s="85">
        <v>5.3142512447395065E-4</v>
      </c>
      <c r="T79" s="85">
        <f t="shared" si="2"/>
        <v>9.608065416765673E-3</v>
      </c>
      <c r="U79" s="85">
        <f>R79/'סכום נכסי הקרן'!$C$42</f>
        <v>2.7797842664794466E-3</v>
      </c>
    </row>
    <row r="80" spans="2:21">
      <c r="B80" s="77" t="s">
        <v>496</v>
      </c>
      <c r="C80" s="74" t="s">
        <v>497</v>
      </c>
      <c r="D80" s="87" t="s">
        <v>111</v>
      </c>
      <c r="E80" s="87" t="s">
        <v>330</v>
      </c>
      <c r="F80" s="74" t="s">
        <v>489</v>
      </c>
      <c r="G80" s="87" t="s">
        <v>395</v>
      </c>
      <c r="H80" s="74" t="s">
        <v>425</v>
      </c>
      <c r="I80" s="74" t="s">
        <v>334</v>
      </c>
      <c r="J80" s="74"/>
      <c r="K80" s="84">
        <v>5.1699999999984998</v>
      </c>
      <c r="L80" s="87" t="s">
        <v>155</v>
      </c>
      <c r="M80" s="88">
        <v>2.1499999999999998E-2</v>
      </c>
      <c r="N80" s="88">
        <v>1.3899999999990049E-2</v>
      </c>
      <c r="O80" s="84">
        <v>634112.06272699998</v>
      </c>
      <c r="P80" s="86">
        <v>106.17</v>
      </c>
      <c r="Q80" s="74"/>
      <c r="R80" s="84">
        <v>673.23677005299999</v>
      </c>
      <c r="S80" s="85">
        <v>4.853517822399921E-4</v>
      </c>
      <c r="T80" s="85">
        <f t="shared" si="2"/>
        <v>8.1497296098667227E-3</v>
      </c>
      <c r="U80" s="85">
        <f>R80/'סכום נכסי הקרן'!$C$42</f>
        <v>2.3578617716359484E-3</v>
      </c>
    </row>
    <row r="81" spans="2:21">
      <c r="B81" s="77" t="s">
        <v>498</v>
      </c>
      <c r="C81" s="74" t="s">
        <v>499</v>
      </c>
      <c r="D81" s="87" t="s">
        <v>111</v>
      </c>
      <c r="E81" s="87" t="s">
        <v>330</v>
      </c>
      <c r="F81" s="74" t="s">
        <v>489</v>
      </c>
      <c r="G81" s="87" t="s">
        <v>395</v>
      </c>
      <c r="H81" s="74" t="s">
        <v>425</v>
      </c>
      <c r="I81" s="74" t="s">
        <v>334</v>
      </c>
      <c r="J81" s="74"/>
      <c r="K81" s="84">
        <v>7.2000000000050788</v>
      </c>
      <c r="L81" s="87" t="s">
        <v>155</v>
      </c>
      <c r="M81" s="88">
        <v>6.5000000000000006E-3</v>
      </c>
      <c r="N81" s="88">
        <v>1.5100000000006164E-2</v>
      </c>
      <c r="O81" s="84">
        <v>290324.82507299999</v>
      </c>
      <c r="P81" s="86">
        <v>93.74</v>
      </c>
      <c r="Q81" s="84">
        <v>3.559261046</v>
      </c>
      <c r="R81" s="84">
        <v>275.70975463299999</v>
      </c>
      <c r="S81" s="85">
        <v>7.4054898753535357E-4</v>
      </c>
      <c r="T81" s="85">
        <f t="shared" si="2"/>
        <v>3.3375478747020293E-3</v>
      </c>
      <c r="U81" s="85">
        <f>R81/'סכום נכסי הקרן'!$C$42</f>
        <v>9.6561197996523657E-4</v>
      </c>
    </row>
    <row r="82" spans="2:21">
      <c r="B82" s="77" t="s">
        <v>500</v>
      </c>
      <c r="C82" s="74" t="s">
        <v>501</v>
      </c>
      <c r="D82" s="87" t="s">
        <v>111</v>
      </c>
      <c r="E82" s="87" t="s">
        <v>330</v>
      </c>
      <c r="F82" s="74" t="s">
        <v>372</v>
      </c>
      <c r="G82" s="87" t="s">
        <v>340</v>
      </c>
      <c r="H82" s="74" t="s">
        <v>425</v>
      </c>
      <c r="I82" s="74" t="s">
        <v>334</v>
      </c>
      <c r="J82" s="74"/>
      <c r="K82" s="84">
        <v>0.98999999999990973</v>
      </c>
      <c r="L82" s="87" t="s">
        <v>155</v>
      </c>
      <c r="M82" s="88">
        <v>3.8800000000000001E-2</v>
      </c>
      <c r="N82" s="88">
        <v>1.6299999999999426E-2</v>
      </c>
      <c r="O82" s="84">
        <v>702119.397108</v>
      </c>
      <c r="P82" s="86">
        <v>113.55</v>
      </c>
      <c r="Q82" s="84">
        <v>421.99469406000003</v>
      </c>
      <c r="R82" s="84">
        <v>1219.2512694890002</v>
      </c>
      <c r="S82" s="85">
        <v>1.0252564909446298E-3</v>
      </c>
      <c r="T82" s="85">
        <f t="shared" si="2"/>
        <v>1.4759396121575249E-2</v>
      </c>
      <c r="U82" s="85">
        <f>R82/'סכום נכסי הקרן'!$C$42</f>
        <v>4.2701558890201356E-3</v>
      </c>
    </row>
    <row r="83" spans="2:21">
      <c r="B83" s="77" t="s">
        <v>502</v>
      </c>
      <c r="C83" s="74" t="s">
        <v>503</v>
      </c>
      <c r="D83" s="87" t="s">
        <v>111</v>
      </c>
      <c r="E83" s="87" t="s">
        <v>330</v>
      </c>
      <c r="F83" s="74" t="s">
        <v>504</v>
      </c>
      <c r="G83" s="87" t="s">
        <v>395</v>
      </c>
      <c r="H83" s="74" t="s">
        <v>425</v>
      </c>
      <c r="I83" s="74" t="s">
        <v>334</v>
      </c>
      <c r="J83" s="74"/>
      <c r="K83" s="84">
        <v>6.8099999999925194</v>
      </c>
      <c r="L83" s="87" t="s">
        <v>155</v>
      </c>
      <c r="M83" s="88">
        <v>3.5000000000000003E-2</v>
      </c>
      <c r="N83" s="88">
        <v>1.3100000000000757E-2</v>
      </c>
      <c r="O83" s="84">
        <v>223179.65121800001</v>
      </c>
      <c r="P83" s="86">
        <v>118.6</v>
      </c>
      <c r="Q83" s="74"/>
      <c r="R83" s="84">
        <v>264.69108235799996</v>
      </c>
      <c r="S83" s="85">
        <v>2.8568373951357398E-4</v>
      </c>
      <c r="T83" s="85">
        <f t="shared" si="2"/>
        <v>3.2041635978837624E-3</v>
      </c>
      <c r="U83" s="85">
        <f>R83/'סכום נכסי הקרן'!$C$42</f>
        <v>9.2702153558210784E-4</v>
      </c>
    </row>
    <row r="84" spans="2:21">
      <c r="B84" s="77" t="s">
        <v>505</v>
      </c>
      <c r="C84" s="74" t="s">
        <v>506</v>
      </c>
      <c r="D84" s="87" t="s">
        <v>111</v>
      </c>
      <c r="E84" s="87" t="s">
        <v>330</v>
      </c>
      <c r="F84" s="74" t="s">
        <v>504</v>
      </c>
      <c r="G84" s="87" t="s">
        <v>395</v>
      </c>
      <c r="H84" s="74" t="s">
        <v>425</v>
      </c>
      <c r="I84" s="74" t="s">
        <v>334</v>
      </c>
      <c r="J84" s="74"/>
      <c r="K84" s="84">
        <v>2.609999999976635</v>
      </c>
      <c r="L84" s="87" t="s">
        <v>155</v>
      </c>
      <c r="M84" s="88">
        <v>0.04</v>
      </c>
      <c r="N84" s="88">
        <v>9.0999999997663523E-3</v>
      </c>
      <c r="O84" s="84">
        <v>23537.574488999999</v>
      </c>
      <c r="P84" s="86">
        <v>109.1</v>
      </c>
      <c r="Q84" s="74"/>
      <c r="R84" s="84">
        <v>25.679494559999998</v>
      </c>
      <c r="S84" s="85">
        <v>7.4611752146030863E-5</v>
      </c>
      <c r="T84" s="85">
        <f t="shared" si="2"/>
        <v>3.1085785341993124E-4</v>
      </c>
      <c r="U84" s="85">
        <f>R84/'סכום נכסי הקרן'!$C$42</f>
        <v>8.9936707606137802E-5</v>
      </c>
    </row>
    <row r="85" spans="2:21">
      <c r="B85" s="77" t="s">
        <v>507</v>
      </c>
      <c r="C85" s="74" t="s">
        <v>508</v>
      </c>
      <c r="D85" s="87" t="s">
        <v>111</v>
      </c>
      <c r="E85" s="87" t="s">
        <v>330</v>
      </c>
      <c r="F85" s="74" t="s">
        <v>504</v>
      </c>
      <c r="G85" s="87" t="s">
        <v>395</v>
      </c>
      <c r="H85" s="74" t="s">
        <v>425</v>
      </c>
      <c r="I85" s="74" t="s">
        <v>334</v>
      </c>
      <c r="J85" s="74"/>
      <c r="K85" s="84">
        <v>5.3699999999977095</v>
      </c>
      <c r="L85" s="87" t="s">
        <v>155</v>
      </c>
      <c r="M85" s="88">
        <v>0.04</v>
      </c>
      <c r="N85" s="88">
        <v>1.2299999999987907E-2</v>
      </c>
      <c r="O85" s="84">
        <v>534761.75500400004</v>
      </c>
      <c r="P85" s="86">
        <v>117.53</v>
      </c>
      <c r="Q85" s="74"/>
      <c r="R85" s="84">
        <v>628.505497612</v>
      </c>
      <c r="S85" s="85">
        <v>5.314656169399818E-4</v>
      </c>
      <c r="T85" s="85">
        <f t="shared" si="2"/>
        <v>7.6082443676528519E-3</v>
      </c>
      <c r="U85" s="85">
        <f>R85/'סכום נכסי הקרן'!$C$42</f>
        <v>2.2012004572562189E-3</v>
      </c>
    </row>
    <row r="86" spans="2:21">
      <c r="B86" s="77" t="s">
        <v>509</v>
      </c>
      <c r="C86" s="74" t="s">
        <v>510</v>
      </c>
      <c r="D86" s="87" t="s">
        <v>111</v>
      </c>
      <c r="E86" s="87" t="s">
        <v>330</v>
      </c>
      <c r="F86" s="74" t="s">
        <v>511</v>
      </c>
      <c r="G86" s="87" t="s">
        <v>142</v>
      </c>
      <c r="H86" s="74" t="s">
        <v>425</v>
      </c>
      <c r="I86" s="74" t="s">
        <v>334</v>
      </c>
      <c r="J86" s="74"/>
      <c r="K86" s="84">
        <v>3.9899999999908697</v>
      </c>
      <c r="L86" s="87" t="s">
        <v>155</v>
      </c>
      <c r="M86" s="88">
        <v>4.2999999999999997E-2</v>
      </c>
      <c r="N86" s="88">
        <v>7.6000000000561885E-3</v>
      </c>
      <c r="O86" s="84">
        <v>60457.411165999991</v>
      </c>
      <c r="P86" s="86">
        <v>117.75</v>
      </c>
      <c r="Q86" s="74"/>
      <c r="R86" s="84">
        <v>71.188604334999994</v>
      </c>
      <c r="S86" s="85">
        <v>6.5869627727861582E-5</v>
      </c>
      <c r="T86" s="85">
        <f t="shared" si="2"/>
        <v>8.6175904591242515E-4</v>
      </c>
      <c r="U86" s="85">
        <f>R86/'סכום נכסי הקרן'!$C$42</f>
        <v>2.4932222392487502E-4</v>
      </c>
    </row>
    <row r="87" spans="2:21">
      <c r="B87" s="77" t="s">
        <v>512</v>
      </c>
      <c r="C87" s="74" t="s">
        <v>513</v>
      </c>
      <c r="D87" s="87" t="s">
        <v>111</v>
      </c>
      <c r="E87" s="87" t="s">
        <v>330</v>
      </c>
      <c r="F87" s="74" t="s">
        <v>514</v>
      </c>
      <c r="G87" s="87" t="s">
        <v>515</v>
      </c>
      <c r="H87" s="74" t="s">
        <v>516</v>
      </c>
      <c r="I87" s="74" t="s">
        <v>334</v>
      </c>
      <c r="J87" s="74"/>
      <c r="K87" s="84">
        <v>7.1400000000009669</v>
      </c>
      <c r="L87" s="87" t="s">
        <v>155</v>
      </c>
      <c r="M87" s="88">
        <v>5.1500000000000004E-2</v>
      </c>
      <c r="N87" s="88">
        <v>2.210000000000464E-2</v>
      </c>
      <c r="O87" s="84">
        <v>1375403.4613109999</v>
      </c>
      <c r="P87" s="86">
        <v>147.38</v>
      </c>
      <c r="Q87" s="74"/>
      <c r="R87" s="84">
        <v>2027.069524886</v>
      </c>
      <c r="S87" s="85">
        <v>3.6218459520956906E-4</v>
      </c>
      <c r="T87" s="85">
        <f t="shared" si="2"/>
        <v>2.4538274293784305E-2</v>
      </c>
      <c r="U87" s="85">
        <f>R87/'סכום נכסי הקרן'!$C$42</f>
        <v>7.0993593246558382E-3</v>
      </c>
    </row>
    <row r="88" spans="2:21">
      <c r="B88" s="77" t="s">
        <v>517</v>
      </c>
      <c r="C88" s="74" t="s">
        <v>518</v>
      </c>
      <c r="D88" s="87" t="s">
        <v>111</v>
      </c>
      <c r="E88" s="87" t="s">
        <v>330</v>
      </c>
      <c r="F88" s="74" t="s">
        <v>519</v>
      </c>
      <c r="G88" s="87" t="s">
        <v>182</v>
      </c>
      <c r="H88" s="74" t="s">
        <v>520</v>
      </c>
      <c r="I88" s="74" t="s">
        <v>151</v>
      </c>
      <c r="J88" s="74"/>
      <c r="K88" s="84">
        <v>7.4399999999818522</v>
      </c>
      <c r="L88" s="87" t="s">
        <v>155</v>
      </c>
      <c r="M88" s="88">
        <v>1.7000000000000001E-2</v>
      </c>
      <c r="N88" s="88">
        <v>1.2499999999972993E-2</v>
      </c>
      <c r="O88" s="84">
        <v>181631.433609</v>
      </c>
      <c r="P88" s="86">
        <v>101.93</v>
      </c>
      <c r="Q88" s="74"/>
      <c r="R88" s="84">
        <v>185.13692429400001</v>
      </c>
      <c r="S88" s="85">
        <v>1.4310251300699633E-4</v>
      </c>
      <c r="T88" s="85">
        <f t="shared" si="2"/>
        <v>2.2411370574421914E-3</v>
      </c>
      <c r="U88" s="85">
        <f>R88/'סכום נכסי הקרן'!$C$42</f>
        <v>6.4840082379445207E-4</v>
      </c>
    </row>
    <row r="89" spans="2:21">
      <c r="B89" s="77" t="s">
        <v>521</v>
      </c>
      <c r="C89" s="74" t="s">
        <v>522</v>
      </c>
      <c r="D89" s="87" t="s">
        <v>111</v>
      </c>
      <c r="E89" s="87" t="s">
        <v>330</v>
      </c>
      <c r="F89" s="74" t="s">
        <v>519</v>
      </c>
      <c r="G89" s="87" t="s">
        <v>182</v>
      </c>
      <c r="H89" s="74" t="s">
        <v>520</v>
      </c>
      <c r="I89" s="74" t="s">
        <v>151</v>
      </c>
      <c r="J89" s="74"/>
      <c r="K89" s="84">
        <v>1.4000000000012121</v>
      </c>
      <c r="L89" s="87" t="s">
        <v>155</v>
      </c>
      <c r="M89" s="88">
        <v>3.7000000000000005E-2</v>
      </c>
      <c r="N89" s="88">
        <v>1.4000000000012121E-2</v>
      </c>
      <c r="O89" s="84">
        <v>461728.82393100002</v>
      </c>
      <c r="P89" s="86">
        <v>107.21</v>
      </c>
      <c r="Q89" s="74"/>
      <c r="R89" s="84">
        <v>495.01948235599997</v>
      </c>
      <c r="S89" s="85">
        <v>3.0782148049402484E-4</v>
      </c>
      <c r="T89" s="85">
        <f t="shared" si="2"/>
        <v>5.9923567937324573E-3</v>
      </c>
      <c r="U89" s="85">
        <f>R89/'סכום נכסי הקרן'!$C$42</f>
        <v>1.7336954331391352E-3</v>
      </c>
    </row>
    <row r="90" spans="2:21">
      <c r="B90" s="77" t="s">
        <v>523</v>
      </c>
      <c r="C90" s="74" t="s">
        <v>524</v>
      </c>
      <c r="D90" s="87" t="s">
        <v>111</v>
      </c>
      <c r="E90" s="87" t="s">
        <v>330</v>
      </c>
      <c r="F90" s="74" t="s">
        <v>519</v>
      </c>
      <c r="G90" s="87" t="s">
        <v>182</v>
      </c>
      <c r="H90" s="74" t="s">
        <v>520</v>
      </c>
      <c r="I90" s="74" t="s">
        <v>151</v>
      </c>
      <c r="J90" s="74"/>
      <c r="K90" s="84">
        <v>4.0499999999964338</v>
      </c>
      <c r="L90" s="87" t="s">
        <v>155</v>
      </c>
      <c r="M90" s="88">
        <v>2.2000000000000002E-2</v>
      </c>
      <c r="N90" s="88">
        <v>9.599999999997326E-3</v>
      </c>
      <c r="O90" s="84">
        <v>425731.53071100003</v>
      </c>
      <c r="P90" s="86">
        <v>105.38</v>
      </c>
      <c r="Q90" s="74"/>
      <c r="R90" s="84">
        <v>448.63591377199998</v>
      </c>
      <c r="S90" s="85">
        <v>4.8286191358864111E-4</v>
      </c>
      <c r="T90" s="85">
        <f t="shared" si="2"/>
        <v>5.4308700195169765E-3</v>
      </c>
      <c r="U90" s="85">
        <f>R90/'סכום נכסי הקרן'!$C$42</f>
        <v>1.5712473196950968E-3</v>
      </c>
    </row>
    <row r="91" spans="2:21">
      <c r="B91" s="77" t="s">
        <v>525</v>
      </c>
      <c r="C91" s="74" t="s">
        <v>526</v>
      </c>
      <c r="D91" s="87" t="s">
        <v>111</v>
      </c>
      <c r="E91" s="87" t="s">
        <v>330</v>
      </c>
      <c r="F91" s="74" t="s">
        <v>440</v>
      </c>
      <c r="G91" s="87" t="s">
        <v>395</v>
      </c>
      <c r="H91" s="74" t="s">
        <v>520</v>
      </c>
      <c r="I91" s="74" t="s">
        <v>151</v>
      </c>
      <c r="J91" s="74"/>
      <c r="K91" s="84">
        <v>1.459999999996765</v>
      </c>
      <c r="L91" s="87" t="s">
        <v>155</v>
      </c>
      <c r="M91" s="88">
        <v>2.8500000000000001E-2</v>
      </c>
      <c r="N91" s="88">
        <v>3.0399999999997186E-2</v>
      </c>
      <c r="O91" s="84">
        <v>139599.48258000001</v>
      </c>
      <c r="P91" s="86">
        <v>101.86</v>
      </c>
      <c r="Q91" s="74"/>
      <c r="R91" s="84">
        <v>142.196029251</v>
      </c>
      <c r="S91" s="85">
        <v>3.2608920576561397E-4</v>
      </c>
      <c r="T91" s="85">
        <f t="shared" si="2"/>
        <v>1.7213248615358891E-3</v>
      </c>
      <c r="U91" s="85">
        <f>R91/'סכום נכסי הקרן'!$C$42</f>
        <v>4.9800990730640795E-4</v>
      </c>
    </row>
    <row r="92" spans="2:21">
      <c r="B92" s="77" t="s">
        <v>527</v>
      </c>
      <c r="C92" s="74" t="s">
        <v>528</v>
      </c>
      <c r="D92" s="87" t="s">
        <v>111</v>
      </c>
      <c r="E92" s="87" t="s">
        <v>330</v>
      </c>
      <c r="F92" s="74" t="s">
        <v>440</v>
      </c>
      <c r="G92" s="87" t="s">
        <v>395</v>
      </c>
      <c r="H92" s="74" t="s">
        <v>520</v>
      </c>
      <c r="I92" s="74" t="s">
        <v>151</v>
      </c>
      <c r="J92" s="74"/>
      <c r="K92" s="84">
        <v>3.5200000000131908</v>
      </c>
      <c r="L92" s="87" t="s">
        <v>155</v>
      </c>
      <c r="M92" s="88">
        <v>2.5000000000000001E-2</v>
      </c>
      <c r="N92" s="88">
        <v>2.3500000000150338E-2</v>
      </c>
      <c r="O92" s="84">
        <v>102068.412826</v>
      </c>
      <c r="P92" s="86">
        <v>101.01</v>
      </c>
      <c r="Q92" s="74"/>
      <c r="R92" s="84">
        <v>103.09929590700001</v>
      </c>
      <c r="S92" s="85">
        <v>2.3346606443303363E-4</v>
      </c>
      <c r="T92" s="85">
        <f t="shared" si="2"/>
        <v>1.2480473764728307E-3</v>
      </c>
      <c r="U92" s="85">
        <f>R92/'סכום נכסי הקרן'!$C$42</f>
        <v>3.6108231058526495E-4</v>
      </c>
    </row>
    <row r="93" spans="2:21">
      <c r="B93" s="77" t="s">
        <v>529</v>
      </c>
      <c r="C93" s="74" t="s">
        <v>530</v>
      </c>
      <c r="D93" s="87" t="s">
        <v>111</v>
      </c>
      <c r="E93" s="87" t="s">
        <v>330</v>
      </c>
      <c r="F93" s="74" t="s">
        <v>440</v>
      </c>
      <c r="G93" s="87" t="s">
        <v>395</v>
      </c>
      <c r="H93" s="74" t="s">
        <v>520</v>
      </c>
      <c r="I93" s="74" t="s">
        <v>151</v>
      </c>
      <c r="J93" s="74"/>
      <c r="K93" s="84">
        <v>4.6900000000131552</v>
      </c>
      <c r="L93" s="87" t="s">
        <v>155</v>
      </c>
      <c r="M93" s="88">
        <v>1.34E-2</v>
      </c>
      <c r="N93" s="88">
        <v>1.0300000000049436E-2</v>
      </c>
      <c r="O93" s="84">
        <v>116239.962076</v>
      </c>
      <c r="P93" s="86">
        <v>102.67</v>
      </c>
      <c r="Q93" s="74"/>
      <c r="R93" s="84">
        <v>119.343561347</v>
      </c>
      <c r="S93" s="85">
        <v>3.1372893397777553E-4</v>
      </c>
      <c r="T93" s="85">
        <f t="shared" si="2"/>
        <v>1.4446889993546003E-3</v>
      </c>
      <c r="U93" s="85">
        <f>R93/'סכום נכסי הקרן'!$C$42</f>
        <v>4.179742306244329E-4</v>
      </c>
    </row>
    <row r="94" spans="2:21">
      <c r="B94" s="77" t="s">
        <v>531</v>
      </c>
      <c r="C94" s="74" t="s">
        <v>532</v>
      </c>
      <c r="D94" s="87" t="s">
        <v>111</v>
      </c>
      <c r="E94" s="87" t="s">
        <v>330</v>
      </c>
      <c r="F94" s="74" t="s">
        <v>440</v>
      </c>
      <c r="G94" s="87" t="s">
        <v>395</v>
      </c>
      <c r="H94" s="74" t="s">
        <v>520</v>
      </c>
      <c r="I94" s="74" t="s">
        <v>151</v>
      </c>
      <c r="J94" s="74"/>
      <c r="K94" s="84">
        <v>4.5300000000022393</v>
      </c>
      <c r="L94" s="87" t="s">
        <v>155</v>
      </c>
      <c r="M94" s="88">
        <v>1.95E-2</v>
      </c>
      <c r="N94" s="88">
        <v>2.4200000000014928E-2</v>
      </c>
      <c r="O94" s="84">
        <v>203385.28893400001</v>
      </c>
      <c r="P94" s="86">
        <v>98.81</v>
      </c>
      <c r="Q94" s="74"/>
      <c r="R94" s="84">
        <v>200.96500223499999</v>
      </c>
      <c r="S94" s="85">
        <v>3.1077795538971654E-4</v>
      </c>
      <c r="T94" s="85">
        <f t="shared" si="2"/>
        <v>2.4327406079328916E-3</v>
      </c>
      <c r="U94" s="85">
        <f>R94/'סכום נכסי הקרן'!$C$42</f>
        <v>7.038351398562739E-4</v>
      </c>
    </row>
    <row r="95" spans="2:21">
      <c r="B95" s="77" t="s">
        <v>533</v>
      </c>
      <c r="C95" s="74" t="s">
        <v>534</v>
      </c>
      <c r="D95" s="87" t="s">
        <v>111</v>
      </c>
      <c r="E95" s="87" t="s">
        <v>330</v>
      </c>
      <c r="F95" s="74" t="s">
        <v>440</v>
      </c>
      <c r="G95" s="87" t="s">
        <v>395</v>
      </c>
      <c r="H95" s="74" t="s">
        <v>520</v>
      </c>
      <c r="I95" s="74" t="s">
        <v>151</v>
      </c>
      <c r="J95" s="74"/>
      <c r="K95" s="84">
        <v>7.2399999998480959</v>
      </c>
      <c r="L95" s="87" t="s">
        <v>155</v>
      </c>
      <c r="M95" s="88">
        <v>1.1699999999999999E-2</v>
      </c>
      <c r="N95" s="88">
        <v>2.9299999999367065E-2</v>
      </c>
      <c r="O95" s="84">
        <v>22437.3115</v>
      </c>
      <c r="P95" s="86">
        <v>88.02</v>
      </c>
      <c r="Q95" s="74"/>
      <c r="R95" s="84">
        <v>19.749321725000001</v>
      </c>
      <c r="S95" s="85">
        <v>3.7395519166666665E-5</v>
      </c>
      <c r="T95" s="85">
        <f t="shared" si="2"/>
        <v>2.3907136270103887E-4</v>
      </c>
      <c r="U95" s="85">
        <f>R95/'סכום נכסי הקרן'!$C$42</f>
        <v>6.9167598655449171E-5</v>
      </c>
    </row>
    <row r="96" spans="2:21">
      <c r="B96" s="77" t="s">
        <v>535</v>
      </c>
      <c r="C96" s="74" t="s">
        <v>536</v>
      </c>
      <c r="D96" s="87" t="s">
        <v>111</v>
      </c>
      <c r="E96" s="87" t="s">
        <v>330</v>
      </c>
      <c r="F96" s="74" t="s">
        <v>440</v>
      </c>
      <c r="G96" s="87" t="s">
        <v>395</v>
      </c>
      <c r="H96" s="74" t="s">
        <v>520</v>
      </c>
      <c r="I96" s="74" t="s">
        <v>151</v>
      </c>
      <c r="J96" s="74"/>
      <c r="K96" s="84">
        <v>5.640000000003571</v>
      </c>
      <c r="L96" s="87" t="s">
        <v>155</v>
      </c>
      <c r="M96" s="88">
        <v>3.3500000000000002E-2</v>
      </c>
      <c r="N96" s="88">
        <v>2.8799999999998379E-2</v>
      </c>
      <c r="O96" s="84">
        <v>238121.33799900004</v>
      </c>
      <c r="P96" s="86">
        <v>103.51</v>
      </c>
      <c r="Q96" s="74"/>
      <c r="R96" s="84">
        <v>246.47940755800002</v>
      </c>
      <c r="S96" s="85">
        <v>5.009240452603748E-4</v>
      </c>
      <c r="T96" s="85">
        <f t="shared" si="2"/>
        <v>2.983705904595354E-3</v>
      </c>
      <c r="U96" s="85">
        <f>R96/'סכום נכסי הקרן'!$C$42</f>
        <v>8.632392026518891E-4</v>
      </c>
    </row>
    <row r="97" spans="2:21">
      <c r="B97" s="77" t="s">
        <v>537</v>
      </c>
      <c r="C97" s="74" t="s">
        <v>538</v>
      </c>
      <c r="D97" s="87" t="s">
        <v>111</v>
      </c>
      <c r="E97" s="87" t="s">
        <v>330</v>
      </c>
      <c r="F97" s="74" t="s">
        <v>347</v>
      </c>
      <c r="G97" s="87" t="s">
        <v>340</v>
      </c>
      <c r="H97" s="74" t="s">
        <v>520</v>
      </c>
      <c r="I97" s="74" t="s">
        <v>151</v>
      </c>
      <c r="J97" s="74"/>
      <c r="K97" s="84">
        <v>0.9899999999990482</v>
      </c>
      <c r="L97" s="87" t="s">
        <v>155</v>
      </c>
      <c r="M97" s="88">
        <v>2.7999999999999997E-2</v>
      </c>
      <c r="N97" s="88">
        <v>2.6599999999980962E-2</v>
      </c>
      <c r="O97" s="84">
        <f>518214.4596/50000</f>
        <v>10.364289191999999</v>
      </c>
      <c r="P97" s="86">
        <v>5068334</v>
      </c>
      <c r="Q97" s="74"/>
      <c r="R97" s="84">
        <v>525.29677585000002</v>
      </c>
      <c r="S97" s="85">
        <f>2929.91722508057%/50000</f>
        <v>5.8598344501611401E-4</v>
      </c>
      <c r="T97" s="85">
        <f t="shared" si="2"/>
        <v>6.3588723589403E-3</v>
      </c>
      <c r="U97" s="85">
        <f>R97/'סכום נכסי הקרן'!$C$42</f>
        <v>1.8397349069968754E-3</v>
      </c>
    </row>
    <row r="98" spans="2:21">
      <c r="B98" s="77" t="s">
        <v>539</v>
      </c>
      <c r="C98" s="74" t="s">
        <v>540</v>
      </c>
      <c r="D98" s="87" t="s">
        <v>111</v>
      </c>
      <c r="E98" s="87" t="s">
        <v>330</v>
      </c>
      <c r="F98" s="74" t="s">
        <v>347</v>
      </c>
      <c r="G98" s="87" t="s">
        <v>340</v>
      </c>
      <c r="H98" s="74" t="s">
        <v>520</v>
      </c>
      <c r="I98" s="74" t="s">
        <v>151</v>
      </c>
      <c r="J98" s="74"/>
      <c r="K98" s="84">
        <v>2.210000000033554</v>
      </c>
      <c r="L98" s="87" t="s">
        <v>155</v>
      </c>
      <c r="M98" s="88">
        <v>1.49E-2</v>
      </c>
      <c r="N98" s="88">
        <v>2.6800000000185616E-2</v>
      </c>
      <c r="O98" s="84">
        <f>28177.5177/50000</f>
        <v>0.56355035399999998</v>
      </c>
      <c r="P98" s="86">
        <v>4971070</v>
      </c>
      <c r="Q98" s="74"/>
      <c r="R98" s="84">
        <v>28.014483085999998</v>
      </c>
      <c r="S98" s="85">
        <f>465.898110119048%/50000</f>
        <v>9.31796220238096E-5</v>
      </c>
      <c r="T98" s="85">
        <f t="shared" si="2"/>
        <v>3.3912357801418235E-4</v>
      </c>
      <c r="U98" s="85">
        <f>R98/'סכום נכסי הקרן'!$C$42</f>
        <v>9.8114484619461886E-5</v>
      </c>
    </row>
    <row r="99" spans="2:21">
      <c r="B99" s="77" t="s">
        <v>541</v>
      </c>
      <c r="C99" s="74" t="s">
        <v>542</v>
      </c>
      <c r="D99" s="87" t="s">
        <v>111</v>
      </c>
      <c r="E99" s="87" t="s">
        <v>330</v>
      </c>
      <c r="F99" s="74" t="s">
        <v>347</v>
      </c>
      <c r="G99" s="87" t="s">
        <v>340</v>
      </c>
      <c r="H99" s="74" t="s">
        <v>520</v>
      </c>
      <c r="I99" s="74" t="s">
        <v>151</v>
      </c>
      <c r="J99" s="74"/>
      <c r="K99" s="84">
        <v>3.8199999999952534</v>
      </c>
      <c r="L99" s="87" t="s">
        <v>155</v>
      </c>
      <c r="M99" s="88">
        <v>2.2000000000000002E-2</v>
      </c>
      <c r="N99" s="88">
        <v>1.8200000000034369E-2</v>
      </c>
      <c r="O99" s="84">
        <f>118062.225/50000</f>
        <v>2.3612445000000002</v>
      </c>
      <c r="P99" s="86">
        <v>5175000</v>
      </c>
      <c r="Q99" s="74"/>
      <c r="R99" s="84">
        <v>122.194394469</v>
      </c>
      <c r="S99" s="85">
        <f>2345.29648390942%/50000</f>
        <v>4.6905929678188408E-4</v>
      </c>
      <c r="T99" s="85">
        <f t="shared" si="2"/>
        <v>1.4791991748836688E-3</v>
      </c>
      <c r="U99" s="85">
        <f>R99/'סכום נכסי הקרן'!$C$42</f>
        <v>4.2795863839103213E-4</v>
      </c>
    </row>
    <row r="100" spans="2:21">
      <c r="B100" s="77" t="s">
        <v>543</v>
      </c>
      <c r="C100" s="74" t="s">
        <v>544</v>
      </c>
      <c r="D100" s="87" t="s">
        <v>111</v>
      </c>
      <c r="E100" s="87" t="s">
        <v>330</v>
      </c>
      <c r="F100" s="74" t="s">
        <v>347</v>
      </c>
      <c r="G100" s="87" t="s">
        <v>340</v>
      </c>
      <c r="H100" s="74" t="s">
        <v>520</v>
      </c>
      <c r="I100" s="74" t="s">
        <v>151</v>
      </c>
      <c r="J100" s="74"/>
      <c r="K100" s="84">
        <v>5.6500000000509134</v>
      </c>
      <c r="L100" s="87" t="s">
        <v>155</v>
      </c>
      <c r="M100" s="88">
        <v>2.3199999999999998E-2</v>
      </c>
      <c r="N100" s="88">
        <v>2.5600000000481366E-2</v>
      </c>
      <c r="O100" s="84">
        <f>21880.8657/50000</f>
        <v>0.43761731399999998</v>
      </c>
      <c r="P100" s="86">
        <v>4937000</v>
      </c>
      <c r="Q100" s="74"/>
      <c r="R100" s="84">
        <v>21.605166666000002</v>
      </c>
      <c r="S100" s="85">
        <f>364.681095%/50000</f>
        <v>7.2936219E-5</v>
      </c>
      <c r="T100" s="85">
        <f t="shared" si="2"/>
        <v>2.6153691292016669E-4</v>
      </c>
      <c r="U100" s="85">
        <f>R100/'סכום נכסי הקרן'!$C$42</f>
        <v>7.5667282028541518E-5</v>
      </c>
    </row>
    <row r="101" spans="2:21">
      <c r="B101" s="77" t="s">
        <v>545</v>
      </c>
      <c r="C101" s="74" t="s">
        <v>546</v>
      </c>
      <c r="D101" s="87" t="s">
        <v>111</v>
      </c>
      <c r="E101" s="87" t="s">
        <v>330</v>
      </c>
      <c r="F101" s="74" t="s">
        <v>547</v>
      </c>
      <c r="G101" s="87" t="s">
        <v>548</v>
      </c>
      <c r="H101" s="74" t="s">
        <v>520</v>
      </c>
      <c r="I101" s="74" t="s">
        <v>151</v>
      </c>
      <c r="J101" s="74"/>
      <c r="K101" s="84">
        <v>4.9200000000251771</v>
      </c>
      <c r="L101" s="87" t="s">
        <v>155</v>
      </c>
      <c r="M101" s="88">
        <v>0.04</v>
      </c>
      <c r="N101" s="88">
        <v>7.0600000000335714E-2</v>
      </c>
      <c r="O101" s="84">
        <v>126726.36517</v>
      </c>
      <c r="P101" s="86">
        <v>86.5</v>
      </c>
      <c r="Q101" s="74"/>
      <c r="R101" s="84">
        <v>109.61830727200002</v>
      </c>
      <c r="S101" s="85">
        <v>4.2851134053097196E-5</v>
      </c>
      <c r="T101" s="85">
        <f t="shared" si="2"/>
        <v>1.3269619312203617E-3</v>
      </c>
      <c r="U101" s="85">
        <f>R101/'סכום נכסי הקרן'!$C$42</f>
        <v>3.8391369527802872E-4</v>
      </c>
    </row>
    <row r="102" spans="2:21">
      <c r="B102" s="77" t="s">
        <v>549</v>
      </c>
      <c r="C102" s="74" t="s">
        <v>550</v>
      </c>
      <c r="D102" s="87" t="s">
        <v>111</v>
      </c>
      <c r="E102" s="87" t="s">
        <v>330</v>
      </c>
      <c r="F102" s="74" t="s">
        <v>547</v>
      </c>
      <c r="G102" s="87" t="s">
        <v>548</v>
      </c>
      <c r="H102" s="74" t="s">
        <v>520</v>
      </c>
      <c r="I102" s="74" t="s">
        <v>151</v>
      </c>
      <c r="J102" s="74"/>
      <c r="K102" s="84">
        <v>5.0499999999953866</v>
      </c>
      <c r="L102" s="87" t="s">
        <v>155</v>
      </c>
      <c r="M102" s="88">
        <v>2.7799999999999998E-2</v>
      </c>
      <c r="N102" s="88">
        <v>6.339999999993233E-2</v>
      </c>
      <c r="O102" s="84">
        <v>305992.706229</v>
      </c>
      <c r="P102" s="86">
        <v>85</v>
      </c>
      <c r="Q102" s="74"/>
      <c r="R102" s="84">
        <v>260.09379886400001</v>
      </c>
      <c r="S102" s="85">
        <v>1.698911816762996E-4</v>
      </c>
      <c r="T102" s="85">
        <f t="shared" si="2"/>
        <v>3.1485121256490337E-3</v>
      </c>
      <c r="U102" s="85">
        <f>R102/'סכום נכסי הקרן'!$C$42</f>
        <v>9.1092057454425176E-4</v>
      </c>
    </row>
    <row r="103" spans="2:21">
      <c r="B103" s="77" t="s">
        <v>551</v>
      </c>
      <c r="C103" s="74" t="s">
        <v>552</v>
      </c>
      <c r="D103" s="87" t="s">
        <v>111</v>
      </c>
      <c r="E103" s="87" t="s">
        <v>330</v>
      </c>
      <c r="F103" s="74" t="s">
        <v>391</v>
      </c>
      <c r="G103" s="87" t="s">
        <v>340</v>
      </c>
      <c r="H103" s="74" t="s">
        <v>520</v>
      </c>
      <c r="I103" s="74" t="s">
        <v>151</v>
      </c>
      <c r="J103" s="74"/>
      <c r="K103" s="84">
        <v>5.1100000000036072</v>
      </c>
      <c r="L103" s="87" t="s">
        <v>155</v>
      </c>
      <c r="M103" s="88">
        <v>1.46E-2</v>
      </c>
      <c r="N103" s="88">
        <v>2.8400000000019555E-2</v>
      </c>
      <c r="O103" s="84">
        <f>633915.4401/50000</f>
        <v>12.678308802</v>
      </c>
      <c r="P103" s="86">
        <v>4679900</v>
      </c>
      <c r="Q103" s="74"/>
      <c r="R103" s="84">
        <v>593.33220252599995</v>
      </c>
      <c r="S103" s="85">
        <f>2380.18788758307%/50000</f>
        <v>4.7603757751661397E-4</v>
      </c>
      <c r="T103" s="85">
        <f t="shared" si="2"/>
        <v>7.1824612595549567E-3</v>
      </c>
      <c r="U103" s="85">
        <f>R103/'סכום נכסי הקרן'!$C$42</f>
        <v>2.0780138287848997E-3</v>
      </c>
    </row>
    <row r="104" spans="2:21">
      <c r="B104" s="77" t="s">
        <v>553</v>
      </c>
      <c r="C104" s="74" t="s">
        <v>554</v>
      </c>
      <c r="D104" s="87" t="s">
        <v>111</v>
      </c>
      <c r="E104" s="87" t="s">
        <v>330</v>
      </c>
      <c r="F104" s="74" t="s">
        <v>391</v>
      </c>
      <c r="G104" s="87" t="s">
        <v>340</v>
      </c>
      <c r="H104" s="74" t="s">
        <v>520</v>
      </c>
      <c r="I104" s="74" t="s">
        <v>151</v>
      </c>
      <c r="J104" s="74"/>
      <c r="K104" s="84">
        <v>5.6499999999957424</v>
      </c>
      <c r="L104" s="87" t="s">
        <v>155</v>
      </c>
      <c r="M104" s="88">
        <v>2.4199999999999999E-2</v>
      </c>
      <c r="N104" s="88">
        <v>2.9899999999970089E-2</v>
      </c>
      <c r="O104" s="84">
        <f>472248.9/50000</f>
        <v>9.4449780000000008</v>
      </c>
      <c r="P104" s="86">
        <v>4849094</v>
      </c>
      <c r="Q104" s="74"/>
      <c r="R104" s="84">
        <v>457.99586666299996</v>
      </c>
      <c r="S104" s="85">
        <f>5361.59059945504%/50000</f>
        <v>1.072318119891008E-3</v>
      </c>
      <c r="T104" s="85">
        <f t="shared" si="2"/>
        <v>5.5441750091073921E-3</v>
      </c>
      <c r="U104" s="85">
        <f>R104/'סכום נכסי הקרן'!$C$42</f>
        <v>1.6040284690435865E-3</v>
      </c>
    </row>
    <row r="105" spans="2:21">
      <c r="B105" s="77" t="s">
        <v>555</v>
      </c>
      <c r="C105" s="74" t="s">
        <v>556</v>
      </c>
      <c r="D105" s="87" t="s">
        <v>111</v>
      </c>
      <c r="E105" s="87" t="s">
        <v>330</v>
      </c>
      <c r="F105" s="74" t="s">
        <v>454</v>
      </c>
      <c r="G105" s="87" t="s">
        <v>455</v>
      </c>
      <c r="H105" s="74" t="s">
        <v>516</v>
      </c>
      <c r="I105" s="74" t="s">
        <v>334</v>
      </c>
      <c r="J105" s="74"/>
      <c r="K105" s="84">
        <v>2.7799999999989886</v>
      </c>
      <c r="L105" s="87" t="s">
        <v>155</v>
      </c>
      <c r="M105" s="88">
        <v>3.85E-2</v>
      </c>
      <c r="N105" s="88">
        <v>6.8000000000235927E-3</v>
      </c>
      <c r="O105" s="84">
        <v>105091.365095</v>
      </c>
      <c r="P105" s="86">
        <v>112.93</v>
      </c>
      <c r="Q105" s="74"/>
      <c r="R105" s="84">
        <v>118.67967750400001</v>
      </c>
      <c r="S105" s="85">
        <v>4.3870897043200895E-4</v>
      </c>
      <c r="T105" s="85">
        <f t="shared" si="2"/>
        <v>1.4366524896844836E-3</v>
      </c>
      <c r="U105" s="85">
        <f>R105/'סכום נכסי הקרן'!$C$42</f>
        <v>4.1564912539571343E-4</v>
      </c>
    </row>
    <row r="106" spans="2:21">
      <c r="B106" s="77" t="s">
        <v>557</v>
      </c>
      <c r="C106" s="74" t="s">
        <v>558</v>
      </c>
      <c r="D106" s="87" t="s">
        <v>111</v>
      </c>
      <c r="E106" s="87" t="s">
        <v>330</v>
      </c>
      <c r="F106" s="74" t="s">
        <v>454</v>
      </c>
      <c r="G106" s="87" t="s">
        <v>455</v>
      </c>
      <c r="H106" s="74" t="s">
        <v>516</v>
      </c>
      <c r="I106" s="74" t="s">
        <v>334</v>
      </c>
      <c r="J106" s="74"/>
      <c r="K106" s="84">
        <v>0.90999999999490755</v>
      </c>
      <c r="L106" s="87" t="s">
        <v>155</v>
      </c>
      <c r="M106" s="88">
        <v>3.9E-2</v>
      </c>
      <c r="N106" s="88">
        <v>1.4999999999920431E-2</v>
      </c>
      <c r="O106" s="84">
        <v>113302.130166</v>
      </c>
      <c r="P106" s="86">
        <v>110.92</v>
      </c>
      <c r="Q106" s="74"/>
      <c r="R106" s="84">
        <v>125.674725104</v>
      </c>
      <c r="S106" s="85">
        <v>2.8394211039451674E-4</v>
      </c>
      <c r="T106" s="85">
        <f t="shared" si="2"/>
        <v>1.5213296034191643E-3</v>
      </c>
      <c r="U106" s="85">
        <f>R106/'סכום נכסי הקרן'!$C$42</f>
        <v>4.4014772092773607E-4</v>
      </c>
    </row>
    <row r="107" spans="2:21">
      <c r="B107" s="77" t="s">
        <v>559</v>
      </c>
      <c r="C107" s="74" t="s">
        <v>560</v>
      </c>
      <c r="D107" s="87" t="s">
        <v>111</v>
      </c>
      <c r="E107" s="87" t="s">
        <v>330</v>
      </c>
      <c r="F107" s="74" t="s">
        <v>454</v>
      </c>
      <c r="G107" s="87" t="s">
        <v>455</v>
      </c>
      <c r="H107" s="74" t="s">
        <v>516</v>
      </c>
      <c r="I107" s="74" t="s">
        <v>334</v>
      </c>
      <c r="J107" s="74"/>
      <c r="K107" s="84">
        <v>3.6800000000129276</v>
      </c>
      <c r="L107" s="87" t="s">
        <v>155</v>
      </c>
      <c r="M107" s="88">
        <v>3.85E-2</v>
      </c>
      <c r="N107" s="88">
        <v>1.1000000000066538E-2</v>
      </c>
      <c r="O107" s="84">
        <v>91998.386436999994</v>
      </c>
      <c r="P107" s="86">
        <v>114.35</v>
      </c>
      <c r="Q107" s="74"/>
      <c r="R107" s="84">
        <v>105.20015452300001</v>
      </c>
      <c r="S107" s="85">
        <v>3.6799354574799996E-4</v>
      </c>
      <c r="T107" s="85">
        <f t="shared" ref="T107:T138" si="3">R107/$R$11</f>
        <v>1.2734788894717582E-3</v>
      </c>
      <c r="U107" s="85">
        <f>R107/'סכום נכסי הקרן'!$C$42</f>
        <v>3.6844009975932986E-4</v>
      </c>
    </row>
    <row r="108" spans="2:21">
      <c r="B108" s="77" t="s">
        <v>561</v>
      </c>
      <c r="C108" s="74" t="s">
        <v>562</v>
      </c>
      <c r="D108" s="87" t="s">
        <v>111</v>
      </c>
      <c r="E108" s="87" t="s">
        <v>330</v>
      </c>
      <c r="F108" s="74" t="s">
        <v>563</v>
      </c>
      <c r="G108" s="87" t="s">
        <v>340</v>
      </c>
      <c r="H108" s="74" t="s">
        <v>520</v>
      </c>
      <c r="I108" s="74" t="s">
        <v>151</v>
      </c>
      <c r="J108" s="74"/>
      <c r="K108" s="84">
        <v>1</v>
      </c>
      <c r="L108" s="87" t="s">
        <v>155</v>
      </c>
      <c r="M108" s="88">
        <v>0.02</v>
      </c>
      <c r="N108" s="88">
        <v>1.8999999999979488E-2</v>
      </c>
      <c r="O108" s="84">
        <v>94861.731153000001</v>
      </c>
      <c r="P108" s="86">
        <v>102.8</v>
      </c>
      <c r="Q108" s="74"/>
      <c r="R108" s="84">
        <v>97.517856178000017</v>
      </c>
      <c r="S108" s="85">
        <v>3.3344393264386757E-4</v>
      </c>
      <c r="T108" s="85">
        <f t="shared" si="3"/>
        <v>1.1804824028283627E-3</v>
      </c>
      <c r="U108" s="85">
        <f>R108/'סכום נכסי הקרן'!$C$42</f>
        <v>3.4153456163111444E-4</v>
      </c>
    </row>
    <row r="109" spans="2:21">
      <c r="B109" s="77" t="s">
        <v>564</v>
      </c>
      <c r="C109" s="74" t="s">
        <v>565</v>
      </c>
      <c r="D109" s="87" t="s">
        <v>111</v>
      </c>
      <c r="E109" s="87" t="s">
        <v>330</v>
      </c>
      <c r="F109" s="74" t="s">
        <v>466</v>
      </c>
      <c r="G109" s="87" t="s">
        <v>395</v>
      </c>
      <c r="H109" s="74" t="s">
        <v>520</v>
      </c>
      <c r="I109" s="74" t="s">
        <v>151</v>
      </c>
      <c r="J109" s="74"/>
      <c r="K109" s="84">
        <v>6.2600000000038651</v>
      </c>
      <c r="L109" s="87" t="s">
        <v>155</v>
      </c>
      <c r="M109" s="88">
        <v>2.4E-2</v>
      </c>
      <c r="N109" s="88">
        <v>1.8500000000000003E-2</v>
      </c>
      <c r="O109" s="84">
        <v>294759.56366400002</v>
      </c>
      <c r="P109" s="86">
        <v>105.35</v>
      </c>
      <c r="Q109" s="74"/>
      <c r="R109" s="84">
        <v>310.52919147999995</v>
      </c>
      <c r="S109" s="85">
        <v>5.6617501360706353E-4</v>
      </c>
      <c r="T109" s="85">
        <f t="shared" si="3"/>
        <v>3.7590474244793546E-3</v>
      </c>
      <c r="U109" s="85">
        <f>R109/'סכום נכסי הקרן'!$C$42</f>
        <v>1.0875592988037043E-3</v>
      </c>
    </row>
    <row r="110" spans="2:21">
      <c r="B110" s="77" t="s">
        <v>566</v>
      </c>
      <c r="C110" s="74" t="s">
        <v>567</v>
      </c>
      <c r="D110" s="87" t="s">
        <v>111</v>
      </c>
      <c r="E110" s="87" t="s">
        <v>330</v>
      </c>
      <c r="F110" s="74" t="s">
        <v>466</v>
      </c>
      <c r="G110" s="87" t="s">
        <v>395</v>
      </c>
      <c r="H110" s="74" t="s">
        <v>520</v>
      </c>
      <c r="I110" s="74" t="s">
        <v>151</v>
      </c>
      <c r="J110" s="74"/>
      <c r="K110" s="84">
        <v>2.2100000000589231</v>
      </c>
      <c r="L110" s="87" t="s">
        <v>155</v>
      </c>
      <c r="M110" s="88">
        <v>3.4799999999999998E-2</v>
      </c>
      <c r="N110" s="88">
        <v>1.7599999999852692E-2</v>
      </c>
      <c r="O110" s="84">
        <v>5262.3986610000002</v>
      </c>
      <c r="P110" s="86">
        <v>103.2</v>
      </c>
      <c r="Q110" s="74"/>
      <c r="R110" s="84">
        <v>5.4307954079999998</v>
      </c>
      <c r="S110" s="85">
        <v>1.2858850100946789E-5</v>
      </c>
      <c r="T110" s="85">
        <f t="shared" si="3"/>
        <v>6.5741379720275141E-5</v>
      </c>
      <c r="U110" s="85">
        <f>R110/'סכום נכסי הקרן'!$C$42</f>
        <v>1.9020150787502568E-5</v>
      </c>
    </row>
    <row r="111" spans="2:21">
      <c r="B111" s="77" t="s">
        <v>568</v>
      </c>
      <c r="C111" s="74" t="s">
        <v>569</v>
      </c>
      <c r="D111" s="87" t="s">
        <v>111</v>
      </c>
      <c r="E111" s="87" t="s">
        <v>330</v>
      </c>
      <c r="F111" s="74" t="s">
        <v>471</v>
      </c>
      <c r="G111" s="87" t="s">
        <v>455</v>
      </c>
      <c r="H111" s="74" t="s">
        <v>520</v>
      </c>
      <c r="I111" s="74" t="s">
        <v>151</v>
      </c>
      <c r="J111" s="74"/>
      <c r="K111" s="84">
        <v>4.7699999999931162</v>
      </c>
      <c r="L111" s="87" t="s">
        <v>155</v>
      </c>
      <c r="M111" s="88">
        <v>2.4799999999999999E-2</v>
      </c>
      <c r="N111" s="88">
        <v>1.6900000000002045E-2</v>
      </c>
      <c r="O111" s="84">
        <v>139734.09715799999</v>
      </c>
      <c r="P111" s="86">
        <v>105</v>
      </c>
      <c r="Q111" s="74"/>
      <c r="R111" s="84">
        <v>146.72080661299998</v>
      </c>
      <c r="S111" s="85">
        <v>3.2996138605797485E-4</v>
      </c>
      <c r="T111" s="85">
        <f t="shared" si="3"/>
        <v>1.7760986256638389E-3</v>
      </c>
      <c r="U111" s="85">
        <f>R111/'סכום נכסי הקרן'!$C$42</f>
        <v>5.1385693177327359E-4</v>
      </c>
    </row>
    <row r="112" spans="2:21">
      <c r="B112" s="77" t="s">
        <v>570</v>
      </c>
      <c r="C112" s="74" t="s">
        <v>571</v>
      </c>
      <c r="D112" s="87" t="s">
        <v>111</v>
      </c>
      <c r="E112" s="87" t="s">
        <v>330</v>
      </c>
      <c r="F112" s="74" t="s">
        <v>484</v>
      </c>
      <c r="G112" s="87" t="s">
        <v>395</v>
      </c>
      <c r="H112" s="74" t="s">
        <v>516</v>
      </c>
      <c r="I112" s="74" t="s">
        <v>334</v>
      </c>
      <c r="J112" s="74"/>
      <c r="K112" s="84">
        <v>6.0099999999806624</v>
      </c>
      <c r="L112" s="87" t="s">
        <v>155</v>
      </c>
      <c r="M112" s="88">
        <v>2.81E-2</v>
      </c>
      <c r="N112" s="88">
        <v>1.9899999999806628E-2</v>
      </c>
      <c r="O112" s="84">
        <v>24351.255179</v>
      </c>
      <c r="P112" s="86">
        <v>106.18</v>
      </c>
      <c r="Q112" s="74"/>
      <c r="R112" s="84">
        <v>25.856162749999999</v>
      </c>
      <c r="S112" s="85">
        <v>4.8962506161970678E-5</v>
      </c>
      <c r="T112" s="85">
        <f t="shared" si="3"/>
        <v>3.1299647395168151E-4</v>
      </c>
      <c r="U112" s="85">
        <f>R112/'סכום נכסי הקרן'!$C$42</f>
        <v>9.0555448575132012E-5</v>
      </c>
    </row>
    <row r="113" spans="2:21">
      <c r="B113" s="77" t="s">
        <v>572</v>
      </c>
      <c r="C113" s="74" t="s">
        <v>573</v>
      </c>
      <c r="D113" s="87" t="s">
        <v>111</v>
      </c>
      <c r="E113" s="87" t="s">
        <v>330</v>
      </c>
      <c r="F113" s="74" t="s">
        <v>484</v>
      </c>
      <c r="G113" s="87" t="s">
        <v>395</v>
      </c>
      <c r="H113" s="74" t="s">
        <v>516</v>
      </c>
      <c r="I113" s="74" t="s">
        <v>334</v>
      </c>
      <c r="J113" s="74"/>
      <c r="K113" s="84">
        <v>4.1999999999767468</v>
      </c>
      <c r="L113" s="87" t="s">
        <v>155</v>
      </c>
      <c r="M113" s="88">
        <v>3.7000000000000005E-2</v>
      </c>
      <c r="N113" s="88">
        <v>1.7999999999941865E-2</v>
      </c>
      <c r="O113" s="84">
        <v>63651.582763999999</v>
      </c>
      <c r="P113" s="86">
        <v>108.1</v>
      </c>
      <c r="Q113" s="74"/>
      <c r="R113" s="84">
        <v>68.807360983000009</v>
      </c>
      <c r="S113" s="85">
        <v>1.0582326237889616E-4</v>
      </c>
      <c r="T113" s="85">
        <f t="shared" si="3"/>
        <v>8.3293339301089868E-4</v>
      </c>
      <c r="U113" s="85">
        <f>R113/'סכום נכסי הקרן'!$C$42</f>
        <v>2.4098244969032005E-4</v>
      </c>
    </row>
    <row r="114" spans="2:21">
      <c r="B114" s="77" t="s">
        <v>574</v>
      </c>
      <c r="C114" s="74" t="s">
        <v>575</v>
      </c>
      <c r="D114" s="87" t="s">
        <v>111</v>
      </c>
      <c r="E114" s="87" t="s">
        <v>330</v>
      </c>
      <c r="F114" s="74" t="s">
        <v>484</v>
      </c>
      <c r="G114" s="87" t="s">
        <v>395</v>
      </c>
      <c r="H114" s="74" t="s">
        <v>516</v>
      </c>
      <c r="I114" s="74" t="s">
        <v>334</v>
      </c>
      <c r="J114" s="74"/>
      <c r="K114" s="84">
        <v>3.2200000000659053</v>
      </c>
      <c r="L114" s="87" t="s">
        <v>155</v>
      </c>
      <c r="M114" s="88">
        <v>4.4000000000000004E-2</v>
      </c>
      <c r="N114" s="88">
        <v>1.8100000000135688E-2</v>
      </c>
      <c r="O114" s="84">
        <v>4753.0385239999996</v>
      </c>
      <c r="P114" s="86">
        <v>108.54</v>
      </c>
      <c r="Q114" s="74"/>
      <c r="R114" s="84">
        <v>5.1589482529999993</v>
      </c>
      <c r="S114" s="85">
        <v>2.137690388671554E-5</v>
      </c>
      <c r="T114" s="85">
        <f t="shared" si="3"/>
        <v>6.2450589753043967E-5</v>
      </c>
      <c r="U114" s="85">
        <f>R114/'סכום נכסי הקרן'!$C$42</f>
        <v>1.806806670205959E-5</v>
      </c>
    </row>
    <row r="115" spans="2:21">
      <c r="B115" s="77" t="s">
        <v>576</v>
      </c>
      <c r="C115" s="74" t="s">
        <v>577</v>
      </c>
      <c r="D115" s="87" t="s">
        <v>111</v>
      </c>
      <c r="E115" s="87" t="s">
        <v>330</v>
      </c>
      <c r="F115" s="74" t="s">
        <v>484</v>
      </c>
      <c r="G115" s="87" t="s">
        <v>395</v>
      </c>
      <c r="H115" s="74" t="s">
        <v>516</v>
      </c>
      <c r="I115" s="74" t="s">
        <v>334</v>
      </c>
      <c r="J115" s="74"/>
      <c r="K115" s="84">
        <v>6.1300000000066124</v>
      </c>
      <c r="L115" s="87" t="s">
        <v>155</v>
      </c>
      <c r="M115" s="88">
        <v>2.6000000000000002E-2</v>
      </c>
      <c r="N115" s="88">
        <v>2.1900000000011424E-2</v>
      </c>
      <c r="O115" s="84">
        <v>280428.07977800001</v>
      </c>
      <c r="P115" s="86">
        <v>103</v>
      </c>
      <c r="Q115" s="74"/>
      <c r="R115" s="84">
        <v>288.84092199300005</v>
      </c>
      <c r="S115" s="85">
        <v>4.974023436195204E-4</v>
      </c>
      <c r="T115" s="85">
        <f t="shared" si="3"/>
        <v>3.49650452740756E-3</v>
      </c>
      <c r="U115" s="85">
        <f>R115/'סכום נכסי הקרן'!$C$42</f>
        <v>1.0116009676621807E-3</v>
      </c>
    </row>
    <row r="116" spans="2:21">
      <c r="B116" s="77" t="s">
        <v>578</v>
      </c>
      <c r="C116" s="74" t="s">
        <v>579</v>
      </c>
      <c r="D116" s="87" t="s">
        <v>111</v>
      </c>
      <c r="E116" s="87" t="s">
        <v>330</v>
      </c>
      <c r="F116" s="74" t="s">
        <v>580</v>
      </c>
      <c r="G116" s="87" t="s">
        <v>395</v>
      </c>
      <c r="H116" s="74" t="s">
        <v>516</v>
      </c>
      <c r="I116" s="74" t="s">
        <v>334</v>
      </c>
      <c r="J116" s="74"/>
      <c r="K116" s="84">
        <v>5.3399999999998728</v>
      </c>
      <c r="L116" s="87" t="s">
        <v>155</v>
      </c>
      <c r="M116" s="88">
        <v>1.3999999999999999E-2</v>
      </c>
      <c r="N116" s="88">
        <v>1.1700000000015278E-2</v>
      </c>
      <c r="O116" s="84">
        <v>308026.998295</v>
      </c>
      <c r="P116" s="86">
        <v>102.01</v>
      </c>
      <c r="Q116" s="74"/>
      <c r="R116" s="84">
        <v>314.21835485600002</v>
      </c>
      <c r="S116" s="85">
        <v>5.8272228205637536E-4</v>
      </c>
      <c r="T116" s="85">
        <f t="shared" si="3"/>
        <v>3.8037058349203894E-3</v>
      </c>
      <c r="U116" s="85">
        <f>R116/'סכום נכסי הקרן'!$C$42</f>
        <v>1.1004797714821428E-3</v>
      </c>
    </row>
    <row r="117" spans="2:21">
      <c r="B117" s="77" t="s">
        <v>581</v>
      </c>
      <c r="C117" s="74" t="s">
        <v>582</v>
      </c>
      <c r="D117" s="87" t="s">
        <v>111</v>
      </c>
      <c r="E117" s="87" t="s">
        <v>330</v>
      </c>
      <c r="F117" s="74" t="s">
        <v>356</v>
      </c>
      <c r="G117" s="87" t="s">
        <v>340</v>
      </c>
      <c r="H117" s="74" t="s">
        <v>520</v>
      </c>
      <c r="I117" s="74" t="s">
        <v>151</v>
      </c>
      <c r="J117" s="74"/>
      <c r="K117" s="84">
        <v>3.1999999999965878</v>
      </c>
      <c r="L117" s="87" t="s">
        <v>155</v>
      </c>
      <c r="M117" s="88">
        <v>1.8200000000000001E-2</v>
      </c>
      <c r="N117" s="88">
        <v>3.1799999999965883E-2</v>
      </c>
      <c r="O117" s="84">
        <f>303183.7938/50000</f>
        <v>6.0636758759999996</v>
      </c>
      <c r="P117" s="86">
        <v>4833710</v>
      </c>
      <c r="Q117" s="74"/>
      <c r="R117" s="84">
        <v>293.10052254999999</v>
      </c>
      <c r="S117" s="85">
        <f>2133.44447118429%/50000</f>
        <v>4.26688894236858E-4</v>
      </c>
      <c r="T117" s="85">
        <f t="shared" si="3"/>
        <v>3.5480682481218257E-3</v>
      </c>
      <c r="U117" s="85">
        <f>R117/'סכום נכסי הקרן'!$C$42</f>
        <v>1.0265192694581429E-3</v>
      </c>
    </row>
    <row r="118" spans="2:21">
      <c r="B118" s="77" t="s">
        <v>583</v>
      </c>
      <c r="C118" s="74" t="s">
        <v>584</v>
      </c>
      <c r="D118" s="87" t="s">
        <v>111</v>
      </c>
      <c r="E118" s="87" t="s">
        <v>330</v>
      </c>
      <c r="F118" s="74" t="s">
        <v>356</v>
      </c>
      <c r="G118" s="87" t="s">
        <v>340</v>
      </c>
      <c r="H118" s="74" t="s">
        <v>520</v>
      </c>
      <c r="I118" s="74" t="s">
        <v>151</v>
      </c>
      <c r="J118" s="74"/>
      <c r="K118" s="84">
        <v>2.4299999999990454</v>
      </c>
      <c r="L118" s="87" t="s">
        <v>155</v>
      </c>
      <c r="M118" s="88">
        <v>1.06E-2</v>
      </c>
      <c r="N118" s="88">
        <v>2.8499999999993184E-2</v>
      </c>
      <c r="O118" s="84">
        <f>377799.12/50000</f>
        <v>7.5559823999999995</v>
      </c>
      <c r="P118" s="86">
        <v>4855999</v>
      </c>
      <c r="Q118" s="74"/>
      <c r="R118" s="84">
        <v>366.91842364500002</v>
      </c>
      <c r="S118" s="85">
        <f>2782.23079755505%/50000</f>
        <v>5.5644615951100992E-4</v>
      </c>
      <c r="T118" s="85">
        <f t="shared" si="3"/>
        <v>4.4416557065798286E-3</v>
      </c>
      <c r="U118" s="85">
        <f>R118/'סכום נכסי הקרן'!$C$42</f>
        <v>1.2850500194060428E-3</v>
      </c>
    </row>
    <row r="119" spans="2:21">
      <c r="B119" s="77" t="s">
        <v>585</v>
      </c>
      <c r="C119" s="74" t="s">
        <v>586</v>
      </c>
      <c r="D119" s="87" t="s">
        <v>111</v>
      </c>
      <c r="E119" s="87" t="s">
        <v>330</v>
      </c>
      <c r="F119" s="74" t="s">
        <v>356</v>
      </c>
      <c r="G119" s="87" t="s">
        <v>340</v>
      </c>
      <c r="H119" s="74" t="s">
        <v>520</v>
      </c>
      <c r="I119" s="74" t="s">
        <v>151</v>
      </c>
      <c r="J119" s="74"/>
      <c r="K119" s="84">
        <v>4.2999999999965803</v>
      </c>
      <c r="L119" s="87" t="s">
        <v>155</v>
      </c>
      <c r="M119" s="88">
        <v>1.89E-2</v>
      </c>
      <c r="N119" s="88">
        <v>2.5999999999976205E-2</v>
      </c>
      <c r="O119" s="84">
        <f>697196.7927/50000</f>
        <v>13.943935853999999</v>
      </c>
      <c r="P119" s="86">
        <v>4822299</v>
      </c>
      <c r="Q119" s="74"/>
      <c r="R119" s="84">
        <v>672.41828970099994</v>
      </c>
      <c r="S119" s="85">
        <f>3198.44386044591%/50000</f>
        <v>6.39688772089182E-4</v>
      </c>
      <c r="T119" s="85">
        <f t="shared" si="3"/>
        <v>8.1398216638713435E-3</v>
      </c>
      <c r="U119" s="85">
        <f>R119/'סכום נכסי הקרן'!$C$42</f>
        <v>2.3549952265827659E-3</v>
      </c>
    </row>
    <row r="120" spans="2:21">
      <c r="B120" s="77" t="s">
        <v>587</v>
      </c>
      <c r="C120" s="74" t="s">
        <v>588</v>
      </c>
      <c r="D120" s="87" t="s">
        <v>111</v>
      </c>
      <c r="E120" s="87" t="s">
        <v>330</v>
      </c>
      <c r="F120" s="74" t="s">
        <v>589</v>
      </c>
      <c r="G120" s="87" t="s">
        <v>340</v>
      </c>
      <c r="H120" s="74" t="s">
        <v>516</v>
      </c>
      <c r="I120" s="74" t="s">
        <v>334</v>
      </c>
      <c r="J120" s="74"/>
      <c r="K120" s="84">
        <v>1.4700000000005469</v>
      </c>
      <c r="L120" s="87" t="s">
        <v>155</v>
      </c>
      <c r="M120" s="88">
        <v>4.4999999999999998E-2</v>
      </c>
      <c r="N120" s="88">
        <v>1.7400000000002684E-2</v>
      </c>
      <c r="O120" s="84">
        <v>764858.37978099997</v>
      </c>
      <c r="P120" s="86">
        <v>125.38</v>
      </c>
      <c r="Q120" s="84">
        <v>10.364734838</v>
      </c>
      <c r="R120" s="84">
        <v>969.34419350099995</v>
      </c>
      <c r="S120" s="85">
        <v>4.4939214708514979E-4</v>
      </c>
      <c r="T120" s="85">
        <f t="shared" si="3"/>
        <v>1.1734197279963728E-2</v>
      </c>
      <c r="U120" s="85">
        <f>R120/'סכום נכסי הקרן'!$C$42</f>
        <v>3.3949120414699823E-3</v>
      </c>
    </row>
    <row r="121" spans="2:21">
      <c r="B121" s="77" t="s">
        <v>590</v>
      </c>
      <c r="C121" s="74" t="s">
        <v>591</v>
      </c>
      <c r="D121" s="87" t="s">
        <v>111</v>
      </c>
      <c r="E121" s="87" t="s">
        <v>330</v>
      </c>
      <c r="F121" s="74" t="s">
        <v>489</v>
      </c>
      <c r="G121" s="87" t="s">
        <v>395</v>
      </c>
      <c r="H121" s="74" t="s">
        <v>516</v>
      </c>
      <c r="I121" s="74" t="s">
        <v>334</v>
      </c>
      <c r="J121" s="74"/>
      <c r="K121" s="84">
        <v>1.7100000000024971</v>
      </c>
      <c r="L121" s="87" t="s">
        <v>155</v>
      </c>
      <c r="M121" s="88">
        <v>4.9000000000000002E-2</v>
      </c>
      <c r="N121" s="88">
        <v>2.1200000000007536E-2</v>
      </c>
      <c r="O121" s="84">
        <v>194610.19501200001</v>
      </c>
      <c r="P121" s="86">
        <v>109.04</v>
      </c>
      <c r="Q121" s="74"/>
      <c r="R121" s="84">
        <v>212.20294965700003</v>
      </c>
      <c r="S121" s="85">
        <v>3.6580133290308381E-4</v>
      </c>
      <c r="T121" s="85">
        <f t="shared" si="3"/>
        <v>2.568779275060341E-3</v>
      </c>
      <c r="U121" s="85">
        <f>R121/'סכום נכסי הקרן'!$C$42</f>
        <v>7.4319354658129982E-4</v>
      </c>
    </row>
    <row r="122" spans="2:21">
      <c r="B122" s="77" t="s">
        <v>592</v>
      </c>
      <c r="C122" s="74" t="s">
        <v>593</v>
      </c>
      <c r="D122" s="87" t="s">
        <v>111</v>
      </c>
      <c r="E122" s="87" t="s">
        <v>330</v>
      </c>
      <c r="F122" s="74" t="s">
        <v>489</v>
      </c>
      <c r="G122" s="87" t="s">
        <v>395</v>
      </c>
      <c r="H122" s="74" t="s">
        <v>516</v>
      </c>
      <c r="I122" s="74" t="s">
        <v>334</v>
      </c>
      <c r="J122" s="74"/>
      <c r="K122" s="84">
        <v>1.6200000000042845</v>
      </c>
      <c r="L122" s="87" t="s">
        <v>155</v>
      </c>
      <c r="M122" s="88">
        <v>5.8499999999999996E-2</v>
      </c>
      <c r="N122" s="88">
        <v>1.6200000000042843E-2</v>
      </c>
      <c r="O122" s="84">
        <v>112450.71374399999</v>
      </c>
      <c r="P122" s="86">
        <v>116.23</v>
      </c>
      <c r="Q122" s="74"/>
      <c r="R122" s="84">
        <v>130.70146151200001</v>
      </c>
      <c r="S122" s="85">
        <v>1.5896939625994897E-4</v>
      </c>
      <c r="T122" s="85">
        <f t="shared" si="3"/>
        <v>1.5821797298049345E-3</v>
      </c>
      <c r="U122" s="85">
        <f>R122/'סכום נכסי הקרן'!$C$42</f>
        <v>4.5775274510308038E-4</v>
      </c>
    </row>
    <row r="123" spans="2:21">
      <c r="B123" s="77" t="s">
        <v>594</v>
      </c>
      <c r="C123" s="74" t="s">
        <v>595</v>
      </c>
      <c r="D123" s="87" t="s">
        <v>111</v>
      </c>
      <c r="E123" s="87" t="s">
        <v>330</v>
      </c>
      <c r="F123" s="74" t="s">
        <v>489</v>
      </c>
      <c r="G123" s="87" t="s">
        <v>395</v>
      </c>
      <c r="H123" s="74" t="s">
        <v>516</v>
      </c>
      <c r="I123" s="74" t="s">
        <v>334</v>
      </c>
      <c r="J123" s="74"/>
      <c r="K123" s="84">
        <v>6.1300000000241264</v>
      </c>
      <c r="L123" s="87" t="s">
        <v>155</v>
      </c>
      <c r="M123" s="88">
        <v>2.2499999999999999E-2</v>
      </c>
      <c r="N123" s="88">
        <v>2.6900000000092791E-2</v>
      </c>
      <c r="O123" s="84">
        <v>133572.61346999998</v>
      </c>
      <c r="P123" s="86">
        <v>98.64</v>
      </c>
      <c r="Q123" s="84">
        <v>2.959697743</v>
      </c>
      <c r="R123" s="84">
        <v>134.71572367499999</v>
      </c>
      <c r="S123" s="85">
        <v>3.4681194703389806E-4</v>
      </c>
      <c r="T123" s="85">
        <f t="shared" si="3"/>
        <v>1.6307735569201605E-3</v>
      </c>
      <c r="U123" s="85">
        <f>R123/'סכום נכסי הקרן'!$C$42</f>
        <v>4.7181180384212875E-4</v>
      </c>
    </row>
    <row r="124" spans="2:21">
      <c r="B124" s="77" t="s">
        <v>596</v>
      </c>
      <c r="C124" s="74" t="s">
        <v>597</v>
      </c>
      <c r="D124" s="87" t="s">
        <v>111</v>
      </c>
      <c r="E124" s="87" t="s">
        <v>330</v>
      </c>
      <c r="F124" s="74" t="s">
        <v>598</v>
      </c>
      <c r="G124" s="87" t="s">
        <v>455</v>
      </c>
      <c r="H124" s="74" t="s">
        <v>520</v>
      </c>
      <c r="I124" s="74" t="s">
        <v>151</v>
      </c>
      <c r="J124" s="74"/>
      <c r="K124" s="84">
        <v>1.489999999998626</v>
      </c>
      <c r="L124" s="87" t="s">
        <v>155</v>
      </c>
      <c r="M124" s="88">
        <v>4.0500000000000001E-2</v>
      </c>
      <c r="N124" s="88">
        <v>1.2000000000078519E-2</v>
      </c>
      <c r="O124" s="84">
        <v>26406.154232999997</v>
      </c>
      <c r="P124" s="86">
        <v>125.43</v>
      </c>
      <c r="Q124" s="84">
        <v>17.822716084</v>
      </c>
      <c r="R124" s="84">
        <v>50.943955342999999</v>
      </c>
      <c r="S124" s="85">
        <v>5.4462447711735296E-4</v>
      </c>
      <c r="T124" s="85">
        <f t="shared" si="3"/>
        <v>6.1669160059378591E-4</v>
      </c>
      <c r="U124" s="85">
        <f>R124/'סכום נכסי הקרן'!$C$42</f>
        <v>1.7841985188915389E-4</v>
      </c>
    </row>
    <row r="125" spans="2:21">
      <c r="B125" s="77" t="s">
        <v>599</v>
      </c>
      <c r="C125" s="74" t="s">
        <v>600</v>
      </c>
      <c r="D125" s="87" t="s">
        <v>111</v>
      </c>
      <c r="E125" s="87" t="s">
        <v>330</v>
      </c>
      <c r="F125" s="74" t="s">
        <v>601</v>
      </c>
      <c r="G125" s="87" t="s">
        <v>395</v>
      </c>
      <c r="H125" s="74" t="s">
        <v>520</v>
      </c>
      <c r="I125" s="74" t="s">
        <v>151</v>
      </c>
      <c r="J125" s="74"/>
      <c r="K125" s="84">
        <v>6.8000000000051157</v>
      </c>
      <c r="L125" s="87" t="s">
        <v>155</v>
      </c>
      <c r="M125" s="88">
        <v>1.9599999999999999E-2</v>
      </c>
      <c r="N125" s="88">
        <v>1.559999999999318E-2</v>
      </c>
      <c r="O125" s="84">
        <v>226198.70874199999</v>
      </c>
      <c r="P125" s="86">
        <v>103.7</v>
      </c>
      <c r="Q125" s="74"/>
      <c r="R125" s="84">
        <v>234.56806561100001</v>
      </c>
      <c r="S125" s="85">
        <v>2.2933798965852728E-4</v>
      </c>
      <c r="T125" s="85">
        <f t="shared" si="3"/>
        <v>2.8395155981878898E-3</v>
      </c>
      <c r="U125" s="85">
        <f>R125/'סכום נכסי הקרן'!$C$42</f>
        <v>8.2152238165367761E-4</v>
      </c>
    </row>
    <row r="126" spans="2:21">
      <c r="B126" s="77" t="s">
        <v>602</v>
      </c>
      <c r="C126" s="74" t="s">
        <v>603</v>
      </c>
      <c r="D126" s="87" t="s">
        <v>111</v>
      </c>
      <c r="E126" s="87" t="s">
        <v>330</v>
      </c>
      <c r="F126" s="74" t="s">
        <v>601</v>
      </c>
      <c r="G126" s="87" t="s">
        <v>395</v>
      </c>
      <c r="H126" s="74" t="s">
        <v>520</v>
      </c>
      <c r="I126" s="74" t="s">
        <v>151</v>
      </c>
      <c r="J126" s="74"/>
      <c r="K126" s="84">
        <v>2.7299999999819105</v>
      </c>
      <c r="L126" s="87" t="s">
        <v>155</v>
      </c>
      <c r="M126" s="88">
        <v>2.75E-2</v>
      </c>
      <c r="N126" s="88">
        <v>1.4099999999858219E-2</v>
      </c>
      <c r="O126" s="84">
        <v>58635.594600999997</v>
      </c>
      <c r="P126" s="86">
        <v>104.65</v>
      </c>
      <c r="Q126" s="74"/>
      <c r="R126" s="84">
        <v>61.362151706999995</v>
      </c>
      <c r="S126" s="85">
        <v>1.3574652344026868E-4</v>
      </c>
      <c r="T126" s="85">
        <f t="shared" si="3"/>
        <v>7.4280693945504939E-4</v>
      </c>
      <c r="U126" s="85">
        <f>R126/'סכום נכסי הקרן'!$C$42</f>
        <v>2.1490726319638002E-4</v>
      </c>
    </row>
    <row r="127" spans="2:21">
      <c r="B127" s="77" t="s">
        <v>604</v>
      </c>
      <c r="C127" s="74" t="s">
        <v>605</v>
      </c>
      <c r="D127" s="87" t="s">
        <v>111</v>
      </c>
      <c r="E127" s="87" t="s">
        <v>330</v>
      </c>
      <c r="F127" s="74" t="s">
        <v>372</v>
      </c>
      <c r="G127" s="87" t="s">
        <v>340</v>
      </c>
      <c r="H127" s="74" t="s">
        <v>520</v>
      </c>
      <c r="I127" s="74" t="s">
        <v>151</v>
      </c>
      <c r="J127" s="74"/>
      <c r="K127" s="84">
        <v>2.7900000000019762</v>
      </c>
      <c r="L127" s="87" t="s">
        <v>155</v>
      </c>
      <c r="M127" s="88">
        <v>1.4199999999999999E-2</v>
      </c>
      <c r="N127" s="88">
        <v>2.5000000000016745E-2</v>
      </c>
      <c r="O127" s="84">
        <f>608728.8321/50000</f>
        <v>12.174576642</v>
      </c>
      <c r="P127" s="86">
        <v>4904901</v>
      </c>
      <c r="Q127" s="74"/>
      <c r="R127" s="84">
        <v>597.15094735799994</v>
      </c>
      <c r="S127" s="85">
        <f>2872.3108200821%/50000</f>
        <v>5.7446216401642E-4</v>
      </c>
      <c r="T127" s="85">
        <f t="shared" si="3"/>
        <v>7.2286882917288317E-3</v>
      </c>
      <c r="U127" s="85">
        <f>R127/'סכום נכסי הקרן'!$C$42</f>
        <v>2.091388131638703E-3</v>
      </c>
    </row>
    <row r="128" spans="2:21">
      <c r="B128" s="77" t="s">
        <v>606</v>
      </c>
      <c r="C128" s="74" t="s">
        <v>607</v>
      </c>
      <c r="D128" s="87" t="s">
        <v>111</v>
      </c>
      <c r="E128" s="87" t="s">
        <v>330</v>
      </c>
      <c r="F128" s="74" t="s">
        <v>372</v>
      </c>
      <c r="G128" s="87" t="s">
        <v>340</v>
      </c>
      <c r="H128" s="74" t="s">
        <v>520</v>
      </c>
      <c r="I128" s="74" t="s">
        <v>151</v>
      </c>
      <c r="J128" s="74"/>
      <c r="K128" s="84">
        <v>4.5599999999642975</v>
      </c>
      <c r="L128" s="87" t="s">
        <v>155</v>
      </c>
      <c r="M128" s="88">
        <v>2.0199999999999999E-2</v>
      </c>
      <c r="N128" s="88">
        <v>2.7099999999847829E-2</v>
      </c>
      <c r="O128" s="84">
        <f>70207.6698/50000</f>
        <v>1.4041533960000001</v>
      </c>
      <c r="P128" s="86">
        <v>4867200</v>
      </c>
      <c r="Q128" s="74"/>
      <c r="R128" s="84">
        <v>68.342955224000008</v>
      </c>
      <c r="S128" s="85">
        <f>333.60736421953%/50000</f>
        <v>6.6721472843905998E-5</v>
      </c>
      <c r="T128" s="85">
        <f t="shared" si="3"/>
        <v>8.2731162436505213E-4</v>
      </c>
      <c r="U128" s="85">
        <f>R128/'סכום נכסי הקרן'!$C$42</f>
        <v>2.3935597200166456E-4</v>
      </c>
    </row>
    <row r="129" spans="2:21">
      <c r="B129" s="77" t="s">
        <v>608</v>
      </c>
      <c r="C129" s="74" t="s">
        <v>609</v>
      </c>
      <c r="D129" s="87" t="s">
        <v>111</v>
      </c>
      <c r="E129" s="87" t="s">
        <v>330</v>
      </c>
      <c r="F129" s="74" t="s">
        <v>372</v>
      </c>
      <c r="G129" s="87" t="s">
        <v>340</v>
      </c>
      <c r="H129" s="74" t="s">
        <v>520</v>
      </c>
      <c r="I129" s="74" t="s">
        <v>151</v>
      </c>
      <c r="J129" s="74"/>
      <c r="K129" s="84">
        <v>5.5099999999994518</v>
      </c>
      <c r="L129" s="87" t="s">
        <v>155</v>
      </c>
      <c r="M129" s="88">
        <v>2.5899999999999999E-2</v>
      </c>
      <c r="N129" s="88">
        <v>2.6199999999996112E-2</v>
      </c>
      <c r="O129" s="84">
        <f>566698.68/50000</f>
        <v>11.3339736</v>
      </c>
      <c r="P129" s="86">
        <v>4989949</v>
      </c>
      <c r="Q129" s="74"/>
      <c r="R129" s="84">
        <v>565.55951818100004</v>
      </c>
      <c r="S129" s="85">
        <f>2682.85129953132%/50000</f>
        <v>5.3657025990626404E-4</v>
      </c>
      <c r="T129" s="85">
        <f t="shared" si="3"/>
        <v>6.8462647265965602E-3</v>
      </c>
      <c r="U129" s="85">
        <f>R129/'סכום נכסי הקרן'!$C$42</f>
        <v>1.9807461903764505E-3</v>
      </c>
    </row>
    <row r="130" spans="2:21">
      <c r="B130" s="77" t="s">
        <v>610</v>
      </c>
      <c r="C130" s="74" t="s">
        <v>611</v>
      </c>
      <c r="D130" s="87" t="s">
        <v>111</v>
      </c>
      <c r="E130" s="87" t="s">
        <v>330</v>
      </c>
      <c r="F130" s="74" t="s">
        <v>372</v>
      </c>
      <c r="G130" s="87" t="s">
        <v>340</v>
      </c>
      <c r="H130" s="74" t="s">
        <v>520</v>
      </c>
      <c r="I130" s="74" t="s">
        <v>151</v>
      </c>
      <c r="J130" s="74"/>
      <c r="K130" s="84">
        <v>3.4100000000040049</v>
      </c>
      <c r="L130" s="87" t="s">
        <v>155</v>
      </c>
      <c r="M130" s="88">
        <v>1.5900000000000001E-2</v>
      </c>
      <c r="N130" s="88">
        <v>3.1500000000035333E-2</v>
      </c>
      <c r="O130" s="84">
        <f>444071.3823/50000</f>
        <v>8.8814276460000006</v>
      </c>
      <c r="P130" s="86">
        <v>4780000</v>
      </c>
      <c r="Q130" s="74"/>
      <c r="R130" s="84">
        <v>424.53220542999998</v>
      </c>
      <c r="S130" s="85">
        <f>2966.4086993988%/50000</f>
        <v>5.9328173987975997E-4</v>
      </c>
      <c r="T130" s="85">
        <f t="shared" si="3"/>
        <v>5.1390875228970656E-3</v>
      </c>
      <c r="U130" s="85">
        <f>R130/'סכום נכסי הקרן'!$C$42</f>
        <v>1.4868294521894491E-3</v>
      </c>
    </row>
    <row r="131" spans="2:21">
      <c r="B131" s="77" t="s">
        <v>612</v>
      </c>
      <c r="C131" s="74" t="s">
        <v>613</v>
      </c>
      <c r="D131" s="87" t="s">
        <v>111</v>
      </c>
      <c r="E131" s="87" t="s">
        <v>330</v>
      </c>
      <c r="F131" s="74" t="s">
        <v>614</v>
      </c>
      <c r="G131" s="87" t="s">
        <v>459</v>
      </c>
      <c r="H131" s="74" t="s">
        <v>516</v>
      </c>
      <c r="I131" s="74" t="s">
        <v>334</v>
      </c>
      <c r="J131" s="74"/>
      <c r="K131" s="84">
        <v>4.2399999999921061</v>
      </c>
      <c r="L131" s="87" t="s">
        <v>155</v>
      </c>
      <c r="M131" s="88">
        <v>1.9400000000000001E-2</v>
      </c>
      <c r="N131" s="88">
        <v>1.1299999999983403E-2</v>
      </c>
      <c r="O131" s="84">
        <v>213720.026308</v>
      </c>
      <c r="P131" s="86">
        <v>104.33</v>
      </c>
      <c r="Q131" s="74"/>
      <c r="R131" s="84">
        <v>222.97409174900002</v>
      </c>
      <c r="S131" s="85">
        <v>3.9429901461363807E-4</v>
      </c>
      <c r="T131" s="85">
        <f t="shared" si="3"/>
        <v>2.6991671260274586E-3</v>
      </c>
      <c r="U131" s="85">
        <f>R131/'סכום נכסי הקרן'!$C$42</f>
        <v>7.8091707165493221E-4</v>
      </c>
    </row>
    <row r="132" spans="2:21">
      <c r="B132" s="77" t="s">
        <v>615</v>
      </c>
      <c r="C132" s="74" t="s">
        <v>616</v>
      </c>
      <c r="D132" s="87" t="s">
        <v>111</v>
      </c>
      <c r="E132" s="87" t="s">
        <v>330</v>
      </c>
      <c r="F132" s="74" t="s">
        <v>614</v>
      </c>
      <c r="G132" s="87" t="s">
        <v>459</v>
      </c>
      <c r="H132" s="74" t="s">
        <v>516</v>
      </c>
      <c r="I132" s="74" t="s">
        <v>334</v>
      </c>
      <c r="J132" s="74"/>
      <c r="K132" s="84">
        <v>5.2299999999987463</v>
      </c>
      <c r="L132" s="87" t="s">
        <v>155</v>
      </c>
      <c r="M132" s="88">
        <v>1.23E-2</v>
      </c>
      <c r="N132" s="88">
        <v>1.359999999999772E-2</v>
      </c>
      <c r="O132" s="84">
        <v>877864.18530300003</v>
      </c>
      <c r="P132" s="86">
        <v>99.95</v>
      </c>
      <c r="Q132" s="74"/>
      <c r="R132" s="84">
        <v>877.42525756999999</v>
      </c>
      <c r="S132" s="85">
        <v>5.03935487026246E-4</v>
      </c>
      <c r="T132" s="85">
        <f t="shared" si="3"/>
        <v>1.0621491457604472E-2</v>
      </c>
      <c r="U132" s="85">
        <f>R132/'סכום נכסי הקרן'!$C$42</f>
        <v>3.0729864504121787E-3</v>
      </c>
    </row>
    <row r="133" spans="2:21">
      <c r="B133" s="77" t="s">
        <v>617</v>
      </c>
      <c r="C133" s="74" t="s">
        <v>618</v>
      </c>
      <c r="D133" s="87" t="s">
        <v>111</v>
      </c>
      <c r="E133" s="87" t="s">
        <v>330</v>
      </c>
      <c r="F133" s="74" t="s">
        <v>619</v>
      </c>
      <c r="G133" s="87" t="s">
        <v>455</v>
      </c>
      <c r="H133" s="74" t="s">
        <v>520</v>
      </c>
      <c r="I133" s="74" t="s">
        <v>151</v>
      </c>
      <c r="J133" s="74"/>
      <c r="K133" s="84">
        <v>5.9399999999581414</v>
      </c>
      <c r="L133" s="87" t="s">
        <v>155</v>
      </c>
      <c r="M133" s="88">
        <v>2.2499999999999999E-2</v>
      </c>
      <c r="N133" s="88">
        <v>9.4999999999195017E-3</v>
      </c>
      <c r="O133" s="84">
        <v>62288.884725000004</v>
      </c>
      <c r="P133" s="86">
        <v>109.69</v>
      </c>
      <c r="Q133" s="74"/>
      <c r="R133" s="84">
        <v>68.324679269000001</v>
      </c>
      <c r="S133" s="85">
        <v>1.5225232983050155E-4</v>
      </c>
      <c r="T133" s="85">
        <f t="shared" si="3"/>
        <v>8.2709038854098915E-4</v>
      </c>
      <c r="U133" s="85">
        <f>R133/'סכום נכסי הקרן'!$C$42</f>
        <v>2.3929196454165719E-4</v>
      </c>
    </row>
    <row r="134" spans="2:21">
      <c r="B134" s="77" t="s">
        <v>620</v>
      </c>
      <c r="C134" s="74" t="s">
        <v>621</v>
      </c>
      <c r="D134" s="87" t="s">
        <v>111</v>
      </c>
      <c r="E134" s="87" t="s">
        <v>330</v>
      </c>
      <c r="F134" s="74" t="s">
        <v>622</v>
      </c>
      <c r="G134" s="87" t="s">
        <v>395</v>
      </c>
      <c r="H134" s="74" t="s">
        <v>520</v>
      </c>
      <c r="I134" s="74" t="s">
        <v>151</v>
      </c>
      <c r="J134" s="74"/>
      <c r="K134" s="84">
        <v>3.9505037231712659</v>
      </c>
      <c r="L134" s="87" t="s">
        <v>155</v>
      </c>
      <c r="M134" s="88">
        <v>1.6E-2</v>
      </c>
      <c r="N134" s="88">
        <v>1.4502847130968026E-2</v>
      </c>
      <c r="O134" s="84">
        <v>2.2529999999999998E-3</v>
      </c>
      <c r="P134" s="86">
        <v>102.05</v>
      </c>
      <c r="Q134" s="74"/>
      <c r="R134" s="84">
        <v>2.283E-6</v>
      </c>
      <c r="S134" s="85">
        <v>3.8944180367677589E-12</v>
      </c>
      <c r="T134" s="85">
        <f t="shared" si="3"/>
        <v>2.7636388157855668E-11</v>
      </c>
      <c r="U134" s="85">
        <f>R134/'סכום נכסי הקרן'!$C$42</f>
        <v>7.9956987854675531E-12</v>
      </c>
    </row>
    <row r="135" spans="2:21">
      <c r="B135" s="77" t="s">
        <v>623</v>
      </c>
      <c r="C135" s="74" t="s">
        <v>624</v>
      </c>
      <c r="D135" s="87" t="s">
        <v>111</v>
      </c>
      <c r="E135" s="87" t="s">
        <v>330</v>
      </c>
      <c r="F135" s="74" t="s">
        <v>625</v>
      </c>
      <c r="G135" s="87" t="s">
        <v>147</v>
      </c>
      <c r="H135" s="74" t="s">
        <v>516</v>
      </c>
      <c r="I135" s="74" t="s">
        <v>334</v>
      </c>
      <c r="J135" s="74"/>
      <c r="K135" s="84">
        <v>1.4900000000015867</v>
      </c>
      <c r="L135" s="87" t="s">
        <v>155</v>
      </c>
      <c r="M135" s="88">
        <v>2.1499999999999998E-2</v>
      </c>
      <c r="N135" s="88">
        <v>3.4600000000044116E-2</v>
      </c>
      <c r="O135" s="84">
        <v>238628.348253</v>
      </c>
      <c r="P135" s="86">
        <v>98.55</v>
      </c>
      <c r="Q135" s="84">
        <v>23.206187782000004</v>
      </c>
      <c r="R135" s="84">
        <v>258.37442499100001</v>
      </c>
      <c r="S135" s="85">
        <v>4.0588025594449055E-4</v>
      </c>
      <c r="T135" s="85">
        <f t="shared" si="3"/>
        <v>3.1276985979474554E-3</v>
      </c>
      <c r="U135" s="85">
        <f>R135/'סכום נכסי הקרן'!$C$42</f>
        <v>9.0489885067736146E-4</v>
      </c>
    </row>
    <row r="136" spans="2:21">
      <c r="B136" s="77" t="s">
        <v>626</v>
      </c>
      <c r="C136" s="74" t="s">
        <v>627</v>
      </c>
      <c r="D136" s="87" t="s">
        <v>111</v>
      </c>
      <c r="E136" s="87" t="s">
        <v>330</v>
      </c>
      <c r="F136" s="74" t="s">
        <v>625</v>
      </c>
      <c r="G136" s="87" t="s">
        <v>147</v>
      </c>
      <c r="H136" s="74" t="s">
        <v>516</v>
      </c>
      <c r="I136" s="74" t="s">
        <v>334</v>
      </c>
      <c r="J136" s="74"/>
      <c r="K136" s="84">
        <v>2.9200000000081503</v>
      </c>
      <c r="L136" s="87" t="s">
        <v>155</v>
      </c>
      <c r="M136" s="88">
        <v>1.8000000000000002E-2</v>
      </c>
      <c r="N136" s="88">
        <v>4.4300000000063101E-2</v>
      </c>
      <c r="O136" s="84">
        <v>163279.68852</v>
      </c>
      <c r="P136" s="86">
        <v>93.18</v>
      </c>
      <c r="Q136" s="74"/>
      <c r="R136" s="84">
        <v>152.14401202799999</v>
      </c>
      <c r="S136" s="85">
        <v>2.4443341362874509E-4</v>
      </c>
      <c r="T136" s="85">
        <f t="shared" si="3"/>
        <v>1.841748126280889E-3</v>
      </c>
      <c r="U136" s="85">
        <f>R136/'סכום נכסי הקרן'!$C$42</f>
        <v>5.328505003015507E-4</v>
      </c>
    </row>
    <row r="137" spans="2:21">
      <c r="B137" s="77" t="s">
        <v>628</v>
      </c>
      <c r="C137" s="74" t="s">
        <v>629</v>
      </c>
      <c r="D137" s="87" t="s">
        <v>111</v>
      </c>
      <c r="E137" s="87" t="s">
        <v>330</v>
      </c>
      <c r="F137" s="74" t="s">
        <v>630</v>
      </c>
      <c r="G137" s="87" t="s">
        <v>340</v>
      </c>
      <c r="H137" s="74" t="s">
        <v>631</v>
      </c>
      <c r="I137" s="74" t="s">
        <v>151</v>
      </c>
      <c r="J137" s="74"/>
      <c r="K137" s="84">
        <v>1.0100000000355593</v>
      </c>
      <c r="L137" s="87" t="s">
        <v>155</v>
      </c>
      <c r="M137" s="88">
        <v>4.1500000000000002E-2</v>
      </c>
      <c r="N137" s="88">
        <v>4.3000000004741259E-3</v>
      </c>
      <c r="O137" s="84">
        <v>6148.0068419999989</v>
      </c>
      <c r="P137" s="86">
        <v>107.4</v>
      </c>
      <c r="Q137" s="84">
        <v>6.895579810000001</v>
      </c>
      <c r="R137" s="84">
        <v>13.498539151999999</v>
      </c>
      <c r="S137" s="85">
        <v>1.2259415314678631E-4</v>
      </c>
      <c r="T137" s="85">
        <f t="shared" si="3"/>
        <v>1.6340379656972574E-4</v>
      </c>
      <c r="U137" s="85">
        <f>R137/'סכום נכסי הקרן'!$C$42</f>
        <v>4.7275625537990625E-5</v>
      </c>
    </row>
    <row r="138" spans="2:21">
      <c r="B138" s="77" t="s">
        <v>632</v>
      </c>
      <c r="C138" s="74" t="s">
        <v>633</v>
      </c>
      <c r="D138" s="87" t="s">
        <v>111</v>
      </c>
      <c r="E138" s="87" t="s">
        <v>330</v>
      </c>
      <c r="F138" s="74" t="s">
        <v>634</v>
      </c>
      <c r="G138" s="87" t="s">
        <v>147</v>
      </c>
      <c r="H138" s="74" t="s">
        <v>635</v>
      </c>
      <c r="I138" s="74" t="s">
        <v>334</v>
      </c>
      <c r="J138" s="74"/>
      <c r="K138" s="84">
        <v>2.0100000000080165</v>
      </c>
      <c r="L138" s="87" t="s">
        <v>155</v>
      </c>
      <c r="M138" s="88">
        <v>3.15E-2</v>
      </c>
      <c r="N138" s="88">
        <v>0.15720000000058948</v>
      </c>
      <c r="O138" s="84">
        <v>155993.82013800001</v>
      </c>
      <c r="P138" s="86">
        <v>79.17</v>
      </c>
      <c r="Q138" s="74"/>
      <c r="R138" s="84">
        <v>123.500307401</v>
      </c>
      <c r="S138" s="85">
        <v>4.1802807113963046E-4</v>
      </c>
      <c r="T138" s="85">
        <f t="shared" si="3"/>
        <v>1.4950076359827118E-3</v>
      </c>
      <c r="U138" s="85">
        <f>R138/'סכום נכסי הקרן'!$C$42</f>
        <v>4.3253230744242011E-4</v>
      </c>
    </row>
    <row r="139" spans="2:21">
      <c r="B139" s="77" t="s">
        <v>636</v>
      </c>
      <c r="C139" s="74" t="s">
        <v>637</v>
      </c>
      <c r="D139" s="87" t="s">
        <v>111</v>
      </c>
      <c r="E139" s="87" t="s">
        <v>330</v>
      </c>
      <c r="F139" s="74" t="s">
        <v>634</v>
      </c>
      <c r="G139" s="87" t="s">
        <v>147</v>
      </c>
      <c r="H139" s="74" t="s">
        <v>635</v>
      </c>
      <c r="I139" s="74" t="s">
        <v>334</v>
      </c>
      <c r="J139" s="74"/>
      <c r="K139" s="84">
        <v>1.1900000000051023</v>
      </c>
      <c r="L139" s="87" t="s">
        <v>155</v>
      </c>
      <c r="M139" s="88">
        <v>2.8500000000000001E-2</v>
      </c>
      <c r="N139" s="88">
        <v>0.2251000000003974</v>
      </c>
      <c r="O139" s="84">
        <v>79273.209329000005</v>
      </c>
      <c r="P139" s="86">
        <v>81.59</v>
      </c>
      <c r="Q139" s="74"/>
      <c r="R139" s="84">
        <v>64.679008392999989</v>
      </c>
      <c r="S139" s="85">
        <v>3.6525423512579511E-4</v>
      </c>
      <c r="T139" s="85">
        <f t="shared" ref="T139:T159" si="4">R139/$R$11</f>
        <v>7.8295846763650997E-4</v>
      </c>
      <c r="U139" s="85">
        <f>R139/'סכום נכסי הקרן'!$C$42</f>
        <v>2.2652381465315623E-4</v>
      </c>
    </row>
    <row r="140" spans="2:21">
      <c r="B140" s="77" t="s">
        <v>638</v>
      </c>
      <c r="C140" s="74" t="s">
        <v>639</v>
      </c>
      <c r="D140" s="87" t="s">
        <v>111</v>
      </c>
      <c r="E140" s="87" t="s">
        <v>330</v>
      </c>
      <c r="F140" s="74" t="s">
        <v>640</v>
      </c>
      <c r="G140" s="87" t="s">
        <v>395</v>
      </c>
      <c r="H140" s="74" t="s">
        <v>631</v>
      </c>
      <c r="I140" s="74" t="s">
        <v>151</v>
      </c>
      <c r="J140" s="74"/>
      <c r="K140" s="84">
        <v>4.3599999999989798</v>
      </c>
      <c r="L140" s="87" t="s">
        <v>155</v>
      </c>
      <c r="M140" s="88">
        <v>2.5000000000000001E-2</v>
      </c>
      <c r="N140" s="88">
        <v>2.5400000000048467E-2</v>
      </c>
      <c r="O140" s="84">
        <v>77625.105668999997</v>
      </c>
      <c r="P140" s="86">
        <v>101</v>
      </c>
      <c r="Q140" s="74"/>
      <c r="R140" s="84">
        <v>78.401356402999994</v>
      </c>
      <c r="S140" s="85">
        <v>2.3825060761418625E-4</v>
      </c>
      <c r="T140" s="85">
        <f t="shared" si="4"/>
        <v>9.4907153642386801E-4</v>
      </c>
      <c r="U140" s="85">
        <f>R140/'סכום נכסי הקרן'!$C$42</f>
        <v>2.745832808455873E-4</v>
      </c>
    </row>
    <row r="141" spans="2:21">
      <c r="B141" s="77" t="s">
        <v>641</v>
      </c>
      <c r="C141" s="74" t="s">
        <v>642</v>
      </c>
      <c r="D141" s="87" t="s">
        <v>111</v>
      </c>
      <c r="E141" s="87" t="s">
        <v>330</v>
      </c>
      <c r="F141" s="74" t="s">
        <v>640</v>
      </c>
      <c r="G141" s="87" t="s">
        <v>395</v>
      </c>
      <c r="H141" s="74" t="s">
        <v>631</v>
      </c>
      <c r="I141" s="74" t="s">
        <v>151</v>
      </c>
      <c r="J141" s="74"/>
      <c r="K141" s="84">
        <v>6.539999999993829</v>
      </c>
      <c r="L141" s="87" t="s">
        <v>155</v>
      </c>
      <c r="M141" s="88">
        <v>1.9E-2</v>
      </c>
      <c r="N141" s="88">
        <v>2.9299999999969142E-2</v>
      </c>
      <c r="O141" s="84">
        <v>172289.02839600001</v>
      </c>
      <c r="P141" s="86">
        <v>94.06</v>
      </c>
      <c r="Q141" s="74"/>
      <c r="R141" s="84">
        <v>162.05505965</v>
      </c>
      <c r="S141" s="85">
        <v>7.4284028992880702E-4</v>
      </c>
      <c r="T141" s="85">
        <f t="shared" si="4"/>
        <v>1.961724280084036E-3</v>
      </c>
      <c r="U141" s="85">
        <f>R141/'סכום נכסי הקרן'!$C$42</f>
        <v>5.6756173614646384E-4</v>
      </c>
    </row>
    <row r="142" spans="2:21">
      <c r="B142" s="77" t="s">
        <v>643</v>
      </c>
      <c r="C142" s="74" t="s">
        <v>644</v>
      </c>
      <c r="D142" s="87" t="s">
        <v>111</v>
      </c>
      <c r="E142" s="87" t="s">
        <v>330</v>
      </c>
      <c r="F142" s="74" t="s">
        <v>630</v>
      </c>
      <c r="G142" s="87" t="s">
        <v>340</v>
      </c>
      <c r="H142" s="74" t="s">
        <v>645</v>
      </c>
      <c r="I142" s="74" t="s">
        <v>151</v>
      </c>
      <c r="J142" s="74"/>
      <c r="K142" s="84">
        <v>0.18999999999812578</v>
      </c>
      <c r="L142" s="87" t="s">
        <v>155</v>
      </c>
      <c r="M142" s="88">
        <v>5.2999999999999999E-2</v>
      </c>
      <c r="N142" s="88">
        <v>2.0199999999994233E-2</v>
      </c>
      <c r="O142" s="84">
        <v>126170.209694</v>
      </c>
      <c r="P142" s="86">
        <v>109.95</v>
      </c>
      <c r="Q142" s="74"/>
      <c r="R142" s="84">
        <v>138.724148254</v>
      </c>
      <c r="S142" s="85">
        <v>4.8525883900371532E-4</v>
      </c>
      <c r="T142" s="85">
        <f t="shared" si="4"/>
        <v>1.6792967183598159E-3</v>
      </c>
      <c r="U142" s="85">
        <f>R142/'סכום נכסי הקרן'!$C$42</f>
        <v>4.858504177439897E-4</v>
      </c>
    </row>
    <row r="143" spans="2:21">
      <c r="B143" s="77" t="s">
        <v>646</v>
      </c>
      <c r="C143" s="74" t="s">
        <v>647</v>
      </c>
      <c r="D143" s="87" t="s">
        <v>111</v>
      </c>
      <c r="E143" s="87" t="s">
        <v>330</v>
      </c>
      <c r="F143" s="74" t="s">
        <v>648</v>
      </c>
      <c r="G143" s="87" t="s">
        <v>649</v>
      </c>
      <c r="H143" s="74" t="s">
        <v>645</v>
      </c>
      <c r="I143" s="74" t="s">
        <v>151</v>
      </c>
      <c r="J143" s="74"/>
      <c r="K143" s="84">
        <v>0.99000059749450653</v>
      </c>
      <c r="L143" s="87" t="s">
        <v>155</v>
      </c>
      <c r="M143" s="88">
        <v>5.3499999999999999E-2</v>
      </c>
      <c r="N143" s="88">
        <v>2.1399996016703296E-2</v>
      </c>
      <c r="O143" s="84">
        <v>0.71795200000000003</v>
      </c>
      <c r="P143" s="86">
        <v>104.9</v>
      </c>
      <c r="Q143" s="74"/>
      <c r="R143" s="84">
        <v>7.5314499999999999E-4</v>
      </c>
      <c r="S143" s="85">
        <v>6.1118292659568357E-9</v>
      </c>
      <c r="T143" s="85">
        <f t="shared" si="4"/>
        <v>9.1170422948524783E-9</v>
      </c>
      <c r="U143" s="85">
        <f>R143/'סכום נכסי הקרן'!$C$42</f>
        <v>2.6377225412969601E-9</v>
      </c>
    </row>
    <row r="144" spans="2:21">
      <c r="B144" s="77" t="s">
        <v>650</v>
      </c>
      <c r="C144" s="74" t="s">
        <v>651</v>
      </c>
      <c r="D144" s="87" t="s">
        <v>111</v>
      </c>
      <c r="E144" s="87" t="s">
        <v>330</v>
      </c>
      <c r="F144" s="74" t="s">
        <v>388</v>
      </c>
      <c r="G144" s="87" t="s">
        <v>340</v>
      </c>
      <c r="H144" s="74" t="s">
        <v>652</v>
      </c>
      <c r="I144" s="74" t="s">
        <v>334</v>
      </c>
      <c r="J144" s="74"/>
      <c r="K144" s="84">
        <v>1.4600000000006117</v>
      </c>
      <c r="L144" s="87" t="s">
        <v>155</v>
      </c>
      <c r="M144" s="88">
        <v>5.0999999999999997E-2</v>
      </c>
      <c r="N144" s="88">
        <v>1.7800000000002491E-2</v>
      </c>
      <c r="O144" s="84">
        <v>688795.59181200003</v>
      </c>
      <c r="P144" s="86">
        <v>126.61</v>
      </c>
      <c r="Q144" s="84">
        <v>10.599089864999998</v>
      </c>
      <c r="R144" s="84">
        <v>882.683205101</v>
      </c>
      <c r="S144" s="85">
        <v>6.0039238300146176E-4</v>
      </c>
      <c r="T144" s="85">
        <f t="shared" si="4"/>
        <v>1.0685140462808307E-2</v>
      </c>
      <c r="U144" s="85">
        <f>R144/'סכום נכסי הקרן'!$C$42</f>
        <v>3.0914012400256995E-3</v>
      </c>
    </row>
    <row r="145" spans="2:21">
      <c r="B145" s="77" t="s">
        <v>653</v>
      </c>
      <c r="C145" s="74" t="s">
        <v>654</v>
      </c>
      <c r="D145" s="87" t="s">
        <v>111</v>
      </c>
      <c r="E145" s="87" t="s">
        <v>330</v>
      </c>
      <c r="F145" s="74" t="s">
        <v>563</v>
      </c>
      <c r="G145" s="87" t="s">
        <v>340</v>
      </c>
      <c r="H145" s="74" t="s">
        <v>652</v>
      </c>
      <c r="I145" s="74" t="s">
        <v>334</v>
      </c>
      <c r="J145" s="74"/>
      <c r="K145" s="84">
        <v>0.99000000001263133</v>
      </c>
      <c r="L145" s="87" t="s">
        <v>155</v>
      </c>
      <c r="M145" s="88">
        <v>2.4E-2</v>
      </c>
      <c r="N145" s="88">
        <v>1.86999999998376E-2</v>
      </c>
      <c r="O145" s="84">
        <v>16261.274587</v>
      </c>
      <c r="P145" s="86">
        <v>102.24</v>
      </c>
      <c r="Q145" s="74"/>
      <c r="R145" s="84">
        <v>16.625527120999998</v>
      </c>
      <c r="S145" s="85">
        <v>3.7367563138303886E-4</v>
      </c>
      <c r="T145" s="85">
        <f t="shared" si="4"/>
        <v>2.012569079478373E-4</v>
      </c>
      <c r="U145" s="85">
        <f>R145/'סכום נכסי הקרן'!$C$42</f>
        <v>5.8227204121391824E-5</v>
      </c>
    </row>
    <row r="146" spans="2:21">
      <c r="B146" s="77" t="s">
        <v>655</v>
      </c>
      <c r="C146" s="74" t="s">
        <v>656</v>
      </c>
      <c r="D146" s="87" t="s">
        <v>111</v>
      </c>
      <c r="E146" s="87" t="s">
        <v>330</v>
      </c>
      <c r="F146" s="74" t="s">
        <v>580</v>
      </c>
      <c r="G146" s="87" t="s">
        <v>395</v>
      </c>
      <c r="H146" s="74" t="s">
        <v>652</v>
      </c>
      <c r="I146" s="74" t="s">
        <v>334</v>
      </c>
      <c r="J146" s="74"/>
      <c r="K146" s="84">
        <v>2.280000000072901</v>
      </c>
      <c r="L146" s="87" t="s">
        <v>155</v>
      </c>
      <c r="M146" s="88">
        <v>3.4500000000000003E-2</v>
      </c>
      <c r="N146" s="88">
        <v>2.0600000001458018E-2</v>
      </c>
      <c r="O146" s="84">
        <v>4787.400858</v>
      </c>
      <c r="P146" s="86">
        <v>103.15</v>
      </c>
      <c r="Q146" s="74"/>
      <c r="R146" s="84">
        <v>4.9382039880000006</v>
      </c>
      <c r="S146" s="85">
        <v>1.5213952832686941E-5</v>
      </c>
      <c r="T146" s="85">
        <f t="shared" si="4"/>
        <v>5.9778415337292536E-5</v>
      </c>
      <c r="U146" s="85">
        <f>R146/'סכום נכסי הקרן'!$C$42</f>
        <v>1.729495910172695E-5</v>
      </c>
    </row>
    <row r="147" spans="2:21">
      <c r="B147" s="77" t="s">
        <v>657</v>
      </c>
      <c r="C147" s="74" t="s">
        <v>658</v>
      </c>
      <c r="D147" s="87" t="s">
        <v>111</v>
      </c>
      <c r="E147" s="87" t="s">
        <v>330</v>
      </c>
      <c r="F147" s="74" t="s">
        <v>580</v>
      </c>
      <c r="G147" s="87" t="s">
        <v>395</v>
      </c>
      <c r="H147" s="74" t="s">
        <v>652</v>
      </c>
      <c r="I147" s="74" t="s">
        <v>334</v>
      </c>
      <c r="J147" s="74"/>
      <c r="K147" s="84">
        <v>3.9801905717151458</v>
      </c>
      <c r="L147" s="87" t="s">
        <v>155</v>
      </c>
      <c r="M147" s="88">
        <v>2.0499999999999997E-2</v>
      </c>
      <c r="N147" s="88">
        <v>1.8099297893681043E-2</v>
      </c>
      <c r="O147" s="84">
        <v>3.8969999999999999E-3</v>
      </c>
      <c r="P147" s="86">
        <v>102.2</v>
      </c>
      <c r="Q147" s="74"/>
      <c r="R147" s="84">
        <v>3.9880000000000006E-6</v>
      </c>
      <c r="S147" s="85">
        <v>7.5232351555971824E-12</v>
      </c>
      <c r="T147" s="85">
        <f t="shared" si="4"/>
        <v>4.8275915888536322E-11</v>
      </c>
      <c r="U147" s="85">
        <f>R147/'סכום נכסי הקרן'!$C$42</f>
        <v>1.3967081365065531E-11</v>
      </c>
    </row>
    <row r="148" spans="2:21">
      <c r="B148" s="77" t="s">
        <v>659</v>
      </c>
      <c r="C148" s="74" t="s">
        <v>660</v>
      </c>
      <c r="D148" s="87" t="s">
        <v>111</v>
      </c>
      <c r="E148" s="87" t="s">
        <v>330</v>
      </c>
      <c r="F148" s="74" t="s">
        <v>580</v>
      </c>
      <c r="G148" s="87" t="s">
        <v>395</v>
      </c>
      <c r="H148" s="74" t="s">
        <v>652</v>
      </c>
      <c r="I148" s="74" t="s">
        <v>334</v>
      </c>
      <c r="J148" s="74"/>
      <c r="K148" s="84">
        <v>4.510000000011412</v>
      </c>
      <c r="L148" s="87" t="s">
        <v>155</v>
      </c>
      <c r="M148" s="88">
        <v>2.0499999999999997E-2</v>
      </c>
      <c r="N148" s="88">
        <v>1.9200000000053133E-2</v>
      </c>
      <c r="O148" s="84">
        <v>161532.98442699999</v>
      </c>
      <c r="P148" s="86">
        <v>102.53</v>
      </c>
      <c r="Q148" s="74"/>
      <c r="R148" s="84">
        <v>165.619767061</v>
      </c>
      <c r="S148" s="85">
        <v>2.82514414784642E-4</v>
      </c>
      <c r="T148" s="85">
        <f t="shared" si="4"/>
        <v>2.0048761143720696E-3</v>
      </c>
      <c r="U148" s="85">
        <f>R148/'סכום נכסי הקרן'!$C$42</f>
        <v>5.8004632953966571E-4</v>
      </c>
    </row>
    <row r="149" spans="2:21">
      <c r="B149" s="77" t="s">
        <v>661</v>
      </c>
      <c r="C149" s="74" t="s">
        <v>662</v>
      </c>
      <c r="D149" s="87" t="s">
        <v>111</v>
      </c>
      <c r="E149" s="87" t="s">
        <v>330</v>
      </c>
      <c r="F149" s="74" t="s">
        <v>580</v>
      </c>
      <c r="G149" s="87" t="s">
        <v>395</v>
      </c>
      <c r="H149" s="74" t="s">
        <v>652</v>
      </c>
      <c r="I149" s="74" t="s">
        <v>334</v>
      </c>
      <c r="J149" s="74"/>
      <c r="K149" s="84">
        <v>7.0500000000066834</v>
      </c>
      <c r="L149" s="87" t="s">
        <v>155</v>
      </c>
      <c r="M149" s="88">
        <v>8.3999999999999995E-3</v>
      </c>
      <c r="N149" s="88">
        <v>1.9000000000010838E-2</v>
      </c>
      <c r="O149" s="84">
        <v>297955.39915800001</v>
      </c>
      <c r="P149" s="86">
        <v>92.88</v>
      </c>
      <c r="Q149" s="74"/>
      <c r="R149" s="84">
        <v>276.74096492300004</v>
      </c>
      <c r="S149" s="85">
        <v>5.9866585859726464E-4</v>
      </c>
      <c r="T149" s="85">
        <f t="shared" si="4"/>
        <v>3.3500309793217473E-3</v>
      </c>
      <c r="U149" s="85">
        <f>R149/'סכום נכסי הקרן'!$C$42</f>
        <v>9.6922356422424443E-4</v>
      </c>
    </row>
    <row r="150" spans="2:21">
      <c r="B150" s="77" t="s">
        <v>663</v>
      </c>
      <c r="C150" s="74" t="s">
        <v>664</v>
      </c>
      <c r="D150" s="87" t="s">
        <v>111</v>
      </c>
      <c r="E150" s="87" t="s">
        <v>330</v>
      </c>
      <c r="F150" s="74" t="s">
        <v>665</v>
      </c>
      <c r="G150" s="87" t="s">
        <v>182</v>
      </c>
      <c r="H150" s="74" t="s">
        <v>652</v>
      </c>
      <c r="I150" s="74" t="s">
        <v>334</v>
      </c>
      <c r="J150" s="74"/>
      <c r="K150" s="84">
        <v>2.4299999999994126</v>
      </c>
      <c r="L150" s="87" t="s">
        <v>155</v>
      </c>
      <c r="M150" s="88">
        <v>1.9799999999999998E-2</v>
      </c>
      <c r="N150" s="88">
        <v>3.6100000000004566E-2</v>
      </c>
      <c r="O150" s="84">
        <v>263967.90561700001</v>
      </c>
      <c r="P150" s="86">
        <v>96.2</v>
      </c>
      <c r="Q150" s="84">
        <v>52.597256188000003</v>
      </c>
      <c r="R150" s="84">
        <v>306.53438072599999</v>
      </c>
      <c r="S150" s="85">
        <v>5.1576662311065224E-4</v>
      </c>
      <c r="T150" s="85">
        <f t="shared" si="4"/>
        <v>3.710689062405452E-3</v>
      </c>
      <c r="U150" s="85">
        <f>R150/'סכום נכסי הקרן'!$C$42</f>
        <v>1.0735683642903752E-3</v>
      </c>
    </row>
    <row r="151" spans="2:21">
      <c r="B151" s="77" t="s">
        <v>666</v>
      </c>
      <c r="C151" s="74" t="s">
        <v>667</v>
      </c>
      <c r="D151" s="87" t="s">
        <v>111</v>
      </c>
      <c r="E151" s="87" t="s">
        <v>330</v>
      </c>
      <c r="F151" s="74" t="s">
        <v>668</v>
      </c>
      <c r="G151" s="87" t="s">
        <v>548</v>
      </c>
      <c r="H151" s="74" t="s">
        <v>669</v>
      </c>
      <c r="I151" s="74" t="s">
        <v>151</v>
      </c>
      <c r="J151" s="74"/>
      <c r="K151" s="84">
        <v>2.7800628391888029</v>
      </c>
      <c r="L151" s="87" t="s">
        <v>155</v>
      </c>
      <c r="M151" s="88">
        <v>4.6500000000000007E-2</v>
      </c>
      <c r="N151" s="88">
        <v>5.690088546129677E-2</v>
      </c>
      <c r="O151" s="84">
        <v>3.5010000000000002E-3</v>
      </c>
      <c r="P151" s="86">
        <v>97.8</v>
      </c>
      <c r="Q151" s="84">
        <v>9.1000000000000008E-8</v>
      </c>
      <c r="R151" s="84">
        <v>3.501E-6</v>
      </c>
      <c r="S151" s="85">
        <v>4.8854207657593546E-12</v>
      </c>
      <c r="T151" s="85">
        <f t="shared" si="4"/>
        <v>4.2380637293321372E-11</v>
      </c>
      <c r="U151" s="85">
        <f>R151/'סכום נכסי הקרן'!$C$42</f>
        <v>1.2261472381919362E-11</v>
      </c>
    </row>
    <row r="152" spans="2:21">
      <c r="B152" s="77" t="s">
        <v>670</v>
      </c>
      <c r="C152" s="74" t="s">
        <v>671</v>
      </c>
      <c r="D152" s="87" t="s">
        <v>111</v>
      </c>
      <c r="E152" s="87" t="s">
        <v>330</v>
      </c>
      <c r="F152" s="74" t="s">
        <v>672</v>
      </c>
      <c r="G152" s="87" t="s">
        <v>459</v>
      </c>
      <c r="H152" s="74" t="s">
        <v>669</v>
      </c>
      <c r="I152" s="74" t="s">
        <v>151</v>
      </c>
      <c r="J152" s="74"/>
      <c r="K152" s="84">
        <v>6.1500000000002091</v>
      </c>
      <c r="L152" s="87" t="s">
        <v>155</v>
      </c>
      <c r="M152" s="88">
        <v>2.75E-2</v>
      </c>
      <c r="N152" s="88">
        <v>1.6199999999980858E-2</v>
      </c>
      <c r="O152" s="84">
        <v>224524.81561300001</v>
      </c>
      <c r="P152" s="86">
        <v>107.02</v>
      </c>
      <c r="Q152" s="74"/>
      <c r="R152" s="84">
        <v>240.28645313299998</v>
      </c>
      <c r="S152" s="85">
        <v>5.6131203903250001E-4</v>
      </c>
      <c r="T152" s="85">
        <f t="shared" si="4"/>
        <v>2.9087383652465974E-3</v>
      </c>
      <c r="U152" s="85">
        <f>R152/'סכום נכסי הקרן'!$C$42</f>
        <v>8.4154975973711515E-4</v>
      </c>
    </row>
    <row r="153" spans="2:21">
      <c r="B153" s="77" t="s">
        <v>673</v>
      </c>
      <c r="C153" s="74" t="s">
        <v>674</v>
      </c>
      <c r="D153" s="87" t="s">
        <v>111</v>
      </c>
      <c r="E153" s="87" t="s">
        <v>330</v>
      </c>
      <c r="F153" s="74" t="s">
        <v>675</v>
      </c>
      <c r="G153" s="87" t="s">
        <v>548</v>
      </c>
      <c r="H153" s="74" t="s">
        <v>669</v>
      </c>
      <c r="I153" s="74" t="s">
        <v>151</v>
      </c>
      <c r="J153" s="74"/>
      <c r="K153" s="84">
        <v>0.5200000000120949</v>
      </c>
      <c r="L153" s="87" t="s">
        <v>155</v>
      </c>
      <c r="M153" s="88">
        <v>4.8000000000000001E-2</v>
      </c>
      <c r="N153" s="88">
        <v>3.6800000000710584E-2</v>
      </c>
      <c r="O153" s="84">
        <v>25736.588239000001</v>
      </c>
      <c r="P153" s="86">
        <v>100.4</v>
      </c>
      <c r="Q153" s="84">
        <v>0.617678116</v>
      </c>
      <c r="R153" s="84">
        <v>26.457213558999999</v>
      </c>
      <c r="S153" s="85">
        <v>3.3061749446328554E-4</v>
      </c>
      <c r="T153" s="85">
        <f t="shared" si="4"/>
        <v>3.2027237121848707E-4</v>
      </c>
      <c r="U153" s="85">
        <f>R153/'סכום נכסי הקרן'!$C$42</f>
        <v>9.2660495103176512E-5</v>
      </c>
    </row>
    <row r="154" spans="2:21">
      <c r="B154" s="77" t="s">
        <v>676</v>
      </c>
      <c r="C154" s="74" t="s">
        <v>677</v>
      </c>
      <c r="D154" s="87" t="s">
        <v>111</v>
      </c>
      <c r="E154" s="87" t="s">
        <v>330</v>
      </c>
      <c r="F154" s="74" t="s">
        <v>678</v>
      </c>
      <c r="G154" s="87" t="s">
        <v>548</v>
      </c>
      <c r="H154" s="74" t="s">
        <v>679</v>
      </c>
      <c r="I154" s="74" t="s">
        <v>334</v>
      </c>
      <c r="J154" s="74"/>
      <c r="K154" s="84">
        <v>0.14000000001670398</v>
      </c>
      <c r="L154" s="87" t="s">
        <v>155</v>
      </c>
      <c r="M154" s="88">
        <v>5.4000000000000006E-2</v>
      </c>
      <c r="N154" s="88">
        <v>0.21460000000373053</v>
      </c>
      <c r="O154" s="84">
        <v>21292.020831000005</v>
      </c>
      <c r="P154" s="86">
        <v>101.22</v>
      </c>
      <c r="Q154" s="74"/>
      <c r="R154" s="84">
        <v>21.551784026</v>
      </c>
      <c r="S154" s="85">
        <v>5.9144502308333344E-4</v>
      </c>
      <c r="T154" s="85">
        <f t="shared" si="4"/>
        <v>2.6089070032273736E-4</v>
      </c>
      <c r="U154" s="85">
        <f>R154/'סכום נכסי הקרן'!$C$42</f>
        <v>7.5480321227046525E-5</v>
      </c>
    </row>
    <row r="155" spans="2:21">
      <c r="B155" s="77" t="s">
        <v>680</v>
      </c>
      <c r="C155" s="74" t="s">
        <v>681</v>
      </c>
      <c r="D155" s="87" t="s">
        <v>111</v>
      </c>
      <c r="E155" s="87" t="s">
        <v>330</v>
      </c>
      <c r="F155" s="74" t="s">
        <v>678</v>
      </c>
      <c r="G155" s="87" t="s">
        <v>548</v>
      </c>
      <c r="H155" s="74" t="s">
        <v>679</v>
      </c>
      <c r="I155" s="74" t="s">
        <v>334</v>
      </c>
      <c r="J155" s="74"/>
      <c r="K155" s="84">
        <v>1.7299999999989446</v>
      </c>
      <c r="L155" s="87" t="s">
        <v>155</v>
      </c>
      <c r="M155" s="88">
        <v>2.5000000000000001E-2</v>
      </c>
      <c r="N155" s="88">
        <v>0.12089999999965161</v>
      </c>
      <c r="O155" s="84">
        <v>55065.380514999997</v>
      </c>
      <c r="P155" s="86">
        <v>86</v>
      </c>
      <c r="Q155" s="74"/>
      <c r="R155" s="84">
        <v>47.356226884999991</v>
      </c>
      <c r="S155" s="85">
        <v>1.8849941574656376E-4</v>
      </c>
      <c r="T155" s="85">
        <f t="shared" si="4"/>
        <v>5.7326108974390712E-4</v>
      </c>
      <c r="U155" s="85">
        <f>R155/'סכום נכסי הקרן'!$C$42</f>
        <v>1.6585463240855028E-4</v>
      </c>
    </row>
    <row r="156" spans="2:21">
      <c r="B156" s="77" t="s">
        <v>682</v>
      </c>
      <c r="C156" s="74" t="s">
        <v>683</v>
      </c>
      <c r="D156" s="87" t="s">
        <v>111</v>
      </c>
      <c r="E156" s="87" t="s">
        <v>330</v>
      </c>
      <c r="F156" s="74" t="s">
        <v>684</v>
      </c>
      <c r="G156" s="87" t="s">
        <v>685</v>
      </c>
      <c r="H156" s="74" t="s">
        <v>686</v>
      </c>
      <c r="I156" s="74" t="s">
        <v>334</v>
      </c>
      <c r="J156" s="74"/>
      <c r="K156" s="84">
        <v>0</v>
      </c>
      <c r="L156" s="87" t="s">
        <v>155</v>
      </c>
      <c r="M156" s="88">
        <v>4.9000000000000002E-2</v>
      </c>
      <c r="N156" s="88">
        <v>0</v>
      </c>
      <c r="O156" s="84">
        <v>114125.87877700001</v>
      </c>
      <c r="P156" s="86">
        <v>18.72</v>
      </c>
      <c r="Q156" s="74"/>
      <c r="R156" s="84">
        <v>21.364365307</v>
      </c>
      <c r="S156" s="85">
        <v>1.5733282257254251E-4</v>
      </c>
      <c r="T156" s="85">
        <f t="shared" si="4"/>
        <v>2.5862194146757654E-4</v>
      </c>
      <c r="U156" s="85">
        <f>R156/'סכום נכסי הקרן'!$C$42</f>
        <v>7.4823928925740269E-5</v>
      </c>
    </row>
    <row r="157" spans="2:21">
      <c r="B157" s="77" t="s">
        <v>691</v>
      </c>
      <c r="C157" s="74" t="s">
        <v>692</v>
      </c>
      <c r="D157" s="87" t="s">
        <v>111</v>
      </c>
      <c r="E157" s="87" t="s">
        <v>330</v>
      </c>
      <c r="F157" s="74" t="s">
        <v>693</v>
      </c>
      <c r="G157" s="87" t="s">
        <v>395</v>
      </c>
      <c r="H157" s="74" t="s">
        <v>690</v>
      </c>
      <c r="I157" s="74"/>
      <c r="J157" s="74"/>
      <c r="K157" s="84">
        <v>1.9800000000056344</v>
      </c>
      <c r="L157" s="87" t="s">
        <v>155</v>
      </c>
      <c r="M157" s="88">
        <v>0.01</v>
      </c>
      <c r="N157" s="88">
        <v>3.400000000003886E-2</v>
      </c>
      <c r="O157" s="84">
        <v>106552.705</v>
      </c>
      <c r="P157" s="86">
        <v>96.61</v>
      </c>
      <c r="Q157" s="74"/>
      <c r="R157" s="84">
        <v>102.940569579</v>
      </c>
      <c r="S157" s="85">
        <v>2.0620815948165752E-4</v>
      </c>
      <c r="T157" s="85">
        <f t="shared" si="4"/>
        <v>1.2461259474708685E-3</v>
      </c>
      <c r="U157" s="85">
        <f>R157/'סכום נכסי הקרן'!$C$42</f>
        <v>3.6052640698999055E-4</v>
      </c>
    </row>
    <row r="158" spans="2:21">
      <c r="B158" s="77" t="s">
        <v>694</v>
      </c>
      <c r="C158" s="74" t="s">
        <v>695</v>
      </c>
      <c r="D158" s="87" t="s">
        <v>111</v>
      </c>
      <c r="E158" s="87" t="s">
        <v>330</v>
      </c>
      <c r="F158" s="74" t="s">
        <v>696</v>
      </c>
      <c r="G158" s="87" t="s">
        <v>395</v>
      </c>
      <c r="H158" s="74" t="s">
        <v>690</v>
      </c>
      <c r="I158" s="74"/>
      <c r="J158" s="74"/>
      <c r="K158" s="84">
        <v>2.4299999999303226</v>
      </c>
      <c r="L158" s="87" t="s">
        <v>155</v>
      </c>
      <c r="M158" s="88">
        <v>2.1000000000000001E-2</v>
      </c>
      <c r="N158" s="88">
        <v>1.8399999999370659E-2</v>
      </c>
      <c r="O158" s="84">
        <v>17365.763286000001</v>
      </c>
      <c r="P158" s="86">
        <v>102.48</v>
      </c>
      <c r="Q158" s="74"/>
      <c r="R158" s="84">
        <v>17.796433368000002</v>
      </c>
      <c r="S158" s="85">
        <v>7.0661149680632966E-5</v>
      </c>
      <c r="T158" s="85">
        <f t="shared" si="4"/>
        <v>2.1543107331732929E-4</v>
      </c>
      <c r="U158" s="85">
        <f>R158/'סכום נכסי הקרן'!$C$42</f>
        <v>6.2328042341730996E-5</v>
      </c>
    </row>
    <row r="159" spans="2:21">
      <c r="B159" s="77" t="s">
        <v>697</v>
      </c>
      <c r="C159" s="74" t="s">
        <v>698</v>
      </c>
      <c r="D159" s="87" t="s">
        <v>111</v>
      </c>
      <c r="E159" s="87" t="s">
        <v>330</v>
      </c>
      <c r="F159" s="74" t="s">
        <v>696</v>
      </c>
      <c r="G159" s="87" t="s">
        <v>395</v>
      </c>
      <c r="H159" s="74" t="s">
        <v>690</v>
      </c>
      <c r="I159" s="74"/>
      <c r="J159" s="74"/>
      <c r="K159" s="84">
        <v>5.9300000000106481</v>
      </c>
      <c r="L159" s="87" t="s">
        <v>155</v>
      </c>
      <c r="M159" s="88">
        <v>2.75E-2</v>
      </c>
      <c r="N159" s="88">
        <v>1.7700000000026216E-2</v>
      </c>
      <c r="O159" s="84">
        <v>293671.432432</v>
      </c>
      <c r="P159" s="86">
        <v>105.22</v>
      </c>
      <c r="Q159" s="74"/>
      <c r="R159" s="84">
        <v>309.001077947</v>
      </c>
      <c r="S159" s="85">
        <v>7.3957749680668883E-4</v>
      </c>
      <c r="T159" s="85">
        <f t="shared" si="4"/>
        <v>3.74054915958787E-3</v>
      </c>
      <c r="U159" s="85">
        <f>R159/'סכום נכסי הקרן'!$C$42</f>
        <v>1.0822074216596551E-3</v>
      </c>
    </row>
    <row r="160" spans="2:21">
      <c r="B160" s="73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84"/>
      <c r="P160" s="86"/>
      <c r="Q160" s="74"/>
      <c r="R160" s="74"/>
      <c r="S160" s="74"/>
      <c r="T160" s="85"/>
      <c r="U160" s="74"/>
    </row>
    <row r="161" spans="2:21">
      <c r="B161" s="92" t="s">
        <v>42</v>
      </c>
      <c r="C161" s="72"/>
      <c r="D161" s="72"/>
      <c r="E161" s="72"/>
      <c r="F161" s="72"/>
      <c r="G161" s="72"/>
      <c r="H161" s="72"/>
      <c r="I161" s="72"/>
      <c r="J161" s="72"/>
      <c r="K161" s="81">
        <v>4.8742385405633524</v>
      </c>
      <c r="L161" s="72"/>
      <c r="M161" s="72"/>
      <c r="N161" s="94">
        <v>3.8599012062580026E-2</v>
      </c>
      <c r="O161" s="81"/>
      <c r="P161" s="83"/>
      <c r="Q161" s="81">
        <v>48.974407682999995</v>
      </c>
      <c r="R161" s="81">
        <f>SUM(R162:R243)</f>
        <v>12522.510407739999</v>
      </c>
      <c r="S161" s="72"/>
      <c r="T161" s="82">
        <f t="shared" ref="T161:T224" si="5">R161/$R$11</f>
        <v>0.15158868083183971</v>
      </c>
      <c r="U161" s="82">
        <f>R161/'סכום נכסי הקרן'!$C$42</f>
        <v>4.3857302346987079E-2</v>
      </c>
    </row>
    <row r="162" spans="2:21">
      <c r="B162" s="77" t="s">
        <v>699</v>
      </c>
      <c r="C162" s="74" t="s">
        <v>700</v>
      </c>
      <c r="D162" s="87" t="s">
        <v>111</v>
      </c>
      <c r="E162" s="87" t="s">
        <v>330</v>
      </c>
      <c r="F162" s="74" t="s">
        <v>391</v>
      </c>
      <c r="G162" s="87" t="s">
        <v>340</v>
      </c>
      <c r="H162" s="74" t="s">
        <v>348</v>
      </c>
      <c r="I162" s="74" t="s">
        <v>151</v>
      </c>
      <c r="J162" s="74"/>
      <c r="K162" s="84">
        <v>2.3807362581946547</v>
      </c>
      <c r="L162" s="87" t="s">
        <v>155</v>
      </c>
      <c r="M162" s="88">
        <v>1.8700000000000001E-2</v>
      </c>
      <c r="N162" s="88">
        <v>7.5995965708522449E-3</v>
      </c>
      <c r="O162" s="84">
        <v>1.8890000000000001E-3</v>
      </c>
      <c r="P162" s="86">
        <v>103.72</v>
      </c>
      <c r="Q162" s="74"/>
      <c r="R162" s="84">
        <v>1.9829999999999999E-6</v>
      </c>
      <c r="S162" s="85">
        <v>1.3659748337974164E-12</v>
      </c>
      <c r="T162" s="85">
        <f t="shared" si="5"/>
        <v>2.4004799700844412E-11</v>
      </c>
      <c r="U162" s="85">
        <f>R162/'סכום נכסי הקרן'!$C$42</f>
        <v>6.9450156336321315E-12</v>
      </c>
    </row>
    <row r="163" spans="2:21">
      <c r="B163" s="77" t="s">
        <v>701</v>
      </c>
      <c r="C163" s="74" t="s">
        <v>702</v>
      </c>
      <c r="D163" s="87" t="s">
        <v>111</v>
      </c>
      <c r="E163" s="87" t="s">
        <v>330</v>
      </c>
      <c r="F163" s="74" t="s">
        <v>391</v>
      </c>
      <c r="G163" s="87" t="s">
        <v>340</v>
      </c>
      <c r="H163" s="74" t="s">
        <v>348</v>
      </c>
      <c r="I163" s="74" t="s">
        <v>151</v>
      </c>
      <c r="J163" s="74"/>
      <c r="K163" s="84">
        <v>5.0899999999988355</v>
      </c>
      <c r="L163" s="87" t="s">
        <v>155</v>
      </c>
      <c r="M163" s="88">
        <v>2.6800000000000001E-2</v>
      </c>
      <c r="N163" s="88">
        <v>1.099999999999818E-2</v>
      </c>
      <c r="O163" s="84">
        <v>1002176.4923969998</v>
      </c>
      <c r="P163" s="86">
        <v>109.7</v>
      </c>
      <c r="Q163" s="74"/>
      <c r="R163" s="84">
        <v>1099.3876232919999</v>
      </c>
      <c r="S163" s="85">
        <v>4.1611820253601844E-4</v>
      </c>
      <c r="T163" s="85">
        <f t="shared" si="5"/>
        <v>1.3308411341760891E-2</v>
      </c>
      <c r="U163" s="85">
        <f>R163/'סכום נכסי הקרן'!$C$42</f>
        <v>3.8503601770976362E-3</v>
      </c>
    </row>
    <row r="164" spans="2:21">
      <c r="B164" s="77" t="s">
        <v>703</v>
      </c>
      <c r="C164" s="74" t="s">
        <v>704</v>
      </c>
      <c r="D164" s="87" t="s">
        <v>111</v>
      </c>
      <c r="E164" s="87" t="s">
        <v>330</v>
      </c>
      <c r="F164" s="74" t="s">
        <v>705</v>
      </c>
      <c r="G164" s="87" t="s">
        <v>395</v>
      </c>
      <c r="H164" s="74" t="s">
        <v>348</v>
      </c>
      <c r="I164" s="74" t="s">
        <v>151</v>
      </c>
      <c r="J164" s="74"/>
      <c r="K164" s="84">
        <v>3.8900000000518773</v>
      </c>
      <c r="L164" s="87" t="s">
        <v>155</v>
      </c>
      <c r="M164" s="88">
        <v>1.44E-2</v>
      </c>
      <c r="N164" s="88">
        <v>7.2000000001308621E-3</v>
      </c>
      <c r="O164" s="84">
        <v>20733.038064</v>
      </c>
      <c r="P164" s="86">
        <v>103.2</v>
      </c>
      <c r="Q164" s="74"/>
      <c r="R164" s="84">
        <v>21.396495301000002</v>
      </c>
      <c r="S164" s="85">
        <v>2.591629758E-5</v>
      </c>
      <c r="T164" s="85">
        <f t="shared" si="5"/>
        <v>2.5901088451869072E-4</v>
      </c>
      <c r="U164" s="85">
        <f>R164/'סכום נכסי הקרן'!$C$42</f>
        <v>7.4936457070288182E-5</v>
      </c>
    </row>
    <row r="165" spans="2:21">
      <c r="B165" s="77" t="s">
        <v>706</v>
      </c>
      <c r="C165" s="74" t="s">
        <v>707</v>
      </c>
      <c r="D165" s="87" t="s">
        <v>111</v>
      </c>
      <c r="E165" s="87" t="s">
        <v>330</v>
      </c>
      <c r="F165" s="74" t="s">
        <v>388</v>
      </c>
      <c r="G165" s="87" t="s">
        <v>340</v>
      </c>
      <c r="H165" s="74" t="s">
        <v>383</v>
      </c>
      <c r="I165" s="74" t="s">
        <v>151</v>
      </c>
      <c r="J165" s="74"/>
      <c r="K165" s="84">
        <v>1.4</v>
      </c>
      <c r="L165" s="87" t="s">
        <v>155</v>
      </c>
      <c r="M165" s="88">
        <v>6.4000000000000001E-2</v>
      </c>
      <c r="N165" s="88">
        <v>7.8008075370121135E-3</v>
      </c>
      <c r="O165" s="84">
        <v>3.4320000000000002E-3</v>
      </c>
      <c r="P165" s="86">
        <v>108.41</v>
      </c>
      <c r="Q165" s="74"/>
      <c r="R165" s="84">
        <v>3.715E-6</v>
      </c>
      <c r="S165" s="85">
        <v>2.1093000958772771E-11</v>
      </c>
      <c r="T165" s="85">
        <f t="shared" si="5"/>
        <v>4.4971170392656069E-11</v>
      </c>
      <c r="U165" s="85">
        <f>R165/'סכום נכסי הקרן'!$C$42</f>
        <v>1.3010959696895296E-11</v>
      </c>
    </row>
    <row r="166" spans="2:21">
      <c r="B166" s="77" t="s">
        <v>708</v>
      </c>
      <c r="C166" s="74" t="s">
        <v>709</v>
      </c>
      <c r="D166" s="87" t="s">
        <v>111</v>
      </c>
      <c r="E166" s="87" t="s">
        <v>330</v>
      </c>
      <c r="F166" s="74" t="s">
        <v>401</v>
      </c>
      <c r="G166" s="87" t="s">
        <v>395</v>
      </c>
      <c r="H166" s="74" t="s">
        <v>383</v>
      </c>
      <c r="I166" s="74" t="s">
        <v>151</v>
      </c>
      <c r="J166" s="74"/>
      <c r="K166" s="84">
        <v>2.9500000000095179</v>
      </c>
      <c r="L166" s="87" t="s">
        <v>155</v>
      </c>
      <c r="M166" s="88">
        <v>1.6299999999999999E-2</v>
      </c>
      <c r="N166" s="88">
        <v>5.8999999999908336E-3</v>
      </c>
      <c r="O166" s="84">
        <v>137582.441853</v>
      </c>
      <c r="P166" s="86">
        <v>103.09</v>
      </c>
      <c r="Q166" s="74"/>
      <c r="R166" s="84">
        <v>141.833739307</v>
      </c>
      <c r="S166" s="85">
        <v>1.6511762153835813E-4</v>
      </c>
      <c r="T166" s="85">
        <f t="shared" si="5"/>
        <v>1.7169392349401502E-3</v>
      </c>
      <c r="U166" s="85">
        <f>R166/'סכום נכסי הקרן'!$C$42</f>
        <v>4.9674106750560731E-4</v>
      </c>
    </row>
    <row r="167" spans="2:21">
      <c r="B167" s="77" t="s">
        <v>710</v>
      </c>
      <c r="C167" s="74" t="s">
        <v>711</v>
      </c>
      <c r="D167" s="87" t="s">
        <v>111</v>
      </c>
      <c r="E167" s="87" t="s">
        <v>330</v>
      </c>
      <c r="F167" s="74" t="s">
        <v>372</v>
      </c>
      <c r="G167" s="87" t="s">
        <v>340</v>
      </c>
      <c r="H167" s="74" t="s">
        <v>383</v>
      </c>
      <c r="I167" s="74" t="s">
        <v>151</v>
      </c>
      <c r="J167" s="74"/>
      <c r="K167" s="84">
        <v>0.74000679424753701</v>
      </c>
      <c r="L167" s="87" t="s">
        <v>155</v>
      </c>
      <c r="M167" s="88">
        <v>6.0999999999999999E-2</v>
      </c>
      <c r="N167" s="88">
        <v>1.1001019137130564E-3</v>
      </c>
      <c r="O167" s="84">
        <v>1.6685999999999999E-2</v>
      </c>
      <c r="P167" s="86">
        <v>106.01</v>
      </c>
      <c r="Q167" s="74"/>
      <c r="R167" s="84">
        <v>1.7662000000000001E-5</v>
      </c>
      <c r="S167" s="85">
        <v>4.8703752232109366E-11</v>
      </c>
      <c r="T167" s="85">
        <f t="shared" si="5"/>
        <v>2.1380371775910943E-10</v>
      </c>
      <c r="U167" s="85">
        <f>R167/'סכום נכסי הקרן'!$C$42</f>
        <v>6.1857219425724022E-11</v>
      </c>
    </row>
    <row r="168" spans="2:21">
      <c r="B168" s="77" t="s">
        <v>712</v>
      </c>
      <c r="C168" s="74" t="s">
        <v>713</v>
      </c>
      <c r="D168" s="87" t="s">
        <v>111</v>
      </c>
      <c r="E168" s="87" t="s">
        <v>330</v>
      </c>
      <c r="F168" s="74" t="s">
        <v>714</v>
      </c>
      <c r="G168" s="87" t="s">
        <v>715</v>
      </c>
      <c r="H168" s="74" t="s">
        <v>383</v>
      </c>
      <c r="I168" s="74" t="s">
        <v>151</v>
      </c>
      <c r="J168" s="74"/>
      <c r="K168" s="84">
        <v>4.700000000038469</v>
      </c>
      <c r="L168" s="87" t="s">
        <v>155</v>
      </c>
      <c r="M168" s="88">
        <v>2.6099999999999998E-2</v>
      </c>
      <c r="N168" s="88">
        <v>9.3000000000664478E-3</v>
      </c>
      <c r="O168" s="84">
        <v>52892.836130999996</v>
      </c>
      <c r="P168" s="86">
        <v>108.12</v>
      </c>
      <c r="Q168" s="74"/>
      <c r="R168" s="84">
        <v>57.187734434000006</v>
      </c>
      <c r="S168" s="85">
        <v>9.2315638905508332E-5</v>
      </c>
      <c r="T168" s="85">
        <f t="shared" si="5"/>
        <v>6.9227438751046544E-4</v>
      </c>
      <c r="U168" s="85">
        <f>R168/'סכום נכסי הקרן'!$C$42</f>
        <v>2.0028729687147386E-4</v>
      </c>
    </row>
    <row r="169" spans="2:21">
      <c r="B169" s="77" t="s">
        <v>716</v>
      </c>
      <c r="C169" s="74" t="s">
        <v>717</v>
      </c>
      <c r="D169" s="87" t="s">
        <v>111</v>
      </c>
      <c r="E169" s="87" t="s">
        <v>330</v>
      </c>
      <c r="F169" s="74" t="s">
        <v>718</v>
      </c>
      <c r="G169" s="87" t="s">
        <v>515</v>
      </c>
      <c r="H169" s="74" t="s">
        <v>425</v>
      </c>
      <c r="I169" s="74" t="s">
        <v>334</v>
      </c>
      <c r="J169" s="74"/>
      <c r="K169" s="84">
        <v>10.819999999956522</v>
      </c>
      <c r="L169" s="87" t="s">
        <v>155</v>
      </c>
      <c r="M169" s="88">
        <v>2.4E-2</v>
      </c>
      <c r="N169" s="88">
        <v>3.0099999999863125E-2</v>
      </c>
      <c r="O169" s="84">
        <v>132268.37228499999</v>
      </c>
      <c r="P169" s="86">
        <v>93.9</v>
      </c>
      <c r="Q169" s="74"/>
      <c r="R169" s="84">
        <v>124.20000157</v>
      </c>
      <c r="S169" s="85">
        <v>1.7259074896590419E-4</v>
      </c>
      <c r="T169" s="85">
        <f t="shared" si="5"/>
        <v>1.5034776402079735E-3</v>
      </c>
      <c r="U169" s="85">
        <f>R169/'סכום נכסי הקרן'!$C$42</f>
        <v>4.3498283035843939E-4</v>
      </c>
    </row>
    <row r="170" spans="2:21">
      <c r="B170" s="77" t="s">
        <v>719</v>
      </c>
      <c r="C170" s="74" t="s">
        <v>720</v>
      </c>
      <c r="D170" s="87" t="s">
        <v>111</v>
      </c>
      <c r="E170" s="87" t="s">
        <v>330</v>
      </c>
      <c r="F170" s="74" t="s">
        <v>430</v>
      </c>
      <c r="G170" s="87" t="s">
        <v>395</v>
      </c>
      <c r="H170" s="74" t="s">
        <v>431</v>
      </c>
      <c r="I170" s="74" t="s">
        <v>151</v>
      </c>
      <c r="J170" s="74"/>
      <c r="K170" s="84">
        <v>3.2400000000066216</v>
      </c>
      <c r="L170" s="87" t="s">
        <v>155</v>
      </c>
      <c r="M170" s="88">
        <v>3.39E-2</v>
      </c>
      <c r="N170" s="88">
        <v>1.6100000000061697E-2</v>
      </c>
      <c r="O170" s="84">
        <v>185517.25549800001</v>
      </c>
      <c r="P170" s="86">
        <v>107.47</v>
      </c>
      <c r="Q170" s="74"/>
      <c r="R170" s="84">
        <v>199.37539445699997</v>
      </c>
      <c r="S170" s="85">
        <v>1.709501015865182E-4</v>
      </c>
      <c r="T170" s="85">
        <f t="shared" si="5"/>
        <v>2.4134979370736909E-3</v>
      </c>
      <c r="U170" s="85">
        <f>R170/'סכום נכסי הקרן'!$C$42</f>
        <v>6.9826789282170342E-4</v>
      </c>
    </row>
    <row r="171" spans="2:21">
      <c r="B171" s="77" t="s">
        <v>721</v>
      </c>
      <c r="C171" s="74" t="s">
        <v>722</v>
      </c>
      <c r="D171" s="87" t="s">
        <v>111</v>
      </c>
      <c r="E171" s="87" t="s">
        <v>330</v>
      </c>
      <c r="F171" s="74" t="s">
        <v>430</v>
      </c>
      <c r="G171" s="87" t="s">
        <v>395</v>
      </c>
      <c r="H171" s="74" t="s">
        <v>431</v>
      </c>
      <c r="I171" s="74" t="s">
        <v>151</v>
      </c>
      <c r="J171" s="74"/>
      <c r="K171" s="84">
        <v>8.8899999999989383</v>
      </c>
      <c r="L171" s="87" t="s">
        <v>155</v>
      </c>
      <c r="M171" s="88">
        <v>2.4399999999999998E-2</v>
      </c>
      <c r="N171" s="88">
        <v>2.7699999999977826E-2</v>
      </c>
      <c r="O171" s="84">
        <v>211483.09635699997</v>
      </c>
      <c r="P171" s="86">
        <v>98.11</v>
      </c>
      <c r="Q171" s="74"/>
      <c r="R171" s="84">
        <v>207.486055698</v>
      </c>
      <c r="S171" s="85">
        <v>4.5480235775698921E-4</v>
      </c>
      <c r="T171" s="85">
        <f t="shared" si="5"/>
        <v>2.5116798828788388E-3</v>
      </c>
      <c r="U171" s="85">
        <f>R171/'סכום נכסי הקרן'!$C$42</f>
        <v>7.2667367654224773E-4</v>
      </c>
    </row>
    <row r="172" spans="2:21">
      <c r="B172" s="77" t="s">
        <v>723</v>
      </c>
      <c r="C172" s="74" t="s">
        <v>724</v>
      </c>
      <c r="D172" s="87" t="s">
        <v>111</v>
      </c>
      <c r="E172" s="87" t="s">
        <v>330</v>
      </c>
      <c r="F172" s="74" t="s">
        <v>353</v>
      </c>
      <c r="G172" s="87" t="s">
        <v>340</v>
      </c>
      <c r="H172" s="74" t="s">
        <v>431</v>
      </c>
      <c r="I172" s="74" t="s">
        <v>151</v>
      </c>
      <c r="J172" s="74"/>
      <c r="K172" s="84">
        <v>0.58999999999922115</v>
      </c>
      <c r="L172" s="87" t="s">
        <v>155</v>
      </c>
      <c r="M172" s="88">
        <v>1.4800000000000001E-2</v>
      </c>
      <c r="N172" s="88">
        <v>9.2999999999844214E-3</v>
      </c>
      <c r="O172" s="84">
        <v>357567.91566900001</v>
      </c>
      <c r="P172" s="86">
        <v>100.54</v>
      </c>
      <c r="Q172" s="74"/>
      <c r="R172" s="84">
        <v>359.49878819200001</v>
      </c>
      <c r="S172" s="85">
        <v>4.4136276264246182E-4</v>
      </c>
      <c r="T172" s="85">
        <f t="shared" si="5"/>
        <v>4.3518388316920072E-3</v>
      </c>
      <c r="U172" s="85">
        <f>R172/'סכום נכסי הקרן'!$C$42</f>
        <v>1.2590643995286164E-3</v>
      </c>
    </row>
    <row r="173" spans="2:21">
      <c r="B173" s="77" t="s">
        <v>725</v>
      </c>
      <c r="C173" s="74" t="s">
        <v>726</v>
      </c>
      <c r="D173" s="87" t="s">
        <v>111</v>
      </c>
      <c r="E173" s="87" t="s">
        <v>330</v>
      </c>
      <c r="F173" s="74" t="s">
        <v>449</v>
      </c>
      <c r="G173" s="87" t="s">
        <v>395</v>
      </c>
      <c r="H173" s="74" t="s">
        <v>425</v>
      </c>
      <c r="I173" s="74" t="s">
        <v>334</v>
      </c>
      <c r="J173" s="74"/>
      <c r="K173" s="84">
        <v>8.0699999999946712</v>
      </c>
      <c r="L173" s="87" t="s">
        <v>155</v>
      </c>
      <c r="M173" s="88">
        <v>2.5499999999999998E-2</v>
      </c>
      <c r="N173" s="88">
        <v>2.4599999999989863E-2</v>
      </c>
      <c r="O173" s="84">
        <v>645490.59271300002</v>
      </c>
      <c r="P173" s="86">
        <v>100.86</v>
      </c>
      <c r="Q173" s="74"/>
      <c r="R173" s="84">
        <v>651.04183332100001</v>
      </c>
      <c r="S173" s="85">
        <v>6.608238876247228E-4</v>
      </c>
      <c r="T173" s="85">
        <f t="shared" si="5"/>
        <v>7.8810533563999693E-3</v>
      </c>
      <c r="U173" s="85">
        <f>R173/'סכום נכסי הקרן'!$C$42</f>
        <v>2.2801289513680635E-3</v>
      </c>
    </row>
    <row r="174" spans="2:21">
      <c r="B174" s="77" t="s">
        <v>727</v>
      </c>
      <c r="C174" s="74" t="s">
        <v>728</v>
      </c>
      <c r="D174" s="87" t="s">
        <v>111</v>
      </c>
      <c r="E174" s="87" t="s">
        <v>330</v>
      </c>
      <c r="F174" s="74" t="s">
        <v>729</v>
      </c>
      <c r="G174" s="87" t="s">
        <v>548</v>
      </c>
      <c r="H174" s="74" t="s">
        <v>425</v>
      </c>
      <c r="I174" s="74" t="s">
        <v>334</v>
      </c>
      <c r="J174" s="74"/>
      <c r="K174" s="84">
        <v>3.0599999999942344</v>
      </c>
      <c r="L174" s="87" t="s">
        <v>155</v>
      </c>
      <c r="M174" s="88">
        <v>4.3499999999999997E-2</v>
      </c>
      <c r="N174" s="88">
        <v>0.15229999999980237</v>
      </c>
      <c r="O174" s="84">
        <v>195565.17262600001</v>
      </c>
      <c r="P174" s="86">
        <v>72.72</v>
      </c>
      <c r="Q174" s="74"/>
      <c r="R174" s="84">
        <v>142.21500004700002</v>
      </c>
      <c r="S174" s="85">
        <v>1.2510354145727509E-4</v>
      </c>
      <c r="T174" s="85">
        <f t="shared" si="5"/>
        <v>1.7215545086151356E-3</v>
      </c>
      <c r="U174" s="85">
        <f>R174/'סכום נכסי הקרן'!$C$42</f>
        <v>4.9807634829218835E-4</v>
      </c>
    </row>
    <row r="175" spans="2:21">
      <c r="B175" s="77" t="s">
        <v>730</v>
      </c>
      <c r="C175" s="74" t="s">
        <v>731</v>
      </c>
      <c r="D175" s="87" t="s">
        <v>111</v>
      </c>
      <c r="E175" s="87" t="s">
        <v>330</v>
      </c>
      <c r="F175" s="74" t="s">
        <v>394</v>
      </c>
      <c r="G175" s="87" t="s">
        <v>395</v>
      </c>
      <c r="H175" s="74" t="s">
        <v>425</v>
      </c>
      <c r="I175" s="74" t="s">
        <v>334</v>
      </c>
      <c r="J175" s="74"/>
      <c r="K175" s="84">
        <v>3.5500000000049905</v>
      </c>
      <c r="L175" s="87" t="s">
        <v>155</v>
      </c>
      <c r="M175" s="88">
        <v>2.5499999999999998E-2</v>
      </c>
      <c r="N175" s="88">
        <v>1.0799999999992515E-2</v>
      </c>
      <c r="O175" s="84">
        <v>152218.15</v>
      </c>
      <c r="P175" s="86">
        <v>105.32</v>
      </c>
      <c r="Q175" s="74"/>
      <c r="R175" s="84">
        <v>160.31616066399999</v>
      </c>
      <c r="S175" s="85">
        <v>4.5365127853609107E-4</v>
      </c>
      <c r="T175" s="85">
        <f t="shared" si="5"/>
        <v>1.9406743951324819E-3</v>
      </c>
      <c r="U175" s="85">
        <f>R175/'סכום נכסי הקרן'!$C$42</f>
        <v>5.6147162992201745E-4</v>
      </c>
    </row>
    <row r="176" spans="2:21">
      <c r="B176" s="77" t="s">
        <v>732</v>
      </c>
      <c r="C176" s="74" t="s">
        <v>733</v>
      </c>
      <c r="D176" s="87" t="s">
        <v>111</v>
      </c>
      <c r="E176" s="87" t="s">
        <v>330</v>
      </c>
      <c r="F176" s="74" t="s">
        <v>458</v>
      </c>
      <c r="G176" s="87" t="s">
        <v>459</v>
      </c>
      <c r="H176" s="74" t="s">
        <v>431</v>
      </c>
      <c r="I176" s="74" t="s">
        <v>151</v>
      </c>
      <c r="J176" s="74"/>
      <c r="K176" s="84">
        <v>2.1699999999988098</v>
      </c>
      <c r="L176" s="87" t="s">
        <v>155</v>
      </c>
      <c r="M176" s="88">
        <v>4.8000000000000001E-2</v>
      </c>
      <c r="N176" s="88">
        <v>8.099999999975115E-3</v>
      </c>
      <c r="O176" s="84">
        <v>84021.623466000005</v>
      </c>
      <c r="P176" s="86">
        <v>110</v>
      </c>
      <c r="Q176" s="74"/>
      <c r="R176" s="84">
        <v>92.423788583000004</v>
      </c>
      <c r="S176" s="85">
        <v>4.2258653623203001E-5</v>
      </c>
      <c r="T176" s="85">
        <f t="shared" si="5"/>
        <v>1.1188172125709056E-3</v>
      </c>
      <c r="U176" s="85">
        <f>R176/'סכום נכסי הקרן'!$C$42</f>
        <v>3.2369372497652343E-4</v>
      </c>
    </row>
    <row r="177" spans="2:21">
      <c r="B177" s="77" t="s">
        <v>734</v>
      </c>
      <c r="C177" s="74" t="s">
        <v>735</v>
      </c>
      <c r="D177" s="87" t="s">
        <v>111</v>
      </c>
      <c r="E177" s="87" t="s">
        <v>330</v>
      </c>
      <c r="F177" s="74" t="s">
        <v>458</v>
      </c>
      <c r="G177" s="87" t="s">
        <v>459</v>
      </c>
      <c r="H177" s="74" t="s">
        <v>431</v>
      </c>
      <c r="I177" s="74" t="s">
        <v>151</v>
      </c>
      <c r="J177" s="74"/>
      <c r="K177" s="84">
        <v>0.64998952221290862</v>
      </c>
      <c r="L177" s="87" t="s">
        <v>155</v>
      </c>
      <c r="M177" s="88">
        <v>4.4999999999999998E-2</v>
      </c>
      <c r="N177" s="88">
        <v>1.0001047778709137E-3</v>
      </c>
      <c r="O177" s="84">
        <v>1.8266000000000001E-2</v>
      </c>
      <c r="P177" s="86">
        <v>104.43</v>
      </c>
      <c r="Q177" s="74"/>
      <c r="R177" s="84">
        <v>1.9088000000000001E-5</v>
      </c>
      <c r="S177" s="85">
        <v>3.0417579782450861E-11</v>
      </c>
      <c r="T177" s="85">
        <f t="shared" si="5"/>
        <v>2.3106586822476961E-10</v>
      </c>
      <c r="U177" s="85">
        <f>R177/'סכום נכסי הקרן'!$C$42</f>
        <v>6.6851466674115054E-11</v>
      </c>
    </row>
    <row r="178" spans="2:21">
      <c r="B178" s="77" t="s">
        <v>736</v>
      </c>
      <c r="C178" s="74" t="s">
        <v>737</v>
      </c>
      <c r="D178" s="87" t="s">
        <v>111</v>
      </c>
      <c r="E178" s="87" t="s">
        <v>330</v>
      </c>
      <c r="F178" s="74" t="s">
        <v>738</v>
      </c>
      <c r="G178" s="87" t="s">
        <v>148</v>
      </c>
      <c r="H178" s="74" t="s">
        <v>431</v>
      </c>
      <c r="I178" s="74" t="s">
        <v>151</v>
      </c>
      <c r="J178" s="74"/>
      <c r="K178" s="84">
        <v>2.1395730706075535</v>
      </c>
      <c r="L178" s="87" t="s">
        <v>155</v>
      </c>
      <c r="M178" s="88">
        <v>1.49E-2</v>
      </c>
      <c r="N178" s="88">
        <v>7.1975916803503001E-3</v>
      </c>
      <c r="O178" s="84">
        <v>1.7960000000000001E-3</v>
      </c>
      <c r="P178" s="86">
        <v>101.78</v>
      </c>
      <c r="Q178" s="74"/>
      <c r="R178" s="84">
        <v>1.827E-6</v>
      </c>
      <c r="S178" s="85">
        <v>1.8740496261050304E-12</v>
      </c>
      <c r="T178" s="85">
        <f t="shared" si="5"/>
        <v>2.211637370319856E-11</v>
      </c>
      <c r="U178" s="85">
        <f>R178/'סכום נכסי הקרן'!$C$42</f>
        <v>6.3986603946777131E-12</v>
      </c>
    </row>
    <row r="179" spans="2:21">
      <c r="B179" s="77" t="s">
        <v>739</v>
      </c>
      <c r="C179" s="74" t="s">
        <v>740</v>
      </c>
      <c r="D179" s="87" t="s">
        <v>111</v>
      </c>
      <c r="E179" s="87" t="s">
        <v>330</v>
      </c>
      <c r="F179" s="74" t="s">
        <v>353</v>
      </c>
      <c r="G179" s="87" t="s">
        <v>340</v>
      </c>
      <c r="H179" s="74" t="s">
        <v>425</v>
      </c>
      <c r="I179" s="74" t="s">
        <v>334</v>
      </c>
      <c r="J179" s="74"/>
      <c r="K179" s="84">
        <v>0.55999999999484551</v>
      </c>
      <c r="L179" s="87" t="s">
        <v>155</v>
      </c>
      <c r="M179" s="88">
        <v>3.2500000000000001E-2</v>
      </c>
      <c r="N179" s="88">
        <v>2.9099999999561876E-2</v>
      </c>
      <c r="O179" s="84">
        <f>38724.4098/50000</f>
        <v>0.77448819600000007</v>
      </c>
      <c r="P179" s="86">
        <v>5010000</v>
      </c>
      <c r="Q179" s="74"/>
      <c r="R179" s="84">
        <v>38.801857770000005</v>
      </c>
      <c r="S179" s="85">
        <f>209.151551714826%/50000</f>
        <v>4.1830310342965198E-5</v>
      </c>
      <c r="T179" s="85">
        <f t="shared" si="5"/>
        <v>4.6970792929374865E-4</v>
      </c>
      <c r="U179" s="85">
        <f>R179/'סכום נכסי הקרן'!$C$42</f>
        <v>1.3589486072951106E-4</v>
      </c>
    </row>
    <row r="180" spans="2:21">
      <c r="B180" s="77" t="s">
        <v>741</v>
      </c>
      <c r="C180" s="74" t="s">
        <v>742</v>
      </c>
      <c r="D180" s="87" t="s">
        <v>111</v>
      </c>
      <c r="E180" s="87" t="s">
        <v>330</v>
      </c>
      <c r="F180" s="74" t="s">
        <v>743</v>
      </c>
      <c r="G180" s="87" t="s">
        <v>548</v>
      </c>
      <c r="H180" s="74" t="s">
        <v>425</v>
      </c>
      <c r="I180" s="74" t="s">
        <v>334</v>
      </c>
      <c r="J180" s="74"/>
      <c r="K180" s="84">
        <v>2.8699999999937775</v>
      </c>
      <c r="L180" s="87" t="s">
        <v>155</v>
      </c>
      <c r="M180" s="88">
        <v>3.3799999999999997E-2</v>
      </c>
      <c r="N180" s="88">
        <v>3.0499999999922221E-2</v>
      </c>
      <c r="O180" s="84">
        <v>127315.27283700001</v>
      </c>
      <c r="P180" s="86">
        <v>100.99</v>
      </c>
      <c r="Q180" s="74"/>
      <c r="R180" s="84">
        <v>128.57569404000003</v>
      </c>
      <c r="S180" s="85">
        <v>1.5554155422349119E-4</v>
      </c>
      <c r="T180" s="85">
        <f t="shared" si="5"/>
        <v>1.5564466877595841E-3</v>
      </c>
      <c r="U180" s="85">
        <f>R180/'סכום נכסי הקרן'!$C$42</f>
        <v>4.5030771821124655E-4</v>
      </c>
    </row>
    <row r="181" spans="2:21">
      <c r="B181" s="77" t="s">
        <v>744</v>
      </c>
      <c r="C181" s="74" t="s">
        <v>745</v>
      </c>
      <c r="D181" s="87" t="s">
        <v>111</v>
      </c>
      <c r="E181" s="87" t="s">
        <v>330</v>
      </c>
      <c r="F181" s="74" t="s">
        <v>511</v>
      </c>
      <c r="G181" s="87" t="s">
        <v>142</v>
      </c>
      <c r="H181" s="74" t="s">
        <v>425</v>
      </c>
      <c r="I181" s="74" t="s">
        <v>334</v>
      </c>
      <c r="J181" s="74"/>
      <c r="K181" s="84">
        <v>4.3499999999978085</v>
      </c>
      <c r="L181" s="87" t="s">
        <v>155</v>
      </c>
      <c r="M181" s="88">
        <v>5.0900000000000001E-2</v>
      </c>
      <c r="N181" s="88">
        <v>1.2199999999988314E-2</v>
      </c>
      <c r="O181" s="84">
        <v>112838.89632999999</v>
      </c>
      <c r="P181" s="86">
        <v>121.35</v>
      </c>
      <c r="Q181" s="74"/>
      <c r="R181" s="84">
        <v>136.92999817800001</v>
      </c>
      <c r="S181" s="85">
        <v>1.0929434963665249E-4</v>
      </c>
      <c r="T181" s="85">
        <f t="shared" si="5"/>
        <v>1.6575780026726577E-3</v>
      </c>
      <c r="U181" s="85">
        <f>R181/'סכום נכסי הקרן'!$C$42</f>
        <v>4.7956680688826493E-4</v>
      </c>
    </row>
    <row r="182" spans="2:21">
      <c r="B182" s="77" t="s">
        <v>746</v>
      </c>
      <c r="C182" s="74" t="s">
        <v>747</v>
      </c>
      <c r="D182" s="87" t="s">
        <v>111</v>
      </c>
      <c r="E182" s="87" t="s">
        <v>330</v>
      </c>
      <c r="F182" s="74" t="s">
        <v>511</v>
      </c>
      <c r="G182" s="87" t="s">
        <v>142</v>
      </c>
      <c r="H182" s="74" t="s">
        <v>425</v>
      </c>
      <c r="I182" s="74" t="s">
        <v>334</v>
      </c>
      <c r="J182" s="74"/>
      <c r="K182" s="84">
        <v>6.4899999999956384</v>
      </c>
      <c r="L182" s="87" t="s">
        <v>155</v>
      </c>
      <c r="M182" s="88">
        <v>3.5200000000000002E-2</v>
      </c>
      <c r="N182" s="88">
        <v>1.7999999999999999E-2</v>
      </c>
      <c r="O182" s="84">
        <v>152218.15</v>
      </c>
      <c r="P182" s="86">
        <v>112.98</v>
      </c>
      <c r="Q182" s="74"/>
      <c r="R182" s="84">
        <v>171.976067575</v>
      </c>
      <c r="S182" s="85">
        <v>1.7804541839193394E-4</v>
      </c>
      <c r="T182" s="85">
        <f t="shared" si="5"/>
        <v>2.08182100629186E-3</v>
      </c>
      <c r="U182" s="85">
        <f>R182/'סכום נכסי הקרן'!$C$42</f>
        <v>6.0230785573320777E-4</v>
      </c>
    </row>
    <row r="183" spans="2:21">
      <c r="B183" s="77" t="s">
        <v>748</v>
      </c>
      <c r="C183" s="74" t="s">
        <v>749</v>
      </c>
      <c r="D183" s="87" t="s">
        <v>111</v>
      </c>
      <c r="E183" s="87" t="s">
        <v>330</v>
      </c>
      <c r="F183" s="74" t="s">
        <v>750</v>
      </c>
      <c r="G183" s="87" t="s">
        <v>751</v>
      </c>
      <c r="H183" s="74" t="s">
        <v>425</v>
      </c>
      <c r="I183" s="74" t="s">
        <v>334</v>
      </c>
      <c r="J183" s="74"/>
      <c r="K183" s="84">
        <v>2.3899791296763544</v>
      </c>
      <c r="L183" s="87" t="s">
        <v>155</v>
      </c>
      <c r="M183" s="88">
        <v>1.0500000000000001E-2</v>
      </c>
      <c r="N183" s="88">
        <v>9.099928355605396E-3</v>
      </c>
      <c r="O183" s="84">
        <v>6.3932000000000003E-2</v>
      </c>
      <c r="P183" s="86">
        <v>100.42</v>
      </c>
      <c r="Q183" s="74"/>
      <c r="R183" s="84">
        <v>6.4206000000000002E-5</v>
      </c>
      <c r="S183" s="85">
        <v>1.3798015288922653E-10</v>
      </c>
      <c r="T183" s="85">
        <f t="shared" si="5"/>
        <v>7.772325615695493E-10</v>
      </c>
      <c r="U183" s="85">
        <f>R183/'סכום נכסי הקרן'!$C$42</f>
        <v>2.2486720815581677E-10</v>
      </c>
    </row>
    <row r="184" spans="2:21">
      <c r="B184" s="77" t="s">
        <v>752</v>
      </c>
      <c r="C184" s="74" t="s">
        <v>753</v>
      </c>
      <c r="D184" s="87" t="s">
        <v>111</v>
      </c>
      <c r="E184" s="87" t="s">
        <v>330</v>
      </c>
      <c r="F184" s="74" t="s">
        <v>519</v>
      </c>
      <c r="G184" s="87" t="s">
        <v>182</v>
      </c>
      <c r="H184" s="74" t="s">
        <v>520</v>
      </c>
      <c r="I184" s="74" t="s">
        <v>151</v>
      </c>
      <c r="J184" s="74"/>
      <c r="K184" s="84">
        <v>7.0599999999343481</v>
      </c>
      <c r="L184" s="87" t="s">
        <v>155</v>
      </c>
      <c r="M184" s="88">
        <v>3.2000000000000001E-2</v>
      </c>
      <c r="N184" s="88">
        <v>2.3399999999785995E-2</v>
      </c>
      <c r="O184" s="84">
        <v>51754.171000000002</v>
      </c>
      <c r="P184" s="86">
        <v>106.54</v>
      </c>
      <c r="Q184" s="74"/>
      <c r="R184" s="84">
        <v>55.138892627000004</v>
      </c>
      <c r="S184" s="85">
        <v>6.1998417520598591E-5</v>
      </c>
      <c r="T184" s="85">
        <f t="shared" si="5"/>
        <v>6.6747255332198785E-4</v>
      </c>
      <c r="U184" s="85">
        <f>R184/'סכום נכסי הקרן'!$C$42</f>
        <v>1.9311168498017072E-4</v>
      </c>
    </row>
    <row r="185" spans="2:21">
      <c r="B185" s="77" t="s">
        <v>754</v>
      </c>
      <c r="C185" s="74" t="s">
        <v>755</v>
      </c>
      <c r="D185" s="87" t="s">
        <v>111</v>
      </c>
      <c r="E185" s="87" t="s">
        <v>330</v>
      </c>
      <c r="F185" s="74" t="s">
        <v>519</v>
      </c>
      <c r="G185" s="87" t="s">
        <v>182</v>
      </c>
      <c r="H185" s="74" t="s">
        <v>520</v>
      </c>
      <c r="I185" s="74" t="s">
        <v>151</v>
      </c>
      <c r="J185" s="74"/>
      <c r="K185" s="84">
        <v>3.9499999999990112</v>
      </c>
      <c r="L185" s="87" t="s">
        <v>155</v>
      </c>
      <c r="M185" s="88">
        <v>3.6499999999999998E-2</v>
      </c>
      <c r="N185" s="88">
        <v>1.6300000000000987E-2</v>
      </c>
      <c r="O185" s="84">
        <v>372964.65540399996</v>
      </c>
      <c r="P185" s="86">
        <v>108.5</v>
      </c>
      <c r="Q185" s="74"/>
      <c r="R185" s="84">
        <v>404.66663869199999</v>
      </c>
      <c r="S185" s="85">
        <v>1.7387889022307091E-4</v>
      </c>
      <c r="T185" s="85">
        <f t="shared" si="5"/>
        <v>4.8986089800380408E-3</v>
      </c>
      <c r="U185" s="85">
        <f>R185/'סכום נכסי הקרן'!$C$42</f>
        <v>1.4172547312785201E-3</v>
      </c>
    </row>
    <row r="186" spans="2:21">
      <c r="B186" s="77" t="s">
        <v>756</v>
      </c>
      <c r="C186" s="74" t="s">
        <v>757</v>
      </c>
      <c r="D186" s="87" t="s">
        <v>111</v>
      </c>
      <c r="E186" s="87" t="s">
        <v>330</v>
      </c>
      <c r="F186" s="74" t="s">
        <v>440</v>
      </c>
      <c r="G186" s="87" t="s">
        <v>395</v>
      </c>
      <c r="H186" s="74" t="s">
        <v>520</v>
      </c>
      <c r="I186" s="74" t="s">
        <v>151</v>
      </c>
      <c r="J186" s="74"/>
      <c r="K186" s="84">
        <v>2.6899999999975557</v>
      </c>
      <c r="L186" s="87" t="s">
        <v>155</v>
      </c>
      <c r="M186" s="88">
        <v>3.5000000000000003E-2</v>
      </c>
      <c r="N186" s="88">
        <v>1.2300000000034738E-2</v>
      </c>
      <c r="O186" s="84">
        <v>67460.481362999999</v>
      </c>
      <c r="P186" s="86">
        <v>106.19</v>
      </c>
      <c r="Q186" s="84">
        <v>6.0834900910000007</v>
      </c>
      <c r="R186" s="84">
        <v>77.719775251000002</v>
      </c>
      <c r="S186" s="85">
        <v>5.4341842010662716E-4</v>
      </c>
      <c r="T186" s="85">
        <f t="shared" si="5"/>
        <v>9.4082079561013602E-4</v>
      </c>
      <c r="U186" s="85">
        <f>R186/'סכום נכסי הקרן'!$C$42</f>
        <v>2.7219619473553742E-4</v>
      </c>
    </row>
    <row r="187" spans="2:21">
      <c r="B187" s="77" t="s">
        <v>758</v>
      </c>
      <c r="C187" s="74" t="s">
        <v>759</v>
      </c>
      <c r="D187" s="87" t="s">
        <v>111</v>
      </c>
      <c r="E187" s="87" t="s">
        <v>330</v>
      </c>
      <c r="F187" s="74" t="s">
        <v>388</v>
      </c>
      <c r="G187" s="87" t="s">
        <v>340</v>
      </c>
      <c r="H187" s="74" t="s">
        <v>520</v>
      </c>
      <c r="I187" s="74" t="s">
        <v>151</v>
      </c>
      <c r="J187" s="74"/>
      <c r="K187" s="84">
        <v>1.4900000000003104</v>
      </c>
      <c r="L187" s="87" t="s">
        <v>155</v>
      </c>
      <c r="M187" s="88">
        <v>3.6000000000000004E-2</v>
      </c>
      <c r="N187" s="88">
        <v>3.0400000000013444E-2</v>
      </c>
      <c r="O187" s="84">
        <f>377326.8711/50000</f>
        <v>7.5465374220000001</v>
      </c>
      <c r="P187" s="86">
        <v>5124999</v>
      </c>
      <c r="Q187" s="74"/>
      <c r="R187" s="84">
        <v>386.75996741199998</v>
      </c>
      <c r="S187" s="85">
        <f>2406.26791084752%/50000</f>
        <v>4.8125358216950396E-4</v>
      </c>
      <c r="T187" s="85">
        <f t="shared" si="5"/>
        <v>4.6818434442915642E-3</v>
      </c>
      <c r="U187" s="85">
        <f>R187/'סכום נכסי הקרן'!$C$42</f>
        <v>1.3545406052140161E-3</v>
      </c>
    </row>
    <row r="188" spans="2:21">
      <c r="B188" s="77" t="s">
        <v>760</v>
      </c>
      <c r="C188" s="74" t="s">
        <v>761</v>
      </c>
      <c r="D188" s="87" t="s">
        <v>111</v>
      </c>
      <c r="E188" s="87" t="s">
        <v>330</v>
      </c>
      <c r="F188" s="74" t="s">
        <v>454</v>
      </c>
      <c r="G188" s="87" t="s">
        <v>455</v>
      </c>
      <c r="H188" s="74" t="s">
        <v>516</v>
      </c>
      <c r="I188" s="74" t="s">
        <v>334</v>
      </c>
      <c r="J188" s="74"/>
      <c r="K188" s="84">
        <v>9.8400000000066381</v>
      </c>
      <c r="L188" s="87" t="s">
        <v>155</v>
      </c>
      <c r="M188" s="88">
        <v>3.0499999999999999E-2</v>
      </c>
      <c r="N188" s="88">
        <v>2.5800000000017097E-2</v>
      </c>
      <c r="O188" s="84">
        <v>189671.93421599999</v>
      </c>
      <c r="P188" s="86">
        <v>104.85</v>
      </c>
      <c r="Q188" s="74"/>
      <c r="R188" s="84">
        <v>198.87102302699998</v>
      </c>
      <c r="S188" s="85">
        <v>6.0017540946911269E-4</v>
      </c>
      <c r="T188" s="85">
        <f t="shared" si="5"/>
        <v>2.4073923721962438E-3</v>
      </c>
      <c r="U188" s="85">
        <f>R188/'סכום נכסי הקרן'!$C$42</f>
        <v>6.965014442758097E-4</v>
      </c>
    </row>
    <row r="189" spans="2:21">
      <c r="B189" s="77" t="s">
        <v>762</v>
      </c>
      <c r="C189" s="74" t="s">
        <v>763</v>
      </c>
      <c r="D189" s="87" t="s">
        <v>111</v>
      </c>
      <c r="E189" s="87" t="s">
        <v>330</v>
      </c>
      <c r="F189" s="74" t="s">
        <v>454</v>
      </c>
      <c r="G189" s="87" t="s">
        <v>455</v>
      </c>
      <c r="H189" s="74" t="s">
        <v>516</v>
      </c>
      <c r="I189" s="74" t="s">
        <v>334</v>
      </c>
      <c r="J189" s="74"/>
      <c r="K189" s="84">
        <v>9.1099999999911727</v>
      </c>
      <c r="L189" s="87" t="s">
        <v>155</v>
      </c>
      <c r="M189" s="88">
        <v>3.0499999999999999E-2</v>
      </c>
      <c r="N189" s="88">
        <v>2.5299999999963928E-2</v>
      </c>
      <c r="O189" s="84">
        <v>325024.38626100001</v>
      </c>
      <c r="P189" s="86">
        <v>104.9</v>
      </c>
      <c r="Q189" s="74"/>
      <c r="R189" s="84">
        <v>340.95058119099997</v>
      </c>
      <c r="S189" s="85">
        <v>4.4592824148152315E-4</v>
      </c>
      <c r="T189" s="85">
        <f t="shared" si="5"/>
        <v>4.1273073168817164E-3</v>
      </c>
      <c r="U189" s="85">
        <f>R189/'סכום נכסי הקרן'!$C$42</f>
        <v>1.1941034375529281E-3</v>
      </c>
    </row>
    <row r="190" spans="2:21">
      <c r="B190" s="77" t="s">
        <v>764</v>
      </c>
      <c r="C190" s="74" t="s">
        <v>765</v>
      </c>
      <c r="D190" s="87" t="s">
        <v>111</v>
      </c>
      <c r="E190" s="87" t="s">
        <v>330</v>
      </c>
      <c r="F190" s="74" t="s">
        <v>454</v>
      </c>
      <c r="G190" s="87" t="s">
        <v>455</v>
      </c>
      <c r="H190" s="74" t="s">
        <v>516</v>
      </c>
      <c r="I190" s="74" t="s">
        <v>334</v>
      </c>
      <c r="J190" s="74"/>
      <c r="K190" s="84">
        <v>5.5700000000000589</v>
      </c>
      <c r="L190" s="87" t="s">
        <v>155</v>
      </c>
      <c r="M190" s="88">
        <v>2.9100000000000001E-2</v>
      </c>
      <c r="N190" s="88">
        <v>1.8000000000023574E-2</v>
      </c>
      <c r="O190" s="84">
        <v>159607.04732799999</v>
      </c>
      <c r="P190" s="86">
        <v>106.31</v>
      </c>
      <c r="Q190" s="74"/>
      <c r="R190" s="84">
        <v>169.678252007</v>
      </c>
      <c r="S190" s="85">
        <v>2.6601174554666664E-4</v>
      </c>
      <c r="T190" s="85">
        <f t="shared" si="5"/>
        <v>2.0540052713148948E-3</v>
      </c>
      <c r="U190" s="85">
        <f>R190/'סכום נכסי הקרן'!$C$42</f>
        <v>5.94260268722132E-4</v>
      </c>
    </row>
    <row r="191" spans="2:21">
      <c r="B191" s="77" t="s">
        <v>766</v>
      </c>
      <c r="C191" s="74" t="s">
        <v>767</v>
      </c>
      <c r="D191" s="87" t="s">
        <v>111</v>
      </c>
      <c r="E191" s="87" t="s">
        <v>330</v>
      </c>
      <c r="F191" s="74" t="s">
        <v>454</v>
      </c>
      <c r="G191" s="87" t="s">
        <v>455</v>
      </c>
      <c r="H191" s="74" t="s">
        <v>516</v>
      </c>
      <c r="I191" s="74" t="s">
        <v>334</v>
      </c>
      <c r="J191" s="74"/>
      <c r="K191" s="84">
        <v>7.3999999999939865</v>
      </c>
      <c r="L191" s="87" t="s">
        <v>155</v>
      </c>
      <c r="M191" s="88">
        <v>3.95E-2</v>
      </c>
      <c r="N191" s="88">
        <v>2.0899999999960159E-2</v>
      </c>
      <c r="O191" s="84">
        <v>116176.049084</v>
      </c>
      <c r="P191" s="86">
        <v>114.5</v>
      </c>
      <c r="Q191" s="74"/>
      <c r="R191" s="84">
        <v>133.02157621699999</v>
      </c>
      <c r="S191" s="85">
        <v>4.840467570237175E-4</v>
      </c>
      <c r="T191" s="85">
        <f t="shared" si="5"/>
        <v>1.6102654024103345E-3</v>
      </c>
      <c r="U191" s="85">
        <f>R191/'סכום נכסי הקרן'!$C$42</f>
        <v>4.6587842987264402E-4</v>
      </c>
    </row>
    <row r="192" spans="2:21">
      <c r="B192" s="77" t="s">
        <v>768</v>
      </c>
      <c r="C192" s="74" t="s">
        <v>769</v>
      </c>
      <c r="D192" s="87" t="s">
        <v>111</v>
      </c>
      <c r="E192" s="87" t="s">
        <v>330</v>
      </c>
      <c r="F192" s="74" t="s">
        <v>454</v>
      </c>
      <c r="G192" s="87" t="s">
        <v>455</v>
      </c>
      <c r="H192" s="74" t="s">
        <v>516</v>
      </c>
      <c r="I192" s="74" t="s">
        <v>334</v>
      </c>
      <c r="J192" s="74"/>
      <c r="K192" s="84">
        <v>8.1400000001139059</v>
      </c>
      <c r="L192" s="87" t="s">
        <v>155</v>
      </c>
      <c r="M192" s="88">
        <v>3.95E-2</v>
      </c>
      <c r="N192" s="88">
        <v>2.1400000000230235E-2</v>
      </c>
      <c r="O192" s="84">
        <v>28564.892704999995</v>
      </c>
      <c r="P192" s="86">
        <v>115.56</v>
      </c>
      <c r="Q192" s="74"/>
      <c r="R192" s="84">
        <v>33.009590016000004</v>
      </c>
      <c r="S192" s="85">
        <v>1.1901544068337525E-4</v>
      </c>
      <c r="T192" s="85">
        <f t="shared" si="5"/>
        <v>3.995908202425989E-4</v>
      </c>
      <c r="U192" s="85">
        <f>R192/'סכום נכסי הקרן'!$C$42</f>
        <v>1.1560873359601975E-4</v>
      </c>
    </row>
    <row r="193" spans="2:21">
      <c r="B193" s="77" t="s">
        <v>770</v>
      </c>
      <c r="C193" s="74" t="s">
        <v>771</v>
      </c>
      <c r="D193" s="87" t="s">
        <v>111</v>
      </c>
      <c r="E193" s="87" t="s">
        <v>330</v>
      </c>
      <c r="F193" s="74" t="s">
        <v>466</v>
      </c>
      <c r="G193" s="87" t="s">
        <v>395</v>
      </c>
      <c r="H193" s="74" t="s">
        <v>520</v>
      </c>
      <c r="I193" s="74" t="s">
        <v>151</v>
      </c>
      <c r="J193" s="74"/>
      <c r="K193" s="84">
        <v>3.3698118841445206</v>
      </c>
      <c r="L193" s="87" t="s">
        <v>155</v>
      </c>
      <c r="M193" s="88">
        <v>5.0499999999999996E-2</v>
      </c>
      <c r="N193" s="88">
        <v>2.1098835473275609E-2</v>
      </c>
      <c r="O193" s="84">
        <v>6.0280000000000004E-3</v>
      </c>
      <c r="P193" s="86">
        <v>111.92</v>
      </c>
      <c r="Q193" s="74"/>
      <c r="R193" s="84">
        <v>6.6979999999999992E-6</v>
      </c>
      <c r="S193" s="85">
        <v>9.2917347158809799E-12</v>
      </c>
      <c r="T193" s="85">
        <f t="shared" si="5"/>
        <v>8.1081264950204664E-11</v>
      </c>
      <c r="U193" s="85">
        <f>R193/'סכום נכסי הקרן'!$C$42</f>
        <v>2.3458252503312162E-11</v>
      </c>
    </row>
    <row r="194" spans="2:21">
      <c r="B194" s="77" t="s">
        <v>772</v>
      </c>
      <c r="C194" s="74" t="s">
        <v>773</v>
      </c>
      <c r="D194" s="87" t="s">
        <v>111</v>
      </c>
      <c r="E194" s="87" t="s">
        <v>330</v>
      </c>
      <c r="F194" s="74" t="s">
        <v>471</v>
      </c>
      <c r="G194" s="87" t="s">
        <v>455</v>
      </c>
      <c r="H194" s="74" t="s">
        <v>520</v>
      </c>
      <c r="I194" s="74" t="s">
        <v>151</v>
      </c>
      <c r="J194" s="74"/>
      <c r="K194" s="84">
        <v>3.7699999999969425</v>
      </c>
      <c r="L194" s="87" t="s">
        <v>155</v>
      </c>
      <c r="M194" s="88">
        <v>3.9199999999999999E-2</v>
      </c>
      <c r="N194" s="88">
        <v>1.8399999999974818E-2</v>
      </c>
      <c r="O194" s="84">
        <v>202544.20267500001</v>
      </c>
      <c r="P194" s="86">
        <v>109.8</v>
      </c>
      <c r="Q194" s="74"/>
      <c r="R194" s="84">
        <v>222.39354128400001</v>
      </c>
      <c r="S194" s="85">
        <v>2.1101563641449638E-4</v>
      </c>
      <c r="T194" s="85">
        <f t="shared" si="5"/>
        <v>2.6921393914694364E-3</v>
      </c>
      <c r="U194" s="85">
        <f>R194/'סכום נכסי הקרן'!$C$42</f>
        <v>7.7888382301371302E-4</v>
      </c>
    </row>
    <row r="195" spans="2:21">
      <c r="B195" s="77" t="s">
        <v>774</v>
      </c>
      <c r="C195" s="74" t="s">
        <v>775</v>
      </c>
      <c r="D195" s="87" t="s">
        <v>111</v>
      </c>
      <c r="E195" s="87" t="s">
        <v>330</v>
      </c>
      <c r="F195" s="74" t="s">
        <v>471</v>
      </c>
      <c r="G195" s="87" t="s">
        <v>455</v>
      </c>
      <c r="H195" s="74" t="s">
        <v>520</v>
      </c>
      <c r="I195" s="74" t="s">
        <v>151</v>
      </c>
      <c r="J195" s="74"/>
      <c r="K195" s="84">
        <v>8.5799999999949677</v>
      </c>
      <c r="L195" s="87" t="s">
        <v>155</v>
      </c>
      <c r="M195" s="88">
        <v>2.64E-2</v>
      </c>
      <c r="N195" s="88">
        <v>3.1199999999981701E-2</v>
      </c>
      <c r="O195" s="84">
        <v>632291.04564200004</v>
      </c>
      <c r="P195" s="86">
        <v>96.82</v>
      </c>
      <c r="Q195" s="74"/>
      <c r="R195" s="84">
        <v>612.1841904260001</v>
      </c>
      <c r="S195" s="85">
        <v>3.8644528002679935E-4</v>
      </c>
      <c r="T195" s="85">
        <f t="shared" si="5"/>
        <v>7.4106701317194785E-3</v>
      </c>
      <c r="U195" s="85">
        <f>R195/'סכום נכסי הקרן'!$C$42</f>
        <v>2.1440387156686841E-3</v>
      </c>
    </row>
    <row r="196" spans="2:21">
      <c r="B196" s="77" t="s">
        <v>776</v>
      </c>
      <c r="C196" s="74" t="s">
        <v>777</v>
      </c>
      <c r="D196" s="87" t="s">
        <v>111</v>
      </c>
      <c r="E196" s="87" t="s">
        <v>330</v>
      </c>
      <c r="F196" s="74" t="s">
        <v>484</v>
      </c>
      <c r="G196" s="87" t="s">
        <v>395</v>
      </c>
      <c r="H196" s="74" t="s">
        <v>516</v>
      </c>
      <c r="I196" s="74" t="s">
        <v>334</v>
      </c>
      <c r="J196" s="74"/>
      <c r="K196" s="84">
        <v>2.1299997919928084</v>
      </c>
      <c r="L196" s="87" t="s">
        <v>155</v>
      </c>
      <c r="M196" s="88">
        <v>5.74E-2</v>
      </c>
      <c r="N196" s="88">
        <v>2.2099999005182999E-2</v>
      </c>
      <c r="O196" s="84">
        <v>5.0670380000000002</v>
      </c>
      <c r="P196" s="86">
        <v>109.11</v>
      </c>
      <c r="Q196" s="74"/>
      <c r="R196" s="84">
        <v>5.5286549999999995E-3</v>
      </c>
      <c r="S196" s="85">
        <v>3.3780237569222471E-7</v>
      </c>
      <c r="T196" s="85">
        <f t="shared" si="5"/>
        <v>6.69259989359919E-8</v>
      </c>
      <c r="U196" s="85">
        <f>R196/'סכום נכסי הקרן'!$C$42</f>
        <v>1.9362882202702195E-8</v>
      </c>
    </row>
    <row r="197" spans="2:21">
      <c r="B197" s="77" t="s">
        <v>778</v>
      </c>
      <c r="C197" s="74" t="s">
        <v>779</v>
      </c>
      <c r="D197" s="87" t="s">
        <v>111</v>
      </c>
      <c r="E197" s="87" t="s">
        <v>330</v>
      </c>
      <c r="F197" s="74" t="s">
        <v>484</v>
      </c>
      <c r="G197" s="87" t="s">
        <v>395</v>
      </c>
      <c r="H197" s="74" t="s">
        <v>516</v>
      </c>
      <c r="I197" s="74" t="s">
        <v>334</v>
      </c>
      <c r="J197" s="74"/>
      <c r="K197" s="84">
        <v>4.0899999998772625</v>
      </c>
      <c r="L197" s="87" t="s">
        <v>155</v>
      </c>
      <c r="M197" s="88">
        <v>5.6500000000000002E-2</v>
      </c>
      <c r="N197" s="88">
        <v>2.3799999999229878E-2</v>
      </c>
      <c r="O197" s="84">
        <v>7306.4712</v>
      </c>
      <c r="P197" s="86">
        <v>113.74</v>
      </c>
      <c r="Q197" s="74"/>
      <c r="R197" s="84">
        <v>8.3103806779999996</v>
      </c>
      <c r="S197" s="85">
        <v>2.3407765269125038E-5</v>
      </c>
      <c r="T197" s="85">
        <f t="shared" si="5"/>
        <v>1.0059960847864729E-4</v>
      </c>
      <c r="U197" s="85">
        <f>R197/'סכום נכסי הקרן'!$C$42</f>
        <v>2.9105256545710738E-5</v>
      </c>
    </row>
    <row r="198" spans="2:21">
      <c r="B198" s="77" t="s">
        <v>780</v>
      </c>
      <c r="C198" s="74" t="s">
        <v>781</v>
      </c>
      <c r="D198" s="87" t="s">
        <v>111</v>
      </c>
      <c r="E198" s="87" t="s">
        <v>330</v>
      </c>
      <c r="F198" s="74" t="s">
        <v>598</v>
      </c>
      <c r="G198" s="87" t="s">
        <v>455</v>
      </c>
      <c r="H198" s="74" t="s">
        <v>520</v>
      </c>
      <c r="I198" s="74" t="s">
        <v>151</v>
      </c>
      <c r="J198" s="74"/>
      <c r="K198" s="84">
        <v>3.7500000000090914</v>
      </c>
      <c r="L198" s="87" t="s">
        <v>155</v>
      </c>
      <c r="M198" s="88">
        <v>4.0999999999999995E-2</v>
      </c>
      <c r="N198" s="88">
        <v>1.3100000000013337E-2</v>
      </c>
      <c r="O198" s="84">
        <v>73064.712</v>
      </c>
      <c r="P198" s="86">
        <v>110.86</v>
      </c>
      <c r="Q198" s="84">
        <v>1.4978265960000001</v>
      </c>
      <c r="R198" s="84">
        <v>82.497366318999994</v>
      </c>
      <c r="S198" s="85">
        <v>2.4354904E-4</v>
      </c>
      <c r="T198" s="85">
        <f t="shared" si="5"/>
        <v>9.9865494419303221E-4</v>
      </c>
      <c r="U198" s="85">
        <f>R198/'סכום נכסי הקרן'!$C$42</f>
        <v>2.8892864287389402E-4</v>
      </c>
    </row>
    <row r="199" spans="2:21">
      <c r="B199" s="77" t="s">
        <v>782</v>
      </c>
      <c r="C199" s="74" t="s">
        <v>783</v>
      </c>
      <c r="D199" s="87" t="s">
        <v>111</v>
      </c>
      <c r="E199" s="87" t="s">
        <v>330</v>
      </c>
      <c r="F199" s="74" t="s">
        <v>614</v>
      </c>
      <c r="G199" s="87" t="s">
        <v>459</v>
      </c>
      <c r="H199" s="74" t="s">
        <v>516</v>
      </c>
      <c r="I199" s="74" t="s">
        <v>334</v>
      </c>
      <c r="J199" s="74"/>
      <c r="K199" s="84">
        <v>7.5399999999927623</v>
      </c>
      <c r="L199" s="87" t="s">
        <v>155</v>
      </c>
      <c r="M199" s="88">
        <v>2.4300000000000002E-2</v>
      </c>
      <c r="N199" s="88">
        <v>2.6499999999977066E-2</v>
      </c>
      <c r="O199" s="84">
        <v>394558.25823099999</v>
      </c>
      <c r="P199" s="86">
        <v>99.46</v>
      </c>
      <c r="Q199" s="74"/>
      <c r="R199" s="84">
        <v>392.42764364600004</v>
      </c>
      <c r="S199" s="85">
        <v>4.5633982550730671E-4</v>
      </c>
      <c r="T199" s="85">
        <f t="shared" si="5"/>
        <v>4.7504523362564693E-3</v>
      </c>
      <c r="U199" s="85">
        <f>R199/'סכום נכסי הקרן'!$C$42</f>
        <v>1.3743903783110889E-3</v>
      </c>
    </row>
    <row r="200" spans="2:21">
      <c r="B200" s="77" t="s">
        <v>784</v>
      </c>
      <c r="C200" s="74" t="s">
        <v>785</v>
      </c>
      <c r="D200" s="87" t="s">
        <v>111</v>
      </c>
      <c r="E200" s="87" t="s">
        <v>330</v>
      </c>
      <c r="F200" s="74" t="s">
        <v>614</v>
      </c>
      <c r="G200" s="87" t="s">
        <v>459</v>
      </c>
      <c r="H200" s="74" t="s">
        <v>516</v>
      </c>
      <c r="I200" s="74" t="s">
        <v>334</v>
      </c>
      <c r="J200" s="74"/>
      <c r="K200" s="84">
        <v>3.7899999999906591</v>
      </c>
      <c r="L200" s="87" t="s">
        <v>155</v>
      </c>
      <c r="M200" s="88">
        <v>1.7500000000000002E-2</v>
      </c>
      <c r="N200" s="88">
        <v>1.809999999993096E-2</v>
      </c>
      <c r="O200" s="84">
        <v>123140.50796</v>
      </c>
      <c r="P200" s="86">
        <v>99.98</v>
      </c>
      <c r="Q200" s="74"/>
      <c r="R200" s="84">
        <v>123.11587778500001</v>
      </c>
      <c r="S200" s="85">
        <v>1.7728313929442173E-4</v>
      </c>
      <c r="T200" s="85">
        <f t="shared" si="5"/>
        <v>1.4903540021293823E-3</v>
      </c>
      <c r="U200" s="85">
        <f>R200/'סכום נכסי הקרן'!$C$42</f>
        <v>4.3118592837376095E-4</v>
      </c>
    </row>
    <row r="201" spans="2:21">
      <c r="B201" s="77" t="s">
        <v>786</v>
      </c>
      <c r="C201" s="74" t="s">
        <v>787</v>
      </c>
      <c r="D201" s="87" t="s">
        <v>111</v>
      </c>
      <c r="E201" s="87" t="s">
        <v>330</v>
      </c>
      <c r="F201" s="74" t="s">
        <v>614</v>
      </c>
      <c r="G201" s="87" t="s">
        <v>459</v>
      </c>
      <c r="H201" s="74" t="s">
        <v>516</v>
      </c>
      <c r="I201" s="74" t="s">
        <v>334</v>
      </c>
      <c r="J201" s="74"/>
      <c r="K201" s="84">
        <v>2.3499999999980354</v>
      </c>
      <c r="L201" s="87" t="s">
        <v>155</v>
      </c>
      <c r="M201" s="88">
        <v>2.9600000000000001E-2</v>
      </c>
      <c r="N201" s="88">
        <v>1.5600000000007856E-2</v>
      </c>
      <c r="O201" s="84">
        <v>98304.511860000013</v>
      </c>
      <c r="P201" s="86">
        <v>103.57</v>
      </c>
      <c r="Q201" s="74"/>
      <c r="R201" s="84">
        <v>101.81398183200001</v>
      </c>
      <c r="S201" s="85">
        <v>2.4070998070490756E-4</v>
      </c>
      <c r="T201" s="85">
        <f t="shared" si="5"/>
        <v>1.2324882706114836E-3</v>
      </c>
      <c r="U201" s="85">
        <f>R201/'סכום נכסי הקרן'!$C$42</f>
        <v>3.5658078444053348E-4</v>
      </c>
    </row>
    <row r="202" spans="2:21">
      <c r="B202" s="77" t="s">
        <v>788</v>
      </c>
      <c r="C202" s="74" t="s">
        <v>789</v>
      </c>
      <c r="D202" s="87" t="s">
        <v>111</v>
      </c>
      <c r="E202" s="87" t="s">
        <v>330</v>
      </c>
      <c r="F202" s="74" t="s">
        <v>619</v>
      </c>
      <c r="G202" s="87" t="s">
        <v>455</v>
      </c>
      <c r="H202" s="74" t="s">
        <v>516</v>
      </c>
      <c r="I202" s="74" t="s">
        <v>334</v>
      </c>
      <c r="J202" s="74"/>
      <c r="K202" s="84">
        <v>3.3400000000551628</v>
      </c>
      <c r="L202" s="87" t="s">
        <v>155</v>
      </c>
      <c r="M202" s="88">
        <v>3.85E-2</v>
      </c>
      <c r="N202" s="88">
        <v>1.7000000000099692E-2</v>
      </c>
      <c r="O202" s="84">
        <v>27590.072451</v>
      </c>
      <c r="P202" s="86">
        <v>109.07</v>
      </c>
      <c r="Q202" s="74"/>
      <c r="R202" s="84">
        <v>30.092491101000004</v>
      </c>
      <c r="S202" s="85">
        <v>6.9177351938540382E-5</v>
      </c>
      <c r="T202" s="85">
        <f t="shared" si="5"/>
        <v>3.6427847775035197E-4</v>
      </c>
      <c r="U202" s="85">
        <f>R202/'סכום נכסי הקרן'!$C$42</f>
        <v>1.0539224465526013E-4</v>
      </c>
    </row>
    <row r="203" spans="2:21">
      <c r="B203" s="77" t="s">
        <v>790</v>
      </c>
      <c r="C203" s="74" t="s">
        <v>791</v>
      </c>
      <c r="D203" s="87" t="s">
        <v>111</v>
      </c>
      <c r="E203" s="87" t="s">
        <v>330</v>
      </c>
      <c r="F203" s="74" t="s">
        <v>619</v>
      </c>
      <c r="G203" s="87" t="s">
        <v>455</v>
      </c>
      <c r="H203" s="74" t="s">
        <v>520</v>
      </c>
      <c r="I203" s="74" t="s">
        <v>151</v>
      </c>
      <c r="J203" s="74"/>
      <c r="K203" s="84">
        <v>4.649999999995841</v>
      </c>
      <c r="L203" s="87" t="s">
        <v>155</v>
      </c>
      <c r="M203" s="88">
        <v>3.61E-2</v>
      </c>
      <c r="N203" s="88">
        <v>1.5799999999990554E-2</v>
      </c>
      <c r="O203" s="84">
        <v>399392.712764</v>
      </c>
      <c r="P203" s="86">
        <v>111.39</v>
      </c>
      <c r="Q203" s="74"/>
      <c r="R203" s="84">
        <v>444.88352944900009</v>
      </c>
      <c r="S203" s="85">
        <v>5.2038138470879476E-4</v>
      </c>
      <c r="T203" s="85">
        <f t="shared" si="5"/>
        <v>5.3854463008713889E-3</v>
      </c>
      <c r="U203" s="85">
        <f>R203/'סכום נכסי הקרן'!$C$42</f>
        <v>1.5581054297371391E-3</v>
      </c>
    </row>
    <row r="204" spans="2:21">
      <c r="B204" s="77" t="s">
        <v>792</v>
      </c>
      <c r="C204" s="74" t="s">
        <v>793</v>
      </c>
      <c r="D204" s="87" t="s">
        <v>111</v>
      </c>
      <c r="E204" s="87" t="s">
        <v>330</v>
      </c>
      <c r="F204" s="74" t="s">
        <v>619</v>
      </c>
      <c r="G204" s="87" t="s">
        <v>455</v>
      </c>
      <c r="H204" s="74" t="s">
        <v>520</v>
      </c>
      <c r="I204" s="74" t="s">
        <v>151</v>
      </c>
      <c r="J204" s="74"/>
      <c r="K204" s="84">
        <v>5.6000000000145453</v>
      </c>
      <c r="L204" s="87" t="s">
        <v>155</v>
      </c>
      <c r="M204" s="88">
        <v>3.3000000000000002E-2</v>
      </c>
      <c r="N204" s="88">
        <v>1.9400000000058183E-2</v>
      </c>
      <c r="O204" s="84">
        <v>138717.40169</v>
      </c>
      <c r="P204" s="86">
        <v>109.04</v>
      </c>
      <c r="Q204" s="74"/>
      <c r="R204" s="84">
        <v>151.257454798</v>
      </c>
      <c r="S204" s="85">
        <v>4.4987725336879144E-4</v>
      </c>
      <c r="T204" s="85">
        <f t="shared" si="5"/>
        <v>1.8310160896043961E-3</v>
      </c>
      <c r="U204" s="85">
        <f>R204/'סכום נכסי הקרן'!$C$42</f>
        <v>5.2974553115255443E-4</v>
      </c>
    </row>
    <row r="205" spans="2:21">
      <c r="B205" s="77" t="s">
        <v>794</v>
      </c>
      <c r="C205" s="74" t="s">
        <v>795</v>
      </c>
      <c r="D205" s="87" t="s">
        <v>111</v>
      </c>
      <c r="E205" s="87" t="s">
        <v>330</v>
      </c>
      <c r="F205" s="74" t="s">
        <v>619</v>
      </c>
      <c r="G205" s="87" t="s">
        <v>455</v>
      </c>
      <c r="H205" s="74" t="s">
        <v>520</v>
      </c>
      <c r="I205" s="74" t="s">
        <v>151</v>
      </c>
      <c r="J205" s="74"/>
      <c r="K205" s="84">
        <v>7.9099999999921362</v>
      </c>
      <c r="L205" s="87" t="s">
        <v>155</v>
      </c>
      <c r="M205" s="88">
        <v>2.6200000000000001E-2</v>
      </c>
      <c r="N205" s="88">
        <v>2.5899999999979099E-2</v>
      </c>
      <c r="O205" s="84">
        <v>398701.95593199995</v>
      </c>
      <c r="P205" s="86">
        <v>100.8</v>
      </c>
      <c r="Q205" s="74"/>
      <c r="R205" s="84">
        <v>401.89155827600001</v>
      </c>
      <c r="S205" s="85">
        <v>4.9837744491499996E-4</v>
      </c>
      <c r="T205" s="85">
        <f t="shared" si="5"/>
        <v>4.8650158133512955E-3</v>
      </c>
      <c r="U205" s="85">
        <f>R205/'סכום נכסי הקרן'!$C$42</f>
        <v>1.4075356304849213E-3</v>
      </c>
    </row>
    <row r="206" spans="2:21">
      <c r="B206" s="77" t="s">
        <v>796</v>
      </c>
      <c r="C206" s="74" t="s">
        <v>797</v>
      </c>
      <c r="D206" s="87" t="s">
        <v>111</v>
      </c>
      <c r="E206" s="87" t="s">
        <v>330</v>
      </c>
      <c r="F206" s="74" t="s">
        <v>798</v>
      </c>
      <c r="G206" s="87" t="s">
        <v>142</v>
      </c>
      <c r="H206" s="74" t="s">
        <v>520</v>
      </c>
      <c r="I206" s="74" t="s">
        <v>151</v>
      </c>
      <c r="J206" s="74"/>
      <c r="K206" s="84">
        <v>2.9500000000028703</v>
      </c>
      <c r="L206" s="87" t="s">
        <v>155</v>
      </c>
      <c r="M206" s="88">
        <v>2.75E-2</v>
      </c>
      <c r="N206" s="88">
        <v>4.0200000000004919E-2</v>
      </c>
      <c r="O206" s="84">
        <v>125246.55892</v>
      </c>
      <c r="P206" s="86">
        <v>97.35</v>
      </c>
      <c r="Q206" s="74"/>
      <c r="R206" s="84">
        <v>121.92752094699999</v>
      </c>
      <c r="S206" s="85">
        <v>3.1019418659864161E-4</v>
      </c>
      <c r="T206" s="85">
        <f t="shared" si="5"/>
        <v>1.4759685922104116E-3</v>
      </c>
      <c r="U206" s="85">
        <f>R206/'סכום נכסי הקרן'!$C$42</f>
        <v>4.2702397334691084E-4</v>
      </c>
    </row>
    <row r="207" spans="2:21">
      <c r="B207" s="77" t="s">
        <v>799</v>
      </c>
      <c r="C207" s="74" t="s">
        <v>800</v>
      </c>
      <c r="D207" s="87" t="s">
        <v>111</v>
      </c>
      <c r="E207" s="87" t="s">
        <v>330</v>
      </c>
      <c r="F207" s="74" t="s">
        <v>798</v>
      </c>
      <c r="G207" s="87" t="s">
        <v>142</v>
      </c>
      <c r="H207" s="74" t="s">
        <v>520</v>
      </c>
      <c r="I207" s="74" t="s">
        <v>151</v>
      </c>
      <c r="J207" s="74"/>
      <c r="K207" s="84">
        <v>3.6700000000070583</v>
      </c>
      <c r="L207" s="87" t="s">
        <v>155</v>
      </c>
      <c r="M207" s="88">
        <v>2.3E-2</v>
      </c>
      <c r="N207" s="88">
        <v>4.8900000000087977E-2</v>
      </c>
      <c r="O207" s="84">
        <v>225377.99615200001</v>
      </c>
      <c r="P207" s="86">
        <v>91.79</v>
      </c>
      <c r="Q207" s="74"/>
      <c r="R207" s="84">
        <v>206.87445766199997</v>
      </c>
      <c r="S207" s="85">
        <v>7.4647718344613009E-4</v>
      </c>
      <c r="T207" s="85">
        <f t="shared" si="5"/>
        <v>2.5042763083192774E-3</v>
      </c>
      <c r="U207" s="85">
        <f>R207/'סכום נכסי הקרן'!$C$42</f>
        <v>7.2453169070184483E-4</v>
      </c>
    </row>
    <row r="208" spans="2:21">
      <c r="B208" s="77" t="s">
        <v>801</v>
      </c>
      <c r="C208" s="74" t="s">
        <v>802</v>
      </c>
      <c r="D208" s="87" t="s">
        <v>111</v>
      </c>
      <c r="E208" s="87" t="s">
        <v>330</v>
      </c>
      <c r="F208" s="74" t="s">
        <v>625</v>
      </c>
      <c r="G208" s="87" t="s">
        <v>147</v>
      </c>
      <c r="H208" s="74" t="s">
        <v>516</v>
      </c>
      <c r="I208" s="74" t="s">
        <v>334</v>
      </c>
      <c r="J208" s="74"/>
      <c r="K208" s="84">
        <v>2.8999999998876307</v>
      </c>
      <c r="L208" s="87" t="s">
        <v>155</v>
      </c>
      <c r="M208" s="88">
        <v>2.7000000000000003E-2</v>
      </c>
      <c r="N208" s="88">
        <v>4.2599999997303122E-2</v>
      </c>
      <c r="O208" s="84">
        <v>5570.6832489999997</v>
      </c>
      <c r="P208" s="86">
        <v>95.85</v>
      </c>
      <c r="Q208" s="74"/>
      <c r="R208" s="84">
        <v>5.3394998939999994</v>
      </c>
      <c r="S208" s="85">
        <v>3.2744995658851783E-5</v>
      </c>
      <c r="T208" s="85">
        <f t="shared" si="5"/>
        <v>6.4636220604210771E-5</v>
      </c>
      <c r="U208" s="85">
        <f>R208/'סכום נכסי הקרן'!$C$42</f>
        <v>1.8700408592842717E-5</v>
      </c>
    </row>
    <row r="209" spans="2:21">
      <c r="B209" s="77" t="s">
        <v>803</v>
      </c>
      <c r="C209" s="74" t="s">
        <v>804</v>
      </c>
      <c r="D209" s="87" t="s">
        <v>111</v>
      </c>
      <c r="E209" s="87" t="s">
        <v>330</v>
      </c>
      <c r="F209" s="74" t="s">
        <v>634</v>
      </c>
      <c r="G209" s="87" t="s">
        <v>147</v>
      </c>
      <c r="H209" s="74" t="s">
        <v>635</v>
      </c>
      <c r="I209" s="74" t="s">
        <v>334</v>
      </c>
      <c r="J209" s="74"/>
      <c r="K209" s="84">
        <v>2.979999999993646</v>
      </c>
      <c r="L209" s="87" t="s">
        <v>155</v>
      </c>
      <c r="M209" s="88">
        <v>2.7999999999999997E-2</v>
      </c>
      <c r="N209" s="88">
        <v>0.1189999999996823</v>
      </c>
      <c r="O209" s="84">
        <v>156040.932264</v>
      </c>
      <c r="P209" s="86">
        <v>76.66</v>
      </c>
      <c r="Q209" s="74"/>
      <c r="R209" s="84">
        <v>119.62097521200002</v>
      </c>
      <c r="S209" s="85">
        <v>5.8595918987607964E-4</v>
      </c>
      <c r="T209" s="85">
        <f t="shared" si="5"/>
        <v>1.4480471759877635E-3</v>
      </c>
      <c r="U209" s="85">
        <f>R209/'סכום נכסי הקרן'!$C$42</f>
        <v>4.1894581087123642E-4</v>
      </c>
    </row>
    <row r="210" spans="2:21">
      <c r="B210" s="77" t="s">
        <v>805</v>
      </c>
      <c r="C210" s="74" t="s">
        <v>806</v>
      </c>
      <c r="D210" s="87" t="s">
        <v>111</v>
      </c>
      <c r="E210" s="87" t="s">
        <v>330</v>
      </c>
      <c r="F210" s="74" t="s">
        <v>634</v>
      </c>
      <c r="G210" s="87" t="s">
        <v>147</v>
      </c>
      <c r="H210" s="74" t="s">
        <v>635</v>
      </c>
      <c r="I210" s="74" t="s">
        <v>334</v>
      </c>
      <c r="J210" s="74"/>
      <c r="K210" s="84">
        <v>0.40000000000467328</v>
      </c>
      <c r="L210" s="87" t="s">
        <v>155</v>
      </c>
      <c r="M210" s="88">
        <v>4.2999999999999997E-2</v>
      </c>
      <c r="N210" s="88">
        <v>0.30279999999949531</v>
      </c>
      <c r="O210" s="84">
        <v>46675.637798999996</v>
      </c>
      <c r="P210" s="86">
        <v>91.69</v>
      </c>
      <c r="Q210" s="74"/>
      <c r="R210" s="84">
        <v>42.796893871999998</v>
      </c>
      <c r="S210" s="85">
        <v>3.4788043835064128E-4</v>
      </c>
      <c r="T210" s="85">
        <f t="shared" si="5"/>
        <v>5.1806901927163671E-4</v>
      </c>
      <c r="U210" s="85">
        <f>R210/'סכום נכסי הקרן'!$C$42</f>
        <v>1.4988658447399655E-4</v>
      </c>
    </row>
    <row r="211" spans="2:21">
      <c r="B211" s="77" t="s">
        <v>807</v>
      </c>
      <c r="C211" s="74" t="s">
        <v>808</v>
      </c>
      <c r="D211" s="87" t="s">
        <v>111</v>
      </c>
      <c r="E211" s="87" t="s">
        <v>330</v>
      </c>
      <c r="F211" s="74" t="s">
        <v>634</v>
      </c>
      <c r="G211" s="87" t="s">
        <v>147</v>
      </c>
      <c r="H211" s="74" t="s">
        <v>635</v>
      </c>
      <c r="I211" s="74" t="s">
        <v>334</v>
      </c>
      <c r="J211" s="74"/>
      <c r="K211" s="84">
        <v>1.3199999999884571</v>
      </c>
      <c r="L211" s="87" t="s">
        <v>155</v>
      </c>
      <c r="M211" s="88">
        <v>4.2500000000000003E-2</v>
      </c>
      <c r="N211" s="88">
        <v>0.2345999999969122</v>
      </c>
      <c r="O211" s="84">
        <v>43159.252009000003</v>
      </c>
      <c r="P211" s="86">
        <v>80.290000000000006</v>
      </c>
      <c r="Q211" s="74"/>
      <c r="R211" s="84">
        <v>34.652563895</v>
      </c>
      <c r="S211" s="85">
        <v>1.6689665693589962E-4</v>
      </c>
      <c r="T211" s="85">
        <f t="shared" si="5"/>
        <v>4.1947950348975689E-4</v>
      </c>
      <c r="U211" s="85">
        <f>R211/'סכום נכסי הקרן'!$C$42</f>
        <v>1.2136288350792303E-4</v>
      </c>
    </row>
    <row r="212" spans="2:21">
      <c r="B212" s="77" t="s">
        <v>809</v>
      </c>
      <c r="C212" s="74" t="s">
        <v>810</v>
      </c>
      <c r="D212" s="87" t="s">
        <v>111</v>
      </c>
      <c r="E212" s="87" t="s">
        <v>330</v>
      </c>
      <c r="F212" s="74" t="s">
        <v>634</v>
      </c>
      <c r="G212" s="87" t="s">
        <v>147</v>
      </c>
      <c r="H212" s="74" t="s">
        <v>635</v>
      </c>
      <c r="I212" s="74" t="s">
        <v>334</v>
      </c>
      <c r="J212" s="74"/>
      <c r="K212" s="84">
        <v>1.1900000000006594</v>
      </c>
      <c r="L212" s="87" t="s">
        <v>155</v>
      </c>
      <c r="M212" s="88">
        <v>3.7000000000000005E-2</v>
      </c>
      <c r="N212" s="88">
        <v>0.22299999999925277</v>
      </c>
      <c r="O212" s="84">
        <v>110991.166451</v>
      </c>
      <c r="P212" s="86">
        <v>81.99</v>
      </c>
      <c r="Q212" s="74"/>
      <c r="R212" s="84">
        <v>91.001662325999988</v>
      </c>
      <c r="S212" s="85">
        <v>5.6284603593944368E-4</v>
      </c>
      <c r="T212" s="85">
        <f t="shared" si="5"/>
        <v>1.1016019549064593E-3</v>
      </c>
      <c r="U212" s="85">
        <f>R212/'סכום נכסי הקרן'!$C$42</f>
        <v>3.1871304464981448E-4</v>
      </c>
    </row>
    <row r="213" spans="2:21">
      <c r="B213" s="77" t="s">
        <v>811</v>
      </c>
      <c r="C213" s="74" t="s">
        <v>812</v>
      </c>
      <c r="D213" s="87" t="s">
        <v>111</v>
      </c>
      <c r="E213" s="87" t="s">
        <v>330</v>
      </c>
      <c r="F213" s="74" t="s">
        <v>813</v>
      </c>
      <c r="G213" s="87" t="s">
        <v>685</v>
      </c>
      <c r="H213" s="74" t="s">
        <v>631</v>
      </c>
      <c r="I213" s="74" t="s">
        <v>151</v>
      </c>
      <c r="J213" s="74"/>
      <c r="K213" s="84">
        <v>3.3299999999410845</v>
      </c>
      <c r="L213" s="87" t="s">
        <v>155</v>
      </c>
      <c r="M213" s="88">
        <v>3.7499999999999999E-2</v>
      </c>
      <c r="N213" s="88">
        <v>1.6299999999779064E-2</v>
      </c>
      <c r="O213" s="84">
        <v>25345.136828999999</v>
      </c>
      <c r="P213" s="86">
        <v>107.15</v>
      </c>
      <c r="Q213" s="74"/>
      <c r="R213" s="84">
        <v>27.157314119999999</v>
      </c>
      <c r="S213" s="85">
        <v>6.4120645509388146E-5</v>
      </c>
      <c r="T213" s="85">
        <f t="shared" si="5"/>
        <v>3.2874729493873609E-4</v>
      </c>
      <c r="U213" s="85">
        <f>R213/'סכום נכסי הקרן'!$C$42</f>
        <v>9.5112441316620597E-5</v>
      </c>
    </row>
    <row r="214" spans="2:21">
      <c r="B214" s="77" t="s">
        <v>814</v>
      </c>
      <c r="C214" s="74" t="s">
        <v>815</v>
      </c>
      <c r="D214" s="87" t="s">
        <v>111</v>
      </c>
      <c r="E214" s="87" t="s">
        <v>330</v>
      </c>
      <c r="F214" s="74" t="s">
        <v>813</v>
      </c>
      <c r="G214" s="87" t="s">
        <v>685</v>
      </c>
      <c r="H214" s="74" t="s">
        <v>635</v>
      </c>
      <c r="I214" s="74" t="s">
        <v>334</v>
      </c>
      <c r="J214" s="74"/>
      <c r="K214" s="84">
        <v>5.7900000000077005</v>
      </c>
      <c r="L214" s="87" t="s">
        <v>155</v>
      </c>
      <c r="M214" s="88">
        <v>3.7499999999999999E-2</v>
      </c>
      <c r="N214" s="88">
        <v>2.0800000000002424E-2</v>
      </c>
      <c r="O214" s="84">
        <v>147419.01616699999</v>
      </c>
      <c r="P214" s="86">
        <v>111.87</v>
      </c>
      <c r="Q214" s="74"/>
      <c r="R214" s="84">
        <v>164.91765828699999</v>
      </c>
      <c r="S214" s="85">
        <v>3.9842977342432432E-4</v>
      </c>
      <c r="T214" s="85">
        <f t="shared" si="5"/>
        <v>1.9963768806413205E-3</v>
      </c>
      <c r="U214" s="85">
        <f>R214/'סכום נכסי הקרן'!$C$42</f>
        <v>5.7758735000767352E-4</v>
      </c>
    </row>
    <row r="215" spans="2:21">
      <c r="B215" s="77" t="s">
        <v>816</v>
      </c>
      <c r="C215" s="74" t="s">
        <v>817</v>
      </c>
      <c r="D215" s="87" t="s">
        <v>111</v>
      </c>
      <c r="E215" s="87" t="s">
        <v>330</v>
      </c>
      <c r="F215" s="74" t="s">
        <v>818</v>
      </c>
      <c r="G215" s="87" t="s">
        <v>142</v>
      </c>
      <c r="H215" s="74" t="s">
        <v>635</v>
      </c>
      <c r="I215" s="74" t="s">
        <v>334</v>
      </c>
      <c r="J215" s="74"/>
      <c r="K215" s="84">
        <v>1.5199999999953588</v>
      </c>
      <c r="L215" s="87" t="s">
        <v>155</v>
      </c>
      <c r="M215" s="88">
        <v>3.4000000000000002E-2</v>
      </c>
      <c r="N215" s="88">
        <v>7.4699999996879013E-2</v>
      </c>
      <c r="O215" s="84">
        <v>9096.6595739999993</v>
      </c>
      <c r="P215" s="86">
        <v>94.75</v>
      </c>
      <c r="Q215" s="74"/>
      <c r="R215" s="84">
        <v>8.6190846269999994</v>
      </c>
      <c r="S215" s="85">
        <v>1.9988588376354469E-5</v>
      </c>
      <c r="T215" s="85">
        <f t="shared" si="5"/>
        <v>1.0433656080472126E-4</v>
      </c>
      <c r="U215" s="85">
        <f>R215/'סכום נכסי הקרן'!$C$42</f>
        <v>3.0186423339441941E-5</v>
      </c>
    </row>
    <row r="216" spans="2:21">
      <c r="B216" s="77" t="s">
        <v>819</v>
      </c>
      <c r="C216" s="74" t="s">
        <v>820</v>
      </c>
      <c r="D216" s="87" t="s">
        <v>111</v>
      </c>
      <c r="E216" s="87" t="s">
        <v>330</v>
      </c>
      <c r="F216" s="74" t="s">
        <v>821</v>
      </c>
      <c r="G216" s="87" t="s">
        <v>548</v>
      </c>
      <c r="H216" s="74" t="s">
        <v>631</v>
      </c>
      <c r="I216" s="74" t="s">
        <v>151</v>
      </c>
      <c r="J216" s="74"/>
      <c r="K216" s="84">
        <v>2.2399777282850777</v>
      </c>
      <c r="L216" s="87" t="s">
        <v>155</v>
      </c>
      <c r="M216" s="88">
        <v>6.0499999999999998E-2</v>
      </c>
      <c r="N216" s="88">
        <v>5.8207126948775043E-2</v>
      </c>
      <c r="O216" s="84">
        <v>1.7960000000000001E-3</v>
      </c>
      <c r="P216" s="86">
        <v>101.2</v>
      </c>
      <c r="Q216" s="74"/>
      <c r="R216" s="84">
        <v>1.796E-6</v>
      </c>
      <c r="S216" s="85">
        <v>3.3691254071785496E-12</v>
      </c>
      <c r="T216" s="85">
        <f t="shared" si="5"/>
        <v>2.1741109562640728E-11</v>
      </c>
      <c r="U216" s="85">
        <f>R216/'סכום נכסי הקרן'!$C$42</f>
        <v>6.2900898023213865E-12</v>
      </c>
    </row>
    <row r="217" spans="2:21">
      <c r="B217" s="77" t="s">
        <v>822</v>
      </c>
      <c r="C217" s="74" t="s">
        <v>823</v>
      </c>
      <c r="D217" s="87" t="s">
        <v>111</v>
      </c>
      <c r="E217" s="87" t="s">
        <v>330</v>
      </c>
      <c r="F217" s="74" t="s">
        <v>824</v>
      </c>
      <c r="G217" s="87" t="s">
        <v>147</v>
      </c>
      <c r="H217" s="74" t="s">
        <v>635</v>
      </c>
      <c r="I217" s="74" t="s">
        <v>334</v>
      </c>
      <c r="J217" s="74"/>
      <c r="K217" s="84">
        <v>2.4200000000024766</v>
      </c>
      <c r="L217" s="87" t="s">
        <v>155</v>
      </c>
      <c r="M217" s="88">
        <v>2.9500000000000002E-2</v>
      </c>
      <c r="N217" s="88">
        <v>1.8599999999991741E-2</v>
      </c>
      <c r="O217" s="84">
        <v>94396.939001999999</v>
      </c>
      <c r="P217" s="86">
        <v>102.66</v>
      </c>
      <c r="Q217" s="74"/>
      <c r="R217" s="84">
        <v>96.907897578000004</v>
      </c>
      <c r="S217" s="85">
        <v>5.8661050179077668E-4</v>
      </c>
      <c r="T217" s="85">
        <f t="shared" si="5"/>
        <v>1.17309867412498E-3</v>
      </c>
      <c r="U217" s="85">
        <f>R217/'סכום נכסי הקרן'!$C$42</f>
        <v>3.3939831754999062E-4</v>
      </c>
    </row>
    <row r="218" spans="2:21">
      <c r="B218" s="77" t="s">
        <v>825</v>
      </c>
      <c r="C218" s="74" t="s">
        <v>826</v>
      </c>
      <c r="D218" s="87" t="s">
        <v>111</v>
      </c>
      <c r="E218" s="87" t="s">
        <v>330</v>
      </c>
      <c r="F218" s="74" t="s">
        <v>598</v>
      </c>
      <c r="G218" s="87" t="s">
        <v>455</v>
      </c>
      <c r="H218" s="74" t="s">
        <v>631</v>
      </c>
      <c r="I218" s="74" t="s">
        <v>151</v>
      </c>
      <c r="J218" s="74"/>
      <c r="K218" s="84">
        <v>7.8899999999815353</v>
      </c>
      <c r="L218" s="87" t="s">
        <v>155</v>
      </c>
      <c r="M218" s="88">
        <v>3.4300000000000004E-2</v>
      </c>
      <c r="N218" s="88">
        <v>2.1699999999929429E-2</v>
      </c>
      <c r="O218" s="84">
        <v>187459.12679200002</v>
      </c>
      <c r="P218" s="86">
        <v>110.36</v>
      </c>
      <c r="Q218" s="74"/>
      <c r="R218" s="84">
        <v>206.87989233800002</v>
      </c>
      <c r="S218" s="85">
        <v>7.3837689771545623E-4</v>
      </c>
      <c r="T218" s="85">
        <f t="shared" si="5"/>
        <v>2.5043420966747083E-3</v>
      </c>
      <c r="U218" s="85">
        <f>R218/'סכום נכסי הקרן'!$C$42</f>
        <v>7.2455072444354131E-4</v>
      </c>
    </row>
    <row r="219" spans="2:21">
      <c r="B219" s="77" t="s">
        <v>827</v>
      </c>
      <c r="C219" s="74" t="s">
        <v>828</v>
      </c>
      <c r="D219" s="87" t="s">
        <v>111</v>
      </c>
      <c r="E219" s="87" t="s">
        <v>330</v>
      </c>
      <c r="F219" s="74" t="s">
        <v>829</v>
      </c>
      <c r="G219" s="87" t="s">
        <v>548</v>
      </c>
      <c r="H219" s="74" t="s">
        <v>635</v>
      </c>
      <c r="I219" s="74" t="s">
        <v>334</v>
      </c>
      <c r="J219" s="74"/>
      <c r="K219" s="84">
        <v>3.9299999999948412</v>
      </c>
      <c r="L219" s="87" t="s">
        <v>155</v>
      </c>
      <c r="M219" s="88">
        <v>3.9E-2</v>
      </c>
      <c r="N219" s="88">
        <v>5.1999999999871038E-2</v>
      </c>
      <c r="O219" s="84">
        <v>178332.69581400001</v>
      </c>
      <c r="P219" s="86">
        <v>95.66</v>
      </c>
      <c r="Q219" s="74"/>
      <c r="R219" s="84">
        <v>170.593056816</v>
      </c>
      <c r="S219" s="85">
        <v>4.2370380815414955E-4</v>
      </c>
      <c r="T219" s="85">
        <f t="shared" si="5"/>
        <v>2.0650792532641705E-3</v>
      </c>
      <c r="U219" s="85">
        <f>R219/'סכום נכסי הקרן'!$C$42</f>
        <v>5.9746416872224638E-4</v>
      </c>
    </row>
    <row r="220" spans="2:21">
      <c r="B220" s="77" t="s">
        <v>830</v>
      </c>
      <c r="C220" s="74" t="s">
        <v>831</v>
      </c>
      <c r="D220" s="87" t="s">
        <v>111</v>
      </c>
      <c r="E220" s="87" t="s">
        <v>330</v>
      </c>
      <c r="F220" s="74" t="s">
        <v>832</v>
      </c>
      <c r="G220" s="87" t="s">
        <v>182</v>
      </c>
      <c r="H220" s="74" t="s">
        <v>635</v>
      </c>
      <c r="I220" s="74" t="s">
        <v>334</v>
      </c>
      <c r="J220" s="74"/>
      <c r="K220" s="84">
        <v>0.98999999999844679</v>
      </c>
      <c r="L220" s="87" t="s">
        <v>155</v>
      </c>
      <c r="M220" s="88">
        <v>1.21E-2</v>
      </c>
      <c r="N220" s="88">
        <v>1.4400000000036247E-2</v>
      </c>
      <c r="O220" s="84">
        <v>77389.721183999995</v>
      </c>
      <c r="P220" s="86">
        <v>99.82</v>
      </c>
      <c r="Q220" s="74"/>
      <c r="R220" s="84">
        <v>77.250419687999994</v>
      </c>
      <c r="S220" s="85">
        <v>3.5425640760095359E-4</v>
      </c>
      <c r="T220" s="85">
        <f t="shared" si="5"/>
        <v>9.3513910812738658E-4</v>
      </c>
      <c r="U220" s="85">
        <f>R220/'סכום נכסי הקרן'!$C$42</f>
        <v>2.7055238146132295E-4</v>
      </c>
    </row>
    <row r="221" spans="2:21">
      <c r="B221" s="77" t="s">
        <v>833</v>
      </c>
      <c r="C221" s="74" t="s">
        <v>834</v>
      </c>
      <c r="D221" s="87" t="s">
        <v>111</v>
      </c>
      <c r="E221" s="87" t="s">
        <v>330</v>
      </c>
      <c r="F221" s="74" t="s">
        <v>832</v>
      </c>
      <c r="G221" s="87" t="s">
        <v>182</v>
      </c>
      <c r="H221" s="74" t="s">
        <v>635</v>
      </c>
      <c r="I221" s="74" t="s">
        <v>334</v>
      </c>
      <c r="J221" s="74"/>
      <c r="K221" s="84">
        <v>2.4300000000009887</v>
      </c>
      <c r="L221" s="87" t="s">
        <v>155</v>
      </c>
      <c r="M221" s="88">
        <v>2.1600000000000001E-2</v>
      </c>
      <c r="N221" s="88">
        <v>1.4400000000017302E-2</v>
      </c>
      <c r="O221" s="84">
        <v>317956.02382399997</v>
      </c>
      <c r="P221" s="86">
        <v>101.79</v>
      </c>
      <c r="Q221" s="74"/>
      <c r="R221" s="84">
        <v>323.64743667599998</v>
      </c>
      <c r="S221" s="85">
        <v>3.8935310421509759E-4</v>
      </c>
      <c r="T221" s="85">
        <f t="shared" si="5"/>
        <v>3.9178476505794778E-3</v>
      </c>
      <c r="U221" s="85">
        <f>R221/'סכום נכסי הקרן'!$C$42</f>
        <v>1.1335030295006481E-3</v>
      </c>
    </row>
    <row r="222" spans="2:21">
      <c r="B222" s="77" t="s">
        <v>835</v>
      </c>
      <c r="C222" s="74" t="s">
        <v>836</v>
      </c>
      <c r="D222" s="87" t="s">
        <v>111</v>
      </c>
      <c r="E222" s="87" t="s">
        <v>330</v>
      </c>
      <c r="F222" s="74" t="s">
        <v>798</v>
      </c>
      <c r="G222" s="87" t="s">
        <v>142</v>
      </c>
      <c r="H222" s="74" t="s">
        <v>631</v>
      </c>
      <c r="I222" s="74" t="s">
        <v>151</v>
      </c>
      <c r="J222" s="74"/>
      <c r="K222" s="84">
        <v>1.9599999999935362</v>
      </c>
      <c r="L222" s="87" t="s">
        <v>155</v>
      </c>
      <c r="M222" s="88">
        <v>2.4E-2</v>
      </c>
      <c r="N222" s="88">
        <v>4.0400000000064641E-2</v>
      </c>
      <c r="O222" s="84">
        <v>63698.364211</v>
      </c>
      <c r="P222" s="86">
        <v>97.15</v>
      </c>
      <c r="Q222" s="74"/>
      <c r="R222" s="84">
        <v>61.882960840000003</v>
      </c>
      <c r="S222" s="85">
        <v>2.2626015360432606E-4</v>
      </c>
      <c r="T222" s="85">
        <f t="shared" si="5"/>
        <v>7.4911148757407888E-4</v>
      </c>
      <c r="U222" s="85">
        <f>R222/'סכום נכסי הקרן'!$C$42</f>
        <v>2.1673128113426375E-4</v>
      </c>
    </row>
    <row r="223" spans="2:21">
      <c r="B223" s="77" t="s">
        <v>837</v>
      </c>
      <c r="C223" s="74" t="s">
        <v>838</v>
      </c>
      <c r="D223" s="87" t="s">
        <v>111</v>
      </c>
      <c r="E223" s="87" t="s">
        <v>330</v>
      </c>
      <c r="F223" s="74" t="s">
        <v>839</v>
      </c>
      <c r="G223" s="87" t="s">
        <v>840</v>
      </c>
      <c r="H223" s="74" t="s">
        <v>635</v>
      </c>
      <c r="I223" s="74" t="s">
        <v>334</v>
      </c>
      <c r="J223" s="74"/>
      <c r="K223" s="84">
        <v>5.1500000000085056</v>
      </c>
      <c r="L223" s="87" t="s">
        <v>155</v>
      </c>
      <c r="M223" s="88">
        <v>2.6200000000000001E-2</v>
      </c>
      <c r="N223" s="88">
        <v>1.9200000000035643E-2</v>
      </c>
      <c r="O223" s="84">
        <v>214700.370042</v>
      </c>
      <c r="P223" s="86">
        <v>103.6</v>
      </c>
      <c r="Q223" s="84">
        <v>24.459546611000004</v>
      </c>
      <c r="R223" s="84">
        <v>246.889129986</v>
      </c>
      <c r="S223" s="85">
        <v>3.3072836546897455E-4</v>
      </c>
      <c r="T223" s="85">
        <f t="shared" si="5"/>
        <v>2.9886657153956986E-3</v>
      </c>
      <c r="U223" s="85">
        <f>R223/'סכום נכסי הקרן'!$C$42</f>
        <v>8.6467416415865136E-4</v>
      </c>
    </row>
    <row r="224" spans="2:21">
      <c r="B224" s="77" t="s">
        <v>841</v>
      </c>
      <c r="C224" s="74" t="s">
        <v>842</v>
      </c>
      <c r="D224" s="87" t="s">
        <v>111</v>
      </c>
      <c r="E224" s="87" t="s">
        <v>330</v>
      </c>
      <c r="F224" s="74" t="s">
        <v>839</v>
      </c>
      <c r="G224" s="87" t="s">
        <v>840</v>
      </c>
      <c r="H224" s="74" t="s">
        <v>635</v>
      </c>
      <c r="I224" s="74" t="s">
        <v>334</v>
      </c>
      <c r="J224" s="74"/>
      <c r="K224" s="84">
        <v>2.6400000000162809</v>
      </c>
      <c r="L224" s="87" t="s">
        <v>155</v>
      </c>
      <c r="M224" s="88">
        <v>3.3500000000000002E-2</v>
      </c>
      <c r="N224" s="88">
        <v>1.5900000000124308E-2</v>
      </c>
      <c r="O224" s="84">
        <v>86146.094953000007</v>
      </c>
      <c r="P224" s="86">
        <v>105.52</v>
      </c>
      <c r="Q224" s="74"/>
      <c r="R224" s="84">
        <v>90.901359393000007</v>
      </c>
      <c r="S224" s="85">
        <v>2.0893870082259853E-4</v>
      </c>
      <c r="T224" s="85">
        <f t="shared" si="5"/>
        <v>1.1003877583275021E-3</v>
      </c>
      <c r="U224" s="85">
        <f>R224/'סכום נכסי הקרן'!$C$42</f>
        <v>3.1836175597720528E-4</v>
      </c>
    </row>
    <row r="225" spans="2:22">
      <c r="B225" s="77" t="s">
        <v>843</v>
      </c>
      <c r="C225" s="74" t="s">
        <v>844</v>
      </c>
      <c r="D225" s="87" t="s">
        <v>111</v>
      </c>
      <c r="E225" s="87" t="s">
        <v>330</v>
      </c>
      <c r="F225" s="74" t="s">
        <v>630</v>
      </c>
      <c r="G225" s="87" t="s">
        <v>340</v>
      </c>
      <c r="H225" s="74" t="s">
        <v>645</v>
      </c>
      <c r="I225" s="74" t="s">
        <v>151</v>
      </c>
      <c r="J225" s="74"/>
      <c r="K225" s="84">
        <v>0.1900000000043611</v>
      </c>
      <c r="L225" s="87" t="s">
        <v>155</v>
      </c>
      <c r="M225" s="88">
        <v>2.5399999999999999E-2</v>
      </c>
      <c r="N225" s="88">
        <v>2.0900000000479722E-2</v>
      </c>
      <c r="O225" s="84">
        <v>13726.493570000001</v>
      </c>
      <c r="P225" s="86">
        <v>100.23</v>
      </c>
      <c r="Q225" s="74"/>
      <c r="R225" s="84">
        <v>13.758064826</v>
      </c>
      <c r="S225" s="85">
        <v>1.4220219594314603E-4</v>
      </c>
      <c r="T225" s="85">
        <f t="shared" ref="T225:T243" si="6">R225/$R$11</f>
        <v>1.6654543137638065E-4</v>
      </c>
      <c r="U225" s="85">
        <f>R225/'סכום נכסי הקרן'!$C$42</f>
        <v>4.8184556381792402E-5</v>
      </c>
    </row>
    <row r="226" spans="2:22">
      <c r="B226" s="77" t="s">
        <v>845</v>
      </c>
      <c r="C226" s="74" t="s">
        <v>846</v>
      </c>
      <c r="D226" s="87" t="s">
        <v>111</v>
      </c>
      <c r="E226" s="87" t="s">
        <v>330</v>
      </c>
      <c r="F226" s="74" t="s">
        <v>847</v>
      </c>
      <c r="G226" s="87" t="s">
        <v>548</v>
      </c>
      <c r="H226" s="74" t="s">
        <v>645</v>
      </c>
      <c r="I226" s="74" t="s">
        <v>151</v>
      </c>
      <c r="J226" s="74"/>
      <c r="K226" s="84">
        <v>3.0900000000124965</v>
      </c>
      <c r="L226" s="87" t="s">
        <v>155</v>
      </c>
      <c r="M226" s="88">
        <v>3.95E-2</v>
      </c>
      <c r="N226" s="88">
        <v>0.17240000000049593</v>
      </c>
      <c r="O226" s="84">
        <v>146954.00676700001</v>
      </c>
      <c r="P226" s="86">
        <v>69.7</v>
      </c>
      <c r="Q226" s="74"/>
      <c r="R226" s="84">
        <v>102.42694760800001</v>
      </c>
      <c r="S226" s="85">
        <v>2.5031705127399304E-4</v>
      </c>
      <c r="T226" s="85">
        <f t="shared" si="6"/>
        <v>1.2399084020670321E-3</v>
      </c>
      <c r="U226" s="85">
        <f>R226/'סכום נכסי הקרן'!$C$42</f>
        <v>3.5872756048551654E-4</v>
      </c>
    </row>
    <row r="227" spans="2:22">
      <c r="B227" s="77" t="s">
        <v>848</v>
      </c>
      <c r="C227" s="74" t="s">
        <v>849</v>
      </c>
      <c r="D227" s="87" t="s">
        <v>111</v>
      </c>
      <c r="E227" s="87" t="s">
        <v>330</v>
      </c>
      <c r="F227" s="74" t="s">
        <v>847</v>
      </c>
      <c r="G227" s="87" t="s">
        <v>548</v>
      </c>
      <c r="H227" s="74" t="s">
        <v>645</v>
      </c>
      <c r="I227" s="74" t="s">
        <v>151</v>
      </c>
      <c r="J227" s="74"/>
      <c r="K227" s="84">
        <v>3.6599999999970758</v>
      </c>
      <c r="L227" s="87" t="s">
        <v>155</v>
      </c>
      <c r="M227" s="88">
        <v>0.03</v>
      </c>
      <c r="N227" s="88">
        <v>5.2799999999981084E-2</v>
      </c>
      <c r="O227" s="84">
        <v>248687.63857400001</v>
      </c>
      <c r="P227" s="86">
        <v>93.51</v>
      </c>
      <c r="Q227" s="74"/>
      <c r="R227" s="84">
        <v>232.54780254799999</v>
      </c>
      <c r="S227" s="85">
        <v>3.0318923944606393E-4</v>
      </c>
      <c r="T227" s="85">
        <f t="shared" si="6"/>
        <v>2.8150597181221663E-3</v>
      </c>
      <c r="U227" s="85">
        <f>R227/'סכום נכסי הקרן'!$C$42</f>
        <v>8.1444686044511254E-4</v>
      </c>
    </row>
    <row r="228" spans="2:22">
      <c r="B228" s="77" t="s">
        <v>850</v>
      </c>
      <c r="C228" s="74" t="s">
        <v>851</v>
      </c>
      <c r="D228" s="87" t="s">
        <v>111</v>
      </c>
      <c r="E228" s="87" t="s">
        <v>330</v>
      </c>
      <c r="F228" s="74" t="s">
        <v>648</v>
      </c>
      <c r="G228" s="87" t="s">
        <v>649</v>
      </c>
      <c r="H228" s="74" t="s">
        <v>645</v>
      </c>
      <c r="I228" s="74" t="s">
        <v>151</v>
      </c>
      <c r="J228" s="74"/>
      <c r="K228" s="84">
        <v>4.0600000000067498</v>
      </c>
      <c r="L228" s="87" t="s">
        <v>155</v>
      </c>
      <c r="M228" s="88">
        <v>2.9500000000000002E-2</v>
      </c>
      <c r="N228" s="88">
        <v>3.4800000000030563E-2</v>
      </c>
      <c r="O228" s="84">
        <v>160237.00214200001</v>
      </c>
      <c r="P228" s="86">
        <v>98</v>
      </c>
      <c r="Q228" s="74"/>
      <c r="R228" s="84">
        <v>157.03226209900001</v>
      </c>
      <c r="S228" s="85">
        <v>5.0482657175892384E-4</v>
      </c>
      <c r="T228" s="85">
        <f t="shared" si="6"/>
        <v>1.9009218347236492E-3</v>
      </c>
      <c r="U228" s="85">
        <f>R228/'סכום נכסי הקרן'!$C$42</f>
        <v>5.4997050694007748E-4</v>
      </c>
    </row>
    <row r="229" spans="2:22">
      <c r="B229" s="77" t="s">
        <v>852</v>
      </c>
      <c r="C229" s="74" t="s">
        <v>853</v>
      </c>
      <c r="D229" s="87" t="s">
        <v>111</v>
      </c>
      <c r="E229" s="87" t="s">
        <v>330</v>
      </c>
      <c r="F229" s="74" t="s">
        <v>854</v>
      </c>
      <c r="G229" s="87" t="s">
        <v>455</v>
      </c>
      <c r="H229" s="74" t="s">
        <v>645</v>
      </c>
      <c r="I229" s="74" t="s">
        <v>151</v>
      </c>
      <c r="J229" s="74"/>
      <c r="K229" s="84">
        <v>1.9399999999520463</v>
      </c>
      <c r="L229" s="87" t="s">
        <v>155</v>
      </c>
      <c r="M229" s="88">
        <v>4.3499999999999997E-2</v>
      </c>
      <c r="N229" s="88">
        <v>2.0999999992806953E-2</v>
      </c>
      <c r="O229" s="84">
        <v>391.61467900000002</v>
      </c>
      <c r="P229" s="86">
        <v>106.5</v>
      </c>
      <c r="Q229" s="74"/>
      <c r="R229" s="84">
        <v>0.417069633</v>
      </c>
      <c r="S229" s="85">
        <v>2.2666165764722908E-6</v>
      </c>
      <c r="T229" s="85">
        <f t="shared" si="6"/>
        <v>5.0487508832424044E-6</v>
      </c>
      <c r="U229" s="85">
        <f>R229/'סכום נכסי הקרן'!$C$42</f>
        <v>1.4606934551176075E-6</v>
      </c>
    </row>
    <row r="230" spans="2:22">
      <c r="B230" s="77" t="s">
        <v>855</v>
      </c>
      <c r="C230" s="74" t="s">
        <v>856</v>
      </c>
      <c r="D230" s="87" t="s">
        <v>111</v>
      </c>
      <c r="E230" s="87" t="s">
        <v>330</v>
      </c>
      <c r="F230" s="74" t="s">
        <v>854</v>
      </c>
      <c r="G230" s="87" t="s">
        <v>455</v>
      </c>
      <c r="H230" s="74" t="s">
        <v>645</v>
      </c>
      <c r="I230" s="74" t="s">
        <v>151</v>
      </c>
      <c r="J230" s="74"/>
      <c r="K230" s="84">
        <v>4.969999999979418</v>
      </c>
      <c r="L230" s="87" t="s">
        <v>155</v>
      </c>
      <c r="M230" s="88">
        <v>3.27E-2</v>
      </c>
      <c r="N230" s="88">
        <v>2.2699999999852991E-2</v>
      </c>
      <c r="O230" s="84">
        <v>80594.895170999996</v>
      </c>
      <c r="P230" s="86">
        <v>105.5</v>
      </c>
      <c r="Q230" s="74"/>
      <c r="R230" s="84">
        <v>85.027614374999999</v>
      </c>
      <c r="S230" s="85">
        <v>3.6141208596860986E-4</v>
      </c>
      <c r="T230" s="85">
        <f t="shared" si="6"/>
        <v>1.0292843429715148E-3</v>
      </c>
      <c r="U230" s="85">
        <f>R230/'סכום נכסי הקרן'!$C$42</f>
        <v>2.977902728819058E-4</v>
      </c>
    </row>
    <row r="231" spans="2:22">
      <c r="B231" s="77" t="s">
        <v>857</v>
      </c>
      <c r="C231" s="74" t="s">
        <v>858</v>
      </c>
      <c r="D231" s="87" t="s">
        <v>111</v>
      </c>
      <c r="E231" s="87" t="s">
        <v>330</v>
      </c>
      <c r="F231" s="74" t="s">
        <v>859</v>
      </c>
      <c r="G231" s="87" t="s">
        <v>147</v>
      </c>
      <c r="H231" s="74" t="s">
        <v>652</v>
      </c>
      <c r="I231" s="74" t="s">
        <v>334</v>
      </c>
      <c r="J231" s="74"/>
      <c r="K231" s="84">
        <v>0.7200000000045228</v>
      </c>
      <c r="L231" s="87" t="s">
        <v>155</v>
      </c>
      <c r="M231" s="88">
        <v>3.3000000000000002E-2</v>
      </c>
      <c r="N231" s="88">
        <v>0.17150000000015075</v>
      </c>
      <c r="O231" s="84">
        <v>28946.406705000001</v>
      </c>
      <c r="P231" s="86">
        <v>91.66</v>
      </c>
      <c r="Q231" s="74"/>
      <c r="R231" s="84">
        <v>26.532275404</v>
      </c>
      <c r="S231" s="85">
        <v>1.3399946434760704E-4</v>
      </c>
      <c r="T231" s="85">
        <f t="shared" si="6"/>
        <v>3.2118101698470035E-4</v>
      </c>
      <c r="U231" s="85">
        <f>R231/'סכום נכסי הקרן'!$C$42</f>
        <v>9.2923382489467119E-5</v>
      </c>
    </row>
    <row r="232" spans="2:22">
      <c r="B232" s="77" t="s">
        <v>860</v>
      </c>
      <c r="C232" s="74" t="s">
        <v>861</v>
      </c>
      <c r="D232" s="87" t="s">
        <v>111</v>
      </c>
      <c r="E232" s="87" t="s">
        <v>330</v>
      </c>
      <c r="F232" s="74" t="s">
        <v>665</v>
      </c>
      <c r="G232" s="87" t="s">
        <v>182</v>
      </c>
      <c r="H232" s="74" t="s">
        <v>652</v>
      </c>
      <c r="I232" s="74" t="s">
        <v>334</v>
      </c>
      <c r="J232" s="74"/>
      <c r="K232" s="84">
        <v>2.8299999999867782</v>
      </c>
      <c r="L232" s="87" t="s">
        <v>155</v>
      </c>
      <c r="M232" s="88">
        <v>4.1399999999999999E-2</v>
      </c>
      <c r="N232" s="88">
        <v>3.8699999999839522E-2</v>
      </c>
      <c r="O232" s="84">
        <v>84357.210296999998</v>
      </c>
      <c r="P232" s="86">
        <v>100.8</v>
      </c>
      <c r="Q232" s="84">
        <v>14.046680682999998</v>
      </c>
      <c r="R232" s="84">
        <v>99.078748657000006</v>
      </c>
      <c r="S232" s="85">
        <v>1.7129895322329214E-4</v>
      </c>
      <c r="T232" s="85">
        <f t="shared" si="6"/>
        <v>1.1993774665262694E-3</v>
      </c>
      <c r="U232" s="85">
        <f>R232/'סכום נכסי הקרן'!$C$42</f>
        <v>3.4700123972948745E-4</v>
      </c>
    </row>
    <row r="233" spans="2:22">
      <c r="B233" s="77" t="s">
        <v>862</v>
      </c>
      <c r="C233" s="74" t="s">
        <v>863</v>
      </c>
      <c r="D233" s="87" t="s">
        <v>111</v>
      </c>
      <c r="E233" s="87" t="s">
        <v>330</v>
      </c>
      <c r="F233" s="74" t="s">
        <v>665</v>
      </c>
      <c r="G233" s="87" t="s">
        <v>182</v>
      </c>
      <c r="H233" s="74" t="s">
        <v>652</v>
      </c>
      <c r="I233" s="74" t="s">
        <v>334</v>
      </c>
      <c r="J233" s="74"/>
      <c r="K233" s="84">
        <v>4.7500000000026903</v>
      </c>
      <c r="L233" s="87" t="s">
        <v>155</v>
      </c>
      <c r="M233" s="88">
        <v>2.5000000000000001E-2</v>
      </c>
      <c r="N233" s="88">
        <v>5.7700000000020443E-2</v>
      </c>
      <c r="O233" s="84">
        <v>427281.449402</v>
      </c>
      <c r="P233" s="86">
        <v>87</v>
      </c>
      <c r="Q233" s="74"/>
      <c r="R233" s="84">
        <v>371.73485151200003</v>
      </c>
      <c r="S233" s="85">
        <v>5.1793033563153753E-4</v>
      </c>
      <c r="T233" s="85">
        <f t="shared" si="6"/>
        <v>4.4999599860659099E-3</v>
      </c>
      <c r="U233" s="85">
        <f>R233/'סכום נכסי הקרן'!$C$42</f>
        <v>1.3019184847790012E-3</v>
      </c>
    </row>
    <row r="234" spans="2:22">
      <c r="B234" s="77" t="s">
        <v>864</v>
      </c>
      <c r="C234" s="74" t="s">
        <v>865</v>
      </c>
      <c r="D234" s="87" t="s">
        <v>111</v>
      </c>
      <c r="E234" s="87" t="s">
        <v>330</v>
      </c>
      <c r="F234" s="74" t="s">
        <v>665</v>
      </c>
      <c r="G234" s="87" t="s">
        <v>182</v>
      </c>
      <c r="H234" s="74" t="s">
        <v>652</v>
      </c>
      <c r="I234" s="74" t="s">
        <v>334</v>
      </c>
      <c r="J234" s="74"/>
      <c r="K234" s="84">
        <v>3.4200000000013935</v>
      </c>
      <c r="L234" s="87" t="s">
        <v>155</v>
      </c>
      <c r="M234" s="88">
        <v>3.5499999999999997E-2</v>
      </c>
      <c r="N234" s="88">
        <v>5.0300000000014576E-2</v>
      </c>
      <c r="O234" s="84">
        <v>162640.20707199999</v>
      </c>
      <c r="P234" s="86">
        <v>95.29</v>
      </c>
      <c r="Q234" s="84">
        <v>2.8868637020000003</v>
      </c>
      <c r="R234" s="84">
        <v>157.866709759</v>
      </c>
      <c r="S234" s="85">
        <v>2.2886634620915969E-4</v>
      </c>
      <c r="T234" s="85">
        <f t="shared" si="6"/>
        <v>1.9110230696904361E-3</v>
      </c>
      <c r="U234" s="85">
        <f>R234/'סכום נכסי הקרן'!$C$42</f>
        <v>5.5289297393157908E-4</v>
      </c>
    </row>
    <row r="235" spans="2:22">
      <c r="B235" s="77" t="s">
        <v>866</v>
      </c>
      <c r="C235" s="74" t="s">
        <v>867</v>
      </c>
      <c r="D235" s="87" t="s">
        <v>111</v>
      </c>
      <c r="E235" s="87" t="s">
        <v>330</v>
      </c>
      <c r="F235" s="74" t="s">
        <v>672</v>
      </c>
      <c r="G235" s="87" t="s">
        <v>459</v>
      </c>
      <c r="H235" s="74" t="s">
        <v>669</v>
      </c>
      <c r="I235" s="74" t="s">
        <v>151</v>
      </c>
      <c r="J235" s="74"/>
      <c r="K235" s="84">
        <v>5.2999999999854577</v>
      </c>
      <c r="L235" s="87" t="s">
        <v>155</v>
      </c>
      <c r="M235" s="88">
        <v>4.4500000000000005E-2</v>
      </c>
      <c r="N235" s="88">
        <v>2.2299999999946311E-2</v>
      </c>
      <c r="O235" s="84">
        <v>159585.78452300001</v>
      </c>
      <c r="P235" s="86">
        <v>112.04</v>
      </c>
      <c r="Q235" s="74"/>
      <c r="R235" s="84">
        <v>178.79991475200001</v>
      </c>
      <c r="S235" s="85">
        <v>5.8976534606714176E-4</v>
      </c>
      <c r="T235" s="85">
        <f t="shared" si="6"/>
        <v>2.1644256884265334E-3</v>
      </c>
      <c r="U235" s="85">
        <f>R235/'סכום נכסי הקרן'!$C$42</f>
        <v>6.262068599317864E-4</v>
      </c>
    </row>
    <row r="236" spans="2:22">
      <c r="B236" s="77" t="s">
        <v>868</v>
      </c>
      <c r="C236" s="74" t="s">
        <v>869</v>
      </c>
      <c r="D236" s="87" t="s">
        <v>111</v>
      </c>
      <c r="E236" s="87" t="s">
        <v>330</v>
      </c>
      <c r="F236" s="74" t="s">
        <v>870</v>
      </c>
      <c r="G236" s="87" t="s">
        <v>181</v>
      </c>
      <c r="H236" s="74" t="s">
        <v>669</v>
      </c>
      <c r="I236" s="74" t="s">
        <v>151</v>
      </c>
      <c r="J236" s="74"/>
      <c r="K236" s="84">
        <v>3.4999999999725824</v>
      </c>
      <c r="L236" s="87" t="s">
        <v>155</v>
      </c>
      <c r="M236" s="88">
        <v>4.2500000000000003E-2</v>
      </c>
      <c r="N236" s="88">
        <v>2.3199999999736792E-2</v>
      </c>
      <c r="O236" s="84">
        <v>16824.949156999999</v>
      </c>
      <c r="P236" s="86">
        <v>108.39</v>
      </c>
      <c r="Q236" s="74"/>
      <c r="R236" s="84">
        <v>18.236562589000002</v>
      </c>
      <c r="S236" s="85">
        <v>1.3925056202772603E-4</v>
      </c>
      <c r="T236" s="85">
        <f t="shared" si="6"/>
        <v>2.2075896731258579E-4</v>
      </c>
      <c r="U236" s="85">
        <f>R236/'סכום נכסי הקרן'!$C$42</f>
        <v>6.3869496865514818E-5</v>
      </c>
    </row>
    <row r="237" spans="2:22">
      <c r="B237" s="77" t="s">
        <v>871</v>
      </c>
      <c r="C237" s="74" t="s">
        <v>872</v>
      </c>
      <c r="D237" s="87" t="s">
        <v>111</v>
      </c>
      <c r="E237" s="87" t="s">
        <v>330</v>
      </c>
      <c r="F237" s="74" t="s">
        <v>870</v>
      </c>
      <c r="G237" s="87" t="s">
        <v>181</v>
      </c>
      <c r="H237" s="74" t="s">
        <v>669</v>
      </c>
      <c r="I237" s="74" t="s">
        <v>151</v>
      </c>
      <c r="J237" s="74"/>
      <c r="K237" s="84">
        <v>4.1499999999888617</v>
      </c>
      <c r="L237" s="87" t="s">
        <v>155</v>
      </c>
      <c r="M237" s="88">
        <v>3.4500000000000003E-2</v>
      </c>
      <c r="N237" s="88">
        <v>2.1599999999939144E-2</v>
      </c>
      <c r="O237" s="84">
        <v>172625.90646299999</v>
      </c>
      <c r="P237" s="86">
        <v>106.62</v>
      </c>
      <c r="Q237" s="74"/>
      <c r="R237" s="84">
        <v>184.05373570700002</v>
      </c>
      <c r="S237" s="85">
        <v>5.3442881794894706E-4</v>
      </c>
      <c r="T237" s="85">
        <f t="shared" si="6"/>
        <v>2.2280247402111397E-3</v>
      </c>
      <c r="U237" s="85">
        <f>R237/'סכום נכסי הקרן'!$C$42</f>
        <v>6.4460719713238111E-4</v>
      </c>
    </row>
    <row r="238" spans="2:22">
      <c r="B238" s="77" t="s">
        <v>873</v>
      </c>
      <c r="C238" s="74" t="s">
        <v>874</v>
      </c>
      <c r="D238" s="87" t="s">
        <v>111</v>
      </c>
      <c r="E238" s="87" t="s">
        <v>330</v>
      </c>
      <c r="F238" s="74" t="s">
        <v>875</v>
      </c>
      <c r="G238" s="87" t="s">
        <v>459</v>
      </c>
      <c r="H238" s="74" t="s">
        <v>679</v>
      </c>
      <c r="I238" s="74" t="s">
        <v>334</v>
      </c>
      <c r="J238" s="74"/>
      <c r="K238" s="84">
        <v>2.5600000000055076</v>
      </c>
      <c r="L238" s="87" t="s">
        <v>155</v>
      </c>
      <c r="M238" s="88">
        <v>5.9000000000000004E-2</v>
      </c>
      <c r="N238" s="88">
        <v>6.0000000000114732E-2</v>
      </c>
      <c r="O238" s="84">
        <v>174324.73523799999</v>
      </c>
      <c r="P238" s="86">
        <v>99.99</v>
      </c>
      <c r="Q238" s="74"/>
      <c r="R238" s="129">
        <v>174.30730275900001</v>
      </c>
      <c r="S238" s="85">
        <v>1.9485660828103267E-4</v>
      </c>
      <c r="T238" s="85">
        <f t="shared" si="6"/>
        <v>2.1100412955745032E-3</v>
      </c>
      <c r="U238" s="85">
        <f>R238/'סכום נכסי הקרן'!$C$42</f>
        <v>6.1047248750252363E-4</v>
      </c>
      <c r="V238" s="116"/>
    </row>
    <row r="239" spans="2:22">
      <c r="B239" s="77" t="s">
        <v>876</v>
      </c>
      <c r="C239" s="74" t="s">
        <v>877</v>
      </c>
      <c r="D239" s="87" t="s">
        <v>111</v>
      </c>
      <c r="E239" s="87" t="s">
        <v>330</v>
      </c>
      <c r="F239" s="74" t="s">
        <v>875</v>
      </c>
      <c r="G239" s="87" t="s">
        <v>459</v>
      </c>
      <c r="H239" s="74" t="s">
        <v>679</v>
      </c>
      <c r="I239" s="74" t="s">
        <v>334</v>
      </c>
      <c r="J239" s="74"/>
      <c r="K239" s="84">
        <v>4.9900000000822411</v>
      </c>
      <c r="L239" s="87" t="s">
        <v>155</v>
      </c>
      <c r="M239" s="88">
        <v>2.7000000000000003E-2</v>
      </c>
      <c r="N239" s="88">
        <v>6.5900000001076764E-2</v>
      </c>
      <c r="O239" s="84">
        <v>28318.144039999999</v>
      </c>
      <c r="P239" s="86">
        <v>83.3</v>
      </c>
      <c r="Q239" s="74"/>
      <c r="R239" s="84">
        <v>23.589013994000002</v>
      </c>
      <c r="S239" s="85">
        <v>3.2192273854013115E-5</v>
      </c>
      <c r="T239" s="85">
        <f t="shared" si="6"/>
        <v>2.8555196977629143E-4</v>
      </c>
      <c r="U239" s="85">
        <f>R239/'סכום נכסי הקרן'!$C$42</f>
        <v>8.2615265239685908E-5</v>
      </c>
    </row>
    <row r="240" spans="2:22">
      <c r="B240" s="77" t="s">
        <v>878</v>
      </c>
      <c r="C240" s="74" t="s">
        <v>879</v>
      </c>
      <c r="D240" s="87" t="s">
        <v>111</v>
      </c>
      <c r="E240" s="87" t="s">
        <v>330</v>
      </c>
      <c r="F240" s="74" t="s">
        <v>880</v>
      </c>
      <c r="G240" s="87" t="s">
        <v>548</v>
      </c>
      <c r="H240" s="74" t="s">
        <v>669</v>
      </c>
      <c r="I240" s="74" t="s">
        <v>151</v>
      </c>
      <c r="J240" s="74"/>
      <c r="K240" s="84">
        <v>2.6600000000015651</v>
      </c>
      <c r="L240" s="87" t="s">
        <v>155</v>
      </c>
      <c r="M240" s="88">
        <v>4.5999999999999999E-2</v>
      </c>
      <c r="N240" s="88">
        <v>9.229999999998173E-2</v>
      </c>
      <c r="O240" s="84">
        <v>85022.435274000003</v>
      </c>
      <c r="P240" s="86">
        <v>90.18</v>
      </c>
      <c r="Q240" s="74"/>
      <c r="R240" s="84">
        <v>76.673232118000001</v>
      </c>
      <c r="S240" s="85">
        <v>3.5582511922311114E-4</v>
      </c>
      <c r="T240" s="85">
        <f t="shared" si="6"/>
        <v>9.2815208240491201E-4</v>
      </c>
      <c r="U240" s="85">
        <f>R240/'סכום נכסי הקרן'!$C$42</f>
        <v>2.685309106104969E-4</v>
      </c>
    </row>
    <row r="241" spans="2:22">
      <c r="B241" s="77" t="s">
        <v>881</v>
      </c>
      <c r="C241" s="74" t="s">
        <v>882</v>
      </c>
      <c r="D241" s="87" t="s">
        <v>111</v>
      </c>
      <c r="E241" s="87" t="s">
        <v>330</v>
      </c>
      <c r="F241" s="74" t="s">
        <v>883</v>
      </c>
      <c r="G241" s="87" t="s">
        <v>884</v>
      </c>
      <c r="H241" s="74" t="s">
        <v>669</v>
      </c>
      <c r="I241" s="74" t="s">
        <v>151</v>
      </c>
      <c r="J241" s="74"/>
      <c r="K241" s="84">
        <v>2.85</v>
      </c>
      <c r="L241" s="87" t="s">
        <v>155</v>
      </c>
      <c r="M241" s="88">
        <v>0.04</v>
      </c>
      <c r="N241" s="88">
        <v>0.16859999999933803</v>
      </c>
      <c r="O241" s="84">
        <v>30122.060024999999</v>
      </c>
      <c r="P241" s="86">
        <v>70.209999999999994</v>
      </c>
      <c r="Q241" s="74"/>
      <c r="R241" s="84">
        <v>21.148698339999999</v>
      </c>
      <c r="S241" s="85">
        <v>4.1169027516578553E-5</v>
      </c>
      <c r="T241" s="85">
        <f t="shared" si="6"/>
        <v>2.5601122924119048E-4</v>
      </c>
      <c r="U241" s="85">
        <f>R241/'סכום נכסי הקרן'!$C$42</f>
        <v>7.4068603430292438E-5</v>
      </c>
    </row>
    <row r="242" spans="2:22">
      <c r="B242" s="77" t="s">
        <v>885</v>
      </c>
      <c r="C242" s="74" t="s">
        <v>886</v>
      </c>
      <c r="D242" s="87" t="s">
        <v>111</v>
      </c>
      <c r="E242" s="87" t="s">
        <v>330</v>
      </c>
      <c r="F242" s="74" t="s">
        <v>883</v>
      </c>
      <c r="G242" s="87" t="s">
        <v>884</v>
      </c>
      <c r="H242" s="74" t="s">
        <v>669</v>
      </c>
      <c r="I242" s="74" t="s">
        <v>151</v>
      </c>
      <c r="J242" s="74"/>
      <c r="K242" s="84">
        <v>4.5300000000100589</v>
      </c>
      <c r="L242" s="87" t="s">
        <v>155</v>
      </c>
      <c r="M242" s="88">
        <v>2.9100000000000001E-2</v>
      </c>
      <c r="N242" s="88">
        <v>0.11620000000020893</v>
      </c>
      <c r="O242" s="84">
        <v>152218.15</v>
      </c>
      <c r="P242" s="86">
        <v>67.92</v>
      </c>
      <c r="Q242" s="74"/>
      <c r="R242" s="84">
        <v>103.38656763200001</v>
      </c>
      <c r="S242" s="85">
        <v>6.6464712842927067E-4</v>
      </c>
      <c r="T242" s="85">
        <f t="shared" si="6"/>
        <v>1.2515248854079498E-3</v>
      </c>
      <c r="U242" s="85">
        <f>R242/'סכום נכסי הקרן'!$C$42</f>
        <v>3.6208841579011891E-4</v>
      </c>
    </row>
    <row r="243" spans="2:22">
      <c r="B243" s="77" t="s">
        <v>887</v>
      </c>
      <c r="C243" s="74" t="s">
        <v>888</v>
      </c>
      <c r="D243" s="87" t="s">
        <v>111</v>
      </c>
      <c r="E243" s="87" t="s">
        <v>330</v>
      </c>
      <c r="F243" s="74" t="s">
        <v>889</v>
      </c>
      <c r="G243" s="87" t="s">
        <v>548</v>
      </c>
      <c r="H243" s="74" t="s">
        <v>890</v>
      </c>
      <c r="I243" s="74" t="s">
        <v>334</v>
      </c>
      <c r="J243" s="74"/>
      <c r="K243" s="84">
        <v>0.24999999999830333</v>
      </c>
      <c r="L243" s="87" t="s">
        <v>155</v>
      </c>
      <c r="M243" s="88">
        <v>6.0999999999999999E-2</v>
      </c>
      <c r="N243" s="88">
        <v>0.27079999999968646</v>
      </c>
      <c r="O243" s="84">
        <v>303498.52659899998</v>
      </c>
      <c r="P243" s="86">
        <v>97.1</v>
      </c>
      <c r="Q243" s="74"/>
      <c r="R243" s="84">
        <v>294.69705917800002</v>
      </c>
      <c r="S243" s="85">
        <v>4.4790219391824081E-4</v>
      </c>
      <c r="T243" s="85">
        <f t="shared" si="6"/>
        <v>3.5673947947532942E-3</v>
      </c>
      <c r="U243" s="85">
        <f>R243/'סכום נכסי הקרן'!$C$42</f>
        <v>1.0321107832459021E-3</v>
      </c>
    </row>
    <row r="244" spans="2:22">
      <c r="B244" s="73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84"/>
      <c r="P244" s="86"/>
      <c r="Q244" s="74"/>
      <c r="R244" s="74"/>
      <c r="S244" s="74"/>
      <c r="T244" s="85"/>
      <c r="U244" s="74"/>
    </row>
    <row r="245" spans="2:22">
      <c r="B245" s="92" t="s">
        <v>43</v>
      </c>
      <c r="C245" s="72"/>
      <c r="D245" s="72"/>
      <c r="E245" s="72"/>
      <c r="F245" s="72"/>
      <c r="G245" s="72"/>
      <c r="H245" s="72"/>
      <c r="I245" s="72"/>
      <c r="J245" s="72"/>
      <c r="K245" s="81">
        <v>3.5198713750459727</v>
      </c>
      <c r="L245" s="72"/>
      <c r="M245" s="72"/>
      <c r="N245" s="94">
        <v>9.0973050324074961E-2</v>
      </c>
      <c r="O245" s="81"/>
      <c r="P245" s="83"/>
      <c r="Q245" s="72"/>
      <c r="R245" s="81">
        <f>SUM(R246:R251)</f>
        <v>2070.5990697427537</v>
      </c>
      <c r="S245" s="72"/>
      <c r="T245" s="82">
        <f t="shared" ref="T245:T251" si="7">R245/$R$11</f>
        <v>2.5065212269253439E-2</v>
      </c>
      <c r="U245" s="82">
        <f>R245/'סכום נכסי הקרן'!$C$42</f>
        <v>7.251811855949356E-3</v>
      </c>
    </row>
    <row r="246" spans="2:22">
      <c r="B246" s="77" t="s">
        <v>891</v>
      </c>
      <c r="C246" s="74" t="s">
        <v>892</v>
      </c>
      <c r="D246" s="87" t="s">
        <v>111</v>
      </c>
      <c r="E246" s="87" t="s">
        <v>330</v>
      </c>
      <c r="F246" s="74" t="s">
        <v>893</v>
      </c>
      <c r="G246" s="87" t="s">
        <v>137</v>
      </c>
      <c r="H246" s="74" t="s">
        <v>425</v>
      </c>
      <c r="I246" s="74" t="s">
        <v>334</v>
      </c>
      <c r="J246" s="74"/>
      <c r="K246" s="84">
        <v>2.5500000000007401</v>
      </c>
      <c r="L246" s="87" t="s">
        <v>155</v>
      </c>
      <c r="M246" s="88">
        <v>3.49E-2</v>
      </c>
      <c r="N246" s="88">
        <v>6.1100000000015135E-2</v>
      </c>
      <c r="O246" s="84">
        <v>967318.09067800001</v>
      </c>
      <c r="P246" s="86">
        <v>90.82</v>
      </c>
      <c r="Q246" s="74"/>
      <c r="R246" s="84">
        <v>878.51826489699999</v>
      </c>
      <c r="S246" s="85">
        <v>5.2370637680922193E-4</v>
      </c>
      <c r="T246" s="85">
        <f t="shared" si="7"/>
        <v>1.0634722633578345E-2</v>
      </c>
      <c r="U246" s="85">
        <f>R246/'סכום נכסי הקרן'!$C$42</f>
        <v>3.0768144650232172E-3</v>
      </c>
    </row>
    <row r="247" spans="2:22">
      <c r="B247" s="77" t="s">
        <v>894</v>
      </c>
      <c r="C247" s="74" t="s">
        <v>895</v>
      </c>
      <c r="D247" s="87" t="s">
        <v>111</v>
      </c>
      <c r="E247" s="87" t="s">
        <v>330</v>
      </c>
      <c r="F247" s="74" t="s">
        <v>896</v>
      </c>
      <c r="G247" s="87" t="s">
        <v>137</v>
      </c>
      <c r="H247" s="74" t="s">
        <v>631</v>
      </c>
      <c r="I247" s="74" t="s">
        <v>151</v>
      </c>
      <c r="J247" s="74"/>
      <c r="K247" s="84">
        <v>4.3800000000005062</v>
      </c>
      <c r="L247" s="87" t="s">
        <v>155</v>
      </c>
      <c r="M247" s="88">
        <v>4.6900000000000004E-2</v>
      </c>
      <c r="N247" s="88">
        <v>0.11619999999999495</v>
      </c>
      <c r="O247" s="84">
        <v>478122.31122799998</v>
      </c>
      <c r="P247" s="86">
        <v>74.349999999999994</v>
      </c>
      <c r="Q247" s="74"/>
      <c r="R247" s="84">
        <v>355.483919039</v>
      </c>
      <c r="S247" s="85">
        <v>2.431579793645791E-4</v>
      </c>
      <c r="T247" s="85">
        <f t="shared" si="7"/>
        <v>4.3032376567838562E-3</v>
      </c>
      <c r="U247" s="85">
        <f>R247/'סכום נכסי הקרן'!$C$42</f>
        <v>1.2450032149423471E-3</v>
      </c>
    </row>
    <row r="248" spans="2:22">
      <c r="B248" s="77" t="s">
        <v>897</v>
      </c>
      <c r="C248" s="74" t="s">
        <v>898</v>
      </c>
      <c r="D248" s="87" t="s">
        <v>111</v>
      </c>
      <c r="E248" s="87" t="s">
        <v>330</v>
      </c>
      <c r="F248" s="74" t="s">
        <v>896</v>
      </c>
      <c r="G248" s="87" t="s">
        <v>137</v>
      </c>
      <c r="H248" s="74" t="s">
        <v>631</v>
      </c>
      <c r="I248" s="74" t="s">
        <v>151</v>
      </c>
      <c r="J248" s="74"/>
      <c r="K248" s="84">
        <v>4.6299999999978603</v>
      </c>
      <c r="L248" s="87" t="s">
        <v>155</v>
      </c>
      <c r="M248" s="88">
        <v>4.6900000000000004E-2</v>
      </c>
      <c r="N248" s="88">
        <v>0.11659999999996025</v>
      </c>
      <c r="O248" s="84">
        <v>886212.77203600004</v>
      </c>
      <c r="P248" s="86">
        <v>74.349999999999994</v>
      </c>
      <c r="Q248" s="74"/>
      <c r="R248" s="84">
        <v>658.89915670699997</v>
      </c>
      <c r="S248" s="85">
        <v>5.4944630593643773E-4</v>
      </c>
      <c r="T248" s="85">
        <f t="shared" si="7"/>
        <v>7.9761685727719762E-3</v>
      </c>
      <c r="U248" s="85">
        <f>R248/'סכום נכסי הקרן'!$C$42</f>
        <v>2.3076474757020389E-3</v>
      </c>
    </row>
    <row r="249" spans="2:22">
      <c r="B249" s="77" t="s">
        <v>899</v>
      </c>
      <c r="C249" s="74" t="s">
        <v>900</v>
      </c>
      <c r="D249" s="87" t="s">
        <v>111</v>
      </c>
      <c r="E249" s="87" t="s">
        <v>330</v>
      </c>
      <c r="F249" s="74" t="s">
        <v>901</v>
      </c>
      <c r="G249" s="87" t="s">
        <v>137</v>
      </c>
      <c r="H249" s="74" t="s">
        <v>645</v>
      </c>
      <c r="I249" s="74" t="s">
        <v>151</v>
      </c>
      <c r="J249" s="74"/>
      <c r="K249" s="84">
        <v>1.4599999999610183</v>
      </c>
      <c r="L249" s="87" t="s">
        <v>155</v>
      </c>
      <c r="M249" s="88">
        <v>4.4999999999999998E-2</v>
      </c>
      <c r="N249" s="88">
        <v>0.18679999999038446</v>
      </c>
      <c r="O249" s="84">
        <v>10206.552704</v>
      </c>
      <c r="P249" s="86">
        <v>75.39</v>
      </c>
      <c r="Q249" s="74"/>
      <c r="R249" s="84">
        <v>7.6958779550000003</v>
      </c>
      <c r="S249" s="85">
        <v>6.6773518818370295E-6</v>
      </c>
      <c r="T249" s="85">
        <f t="shared" si="7"/>
        <v>9.3160871826484672E-5</v>
      </c>
      <c r="U249" s="85">
        <f>R249/'סכום נכסי הקרן'!$C$42</f>
        <v>2.6953097686333778E-5</v>
      </c>
    </row>
    <row r="250" spans="2:22">
      <c r="B250" s="77" t="s">
        <v>902</v>
      </c>
      <c r="C250" s="74" t="s">
        <v>903</v>
      </c>
      <c r="D250" s="87" t="s">
        <v>111</v>
      </c>
      <c r="E250" s="87" t="s">
        <v>330</v>
      </c>
      <c r="F250" s="74" t="s">
        <v>875</v>
      </c>
      <c r="G250" s="87" t="s">
        <v>459</v>
      </c>
      <c r="H250" s="74" t="s">
        <v>679</v>
      </c>
      <c r="I250" s="74" t="s">
        <v>334</v>
      </c>
      <c r="J250" s="74"/>
      <c r="K250" s="84">
        <v>2.0799999999975394</v>
      </c>
      <c r="L250" s="87" t="s">
        <v>155</v>
      </c>
      <c r="M250" s="88">
        <v>6.7000000000000004E-2</v>
      </c>
      <c r="N250" s="88">
        <v>9.309999999993028E-2</v>
      </c>
      <c r="O250" s="84">
        <v>112396.40790999999</v>
      </c>
      <c r="P250" s="86">
        <v>85.27</v>
      </c>
      <c r="Q250" s="74"/>
      <c r="R250" s="84">
        <v>95.840417024753847</v>
      </c>
      <c r="S250" s="85">
        <v>1.0979938337489507E-4</v>
      </c>
      <c r="T250" s="85">
        <f t="shared" si="7"/>
        <v>1.1601765072741376E-3</v>
      </c>
      <c r="U250" s="85">
        <f>R250/'סכום נכסי הקרן'!$C$42</f>
        <v>3.35659704775965E-4</v>
      </c>
      <c r="V250" s="116"/>
    </row>
    <row r="251" spans="2:22">
      <c r="B251" s="77" t="s">
        <v>904</v>
      </c>
      <c r="C251" s="74" t="s">
        <v>905</v>
      </c>
      <c r="D251" s="87" t="s">
        <v>111</v>
      </c>
      <c r="E251" s="87" t="s">
        <v>330</v>
      </c>
      <c r="F251" s="74" t="s">
        <v>875</v>
      </c>
      <c r="G251" s="87" t="s">
        <v>459</v>
      </c>
      <c r="H251" s="74" t="s">
        <v>679</v>
      </c>
      <c r="I251" s="74" t="s">
        <v>334</v>
      </c>
      <c r="J251" s="74"/>
      <c r="K251" s="84">
        <v>3.1300000000053934</v>
      </c>
      <c r="L251" s="87" t="s">
        <v>155</v>
      </c>
      <c r="M251" s="88">
        <v>4.7E-2</v>
      </c>
      <c r="N251" s="88">
        <v>8.3500000000134841E-2</v>
      </c>
      <c r="O251" s="84">
        <v>85884.692368000004</v>
      </c>
      <c r="P251" s="86">
        <v>86.35</v>
      </c>
      <c r="Q251" s="74"/>
      <c r="R251" s="84">
        <v>74.16143412000001</v>
      </c>
      <c r="S251" s="85">
        <v>1.20063624607784E-4</v>
      </c>
      <c r="T251" s="85">
        <f t="shared" si="7"/>
        <v>8.977460270186429E-4</v>
      </c>
      <c r="U251" s="85">
        <f>R251/'סכום נכסי הקרן'!$C$42</f>
        <v>2.5973389781945512E-4</v>
      </c>
    </row>
    <row r="252" spans="2:22">
      <c r="B252" s="73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84"/>
      <c r="P252" s="86"/>
      <c r="Q252" s="74"/>
      <c r="R252" s="74"/>
      <c r="S252" s="74"/>
      <c r="T252" s="85"/>
      <c r="U252" s="74"/>
    </row>
    <row r="253" spans="2:22">
      <c r="B253" s="71" t="s">
        <v>220</v>
      </c>
      <c r="C253" s="72"/>
      <c r="D253" s="72"/>
      <c r="E253" s="72"/>
      <c r="F253" s="72"/>
      <c r="G253" s="72"/>
      <c r="H253" s="72"/>
      <c r="I253" s="72"/>
      <c r="J253" s="72"/>
      <c r="K253" s="81">
        <v>8.427887943558801</v>
      </c>
      <c r="L253" s="72"/>
      <c r="M253" s="72"/>
      <c r="N253" s="94">
        <v>3.7537483193616085E-2</v>
      </c>
      <c r="O253" s="81"/>
      <c r="P253" s="83"/>
      <c r="Q253" s="72"/>
      <c r="R253" s="81">
        <f>R254+R262</f>
        <v>16576.429824688996</v>
      </c>
      <c r="S253" s="72"/>
      <c r="T253" s="82">
        <f t="shared" ref="T253:T260" si="8">R253/$R$11</f>
        <v>0.20066257069932567</v>
      </c>
      <c r="U253" s="82">
        <f>R253/'סכום נכסי הקרן'!$C$42</f>
        <v>5.8055251781276358E-2</v>
      </c>
    </row>
    <row r="254" spans="2:22">
      <c r="B254" s="92" t="s">
        <v>59</v>
      </c>
      <c r="C254" s="72"/>
      <c r="D254" s="72"/>
      <c r="E254" s="72"/>
      <c r="F254" s="72"/>
      <c r="G254" s="72"/>
      <c r="H254" s="72"/>
      <c r="I254" s="72"/>
      <c r="J254" s="72"/>
      <c r="K254" s="81">
        <v>6.6500509908146235</v>
      </c>
      <c r="L254" s="72"/>
      <c r="M254" s="72"/>
      <c r="N254" s="94">
        <v>4.7193922955229638E-2</v>
      </c>
      <c r="O254" s="81"/>
      <c r="P254" s="83"/>
      <c r="Q254" s="72"/>
      <c r="R254" s="81">
        <f>SUM(R255:R260)</f>
        <v>1322.4759860909999</v>
      </c>
      <c r="S254" s="72"/>
      <c r="T254" s="82">
        <f t="shared" si="8"/>
        <v>1.6008961752542183E-2</v>
      </c>
      <c r="U254" s="82">
        <f>R254/'סכום נכסי הקרן'!$C$42</f>
        <v>4.6316774576424932E-3</v>
      </c>
    </row>
    <row r="255" spans="2:22">
      <c r="B255" s="77" t="s">
        <v>906</v>
      </c>
      <c r="C255" s="74" t="s">
        <v>907</v>
      </c>
      <c r="D255" s="87" t="s">
        <v>27</v>
      </c>
      <c r="E255" s="87" t="s">
        <v>908</v>
      </c>
      <c r="F255" s="74" t="s">
        <v>353</v>
      </c>
      <c r="G255" s="87" t="s">
        <v>340</v>
      </c>
      <c r="H255" s="74" t="s">
        <v>978</v>
      </c>
      <c r="I255" s="74" t="s">
        <v>916</v>
      </c>
      <c r="J255" s="74"/>
      <c r="K255" s="84">
        <v>5.0500000000051752</v>
      </c>
      <c r="L255" s="87" t="s">
        <v>154</v>
      </c>
      <c r="M255" s="88">
        <v>3.2750000000000001E-2</v>
      </c>
      <c r="N255" s="88">
        <v>3.7600000000037118E-2</v>
      </c>
      <c r="O255" s="84">
        <v>82060.363456000006</v>
      </c>
      <c r="P255" s="86">
        <v>98.530699999999996</v>
      </c>
      <c r="Q255" s="74"/>
      <c r="R255" s="84">
        <v>280.24216347099997</v>
      </c>
      <c r="S255" s="85">
        <v>1.0941381794133335E-4</v>
      </c>
      <c r="T255" s="85">
        <f t="shared" si="8"/>
        <v>3.3924140200971512E-3</v>
      </c>
      <c r="U255" s="85">
        <f>R255/'סכום נכסי הקרן'!$C$42</f>
        <v>9.8148573197629168E-4</v>
      </c>
    </row>
    <row r="256" spans="2:22">
      <c r="B256" s="77" t="s">
        <v>911</v>
      </c>
      <c r="C256" s="74" t="s">
        <v>912</v>
      </c>
      <c r="D256" s="87" t="s">
        <v>27</v>
      </c>
      <c r="E256" s="87" t="s">
        <v>908</v>
      </c>
      <c r="F256" s="74" t="s">
        <v>913</v>
      </c>
      <c r="G256" s="87" t="s">
        <v>914</v>
      </c>
      <c r="H256" s="74" t="s">
        <v>915</v>
      </c>
      <c r="I256" s="74" t="s">
        <v>916</v>
      </c>
      <c r="J256" s="74"/>
      <c r="K256" s="84">
        <v>3.2399999999949625</v>
      </c>
      <c r="L256" s="87" t="s">
        <v>154</v>
      </c>
      <c r="M256" s="88">
        <v>5.0819999999999997E-2</v>
      </c>
      <c r="N256" s="88">
        <v>5.4699999999908842E-2</v>
      </c>
      <c r="O256" s="84">
        <v>49102.155694000001</v>
      </c>
      <c r="P256" s="86">
        <v>97.987099999999998</v>
      </c>
      <c r="Q256" s="74"/>
      <c r="R256" s="84">
        <v>166.76238431600001</v>
      </c>
      <c r="S256" s="85">
        <v>1.5344423654375E-4</v>
      </c>
      <c r="T256" s="85">
        <f t="shared" si="8"/>
        <v>2.0187078331522028E-3</v>
      </c>
      <c r="U256" s="85">
        <f>R256/'סכום נכסי הקרן'!$C$42</f>
        <v>5.840480918690821E-4</v>
      </c>
    </row>
    <row r="257" spans="2:21">
      <c r="B257" s="77" t="s">
        <v>917</v>
      </c>
      <c r="C257" s="74" t="s">
        <v>918</v>
      </c>
      <c r="D257" s="87" t="s">
        <v>27</v>
      </c>
      <c r="E257" s="87" t="s">
        <v>908</v>
      </c>
      <c r="F257" s="74" t="s">
        <v>913</v>
      </c>
      <c r="G257" s="87" t="s">
        <v>914</v>
      </c>
      <c r="H257" s="74" t="s">
        <v>915</v>
      </c>
      <c r="I257" s="74" t="s">
        <v>916</v>
      </c>
      <c r="J257" s="74"/>
      <c r="K257" s="84">
        <v>4.8199999999989531</v>
      </c>
      <c r="L257" s="87" t="s">
        <v>154</v>
      </c>
      <c r="M257" s="88">
        <v>5.4120000000000001E-2</v>
      </c>
      <c r="N257" s="88">
        <v>5.8699999999963372E-2</v>
      </c>
      <c r="O257" s="84">
        <v>68231.857109999997</v>
      </c>
      <c r="P257" s="86">
        <v>97</v>
      </c>
      <c r="Q257" s="74"/>
      <c r="R257" s="84">
        <v>229.39686823200003</v>
      </c>
      <c r="S257" s="85">
        <v>2.1322455346875E-4</v>
      </c>
      <c r="T257" s="85">
        <f t="shared" si="8"/>
        <v>2.7769167291528791E-3</v>
      </c>
      <c r="U257" s="85">
        <f>R257/'סכום נכסי הקרן'!$C$42</f>
        <v>8.0341141511724177E-4</v>
      </c>
    </row>
    <row r="258" spans="2:21">
      <c r="B258" s="77" t="s">
        <v>919</v>
      </c>
      <c r="C258" s="74" t="s">
        <v>920</v>
      </c>
      <c r="D258" s="87" t="s">
        <v>27</v>
      </c>
      <c r="E258" s="87" t="s">
        <v>908</v>
      </c>
      <c r="F258" s="74" t="s">
        <v>718</v>
      </c>
      <c r="G258" s="87" t="s">
        <v>515</v>
      </c>
      <c r="H258" s="74" t="s">
        <v>915</v>
      </c>
      <c r="I258" s="74" t="s">
        <v>323</v>
      </c>
      <c r="J258" s="74"/>
      <c r="K258" s="84">
        <v>11.289999999998901</v>
      </c>
      <c r="L258" s="87" t="s">
        <v>154</v>
      </c>
      <c r="M258" s="88">
        <v>6.3750000000000001E-2</v>
      </c>
      <c r="N258" s="88">
        <v>4.7500000000000001E-2</v>
      </c>
      <c r="O258" s="84">
        <v>105820.62</v>
      </c>
      <c r="P258" s="86">
        <v>118.99420000000001</v>
      </c>
      <c r="Q258" s="74"/>
      <c r="R258" s="84">
        <v>436.44029051199999</v>
      </c>
      <c r="S258" s="85">
        <v>1.763677E-4</v>
      </c>
      <c r="T258" s="85">
        <f t="shared" si="8"/>
        <v>5.2832384039933969E-3</v>
      </c>
      <c r="U258" s="85">
        <f>R258/'סכום נכסי הקרן'!$C$42</f>
        <v>1.5285348667437163E-3</v>
      </c>
    </row>
    <row r="259" spans="2:21">
      <c r="B259" s="77" t="s">
        <v>921</v>
      </c>
      <c r="C259" s="74" t="s">
        <v>922</v>
      </c>
      <c r="D259" s="87" t="s">
        <v>27</v>
      </c>
      <c r="E259" s="87" t="s">
        <v>908</v>
      </c>
      <c r="F259" s="74" t="s">
        <v>923</v>
      </c>
      <c r="G259" s="87" t="s">
        <v>924</v>
      </c>
      <c r="H259" s="74" t="s">
        <v>925</v>
      </c>
      <c r="I259" s="74" t="s">
        <v>323</v>
      </c>
      <c r="J259" s="74"/>
      <c r="K259" s="84">
        <v>3.7600000000104052</v>
      </c>
      <c r="L259" s="87" t="s">
        <v>156</v>
      </c>
      <c r="M259" s="88">
        <v>0.06</v>
      </c>
      <c r="N259" s="88">
        <v>4.4800000000068625E-2</v>
      </c>
      <c r="O259" s="84">
        <v>42680.983399999997</v>
      </c>
      <c r="P259" s="86">
        <v>109.01730000000001</v>
      </c>
      <c r="Q259" s="74"/>
      <c r="R259" s="84">
        <v>180.66540248700002</v>
      </c>
      <c r="S259" s="85">
        <v>4.26809834E-5</v>
      </c>
      <c r="T259" s="85">
        <f t="shared" si="8"/>
        <v>2.1870079675102741E-3</v>
      </c>
      <c r="U259" s="85">
        <f>R259/'סכום נכסי הקרן'!$C$42</f>
        <v>6.3274031504218691E-4</v>
      </c>
    </row>
    <row r="260" spans="2:21">
      <c r="B260" s="77" t="s">
        <v>926</v>
      </c>
      <c r="C260" s="74" t="s">
        <v>927</v>
      </c>
      <c r="D260" s="87" t="s">
        <v>27</v>
      </c>
      <c r="E260" s="87" t="s">
        <v>908</v>
      </c>
      <c r="F260" s="74" t="s">
        <v>928</v>
      </c>
      <c r="G260" s="87" t="s">
        <v>929</v>
      </c>
      <c r="H260" s="74" t="s">
        <v>690</v>
      </c>
      <c r="I260" s="74"/>
      <c r="J260" s="74"/>
      <c r="K260" s="84">
        <v>4.3699999999996546</v>
      </c>
      <c r="L260" s="87" t="s">
        <v>154</v>
      </c>
      <c r="M260" s="88">
        <v>0</v>
      </c>
      <c r="N260" s="88">
        <v>1.6000000000069039E-2</v>
      </c>
      <c r="O260" s="84">
        <v>8994.7526999999991</v>
      </c>
      <c r="P260" s="86">
        <v>92.921000000000006</v>
      </c>
      <c r="Q260" s="74"/>
      <c r="R260" s="84">
        <v>28.968877072999998</v>
      </c>
      <c r="S260" s="85">
        <v>1.5643048173913042E-5</v>
      </c>
      <c r="T260" s="85">
        <f t="shared" si="8"/>
        <v>3.5067679863628283E-4</v>
      </c>
      <c r="U260" s="85">
        <f>R260/'סכום נכסי הקרן'!$C$42</f>
        <v>1.01457036893975E-4</v>
      </c>
    </row>
    <row r="261" spans="2:21">
      <c r="B261" s="73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84"/>
      <c r="P261" s="86"/>
      <c r="Q261" s="74"/>
      <c r="R261" s="74"/>
      <c r="S261" s="74"/>
      <c r="T261" s="85"/>
      <c r="U261" s="74"/>
    </row>
    <row r="262" spans="2:21">
      <c r="B262" s="92" t="s">
        <v>58</v>
      </c>
      <c r="C262" s="72"/>
      <c r="D262" s="72"/>
      <c r="E262" s="72"/>
      <c r="F262" s="72"/>
      <c r="G262" s="72"/>
      <c r="H262" s="72"/>
      <c r="I262" s="72"/>
      <c r="J262" s="72"/>
      <c r="K262" s="81">
        <v>8.5820215342374464</v>
      </c>
      <c r="L262" s="72"/>
      <c r="M262" s="72"/>
      <c r="N262" s="94">
        <v>3.6700296334983118E-2</v>
      </c>
      <c r="O262" s="81"/>
      <c r="P262" s="83"/>
      <c r="Q262" s="72"/>
      <c r="R262" s="81">
        <f>SUM(R263:R357)</f>
        <v>15253.953838597996</v>
      </c>
      <c r="S262" s="72"/>
      <c r="T262" s="82">
        <f t="shared" ref="T262:T330" si="9">R262/$R$11</f>
        <v>0.18465360894678348</v>
      </c>
      <c r="U262" s="82">
        <f>R262/'סכום נכסי הקרן'!$C$42</f>
        <v>5.3423574323633864E-2</v>
      </c>
    </row>
    <row r="263" spans="2:21">
      <c r="B263" s="77" t="s">
        <v>930</v>
      </c>
      <c r="C263" s="74" t="s">
        <v>931</v>
      </c>
      <c r="D263" s="87" t="s">
        <v>27</v>
      </c>
      <c r="E263" s="87" t="s">
        <v>908</v>
      </c>
      <c r="F263" s="74"/>
      <c r="G263" s="87" t="s">
        <v>932</v>
      </c>
      <c r="H263" s="74" t="s">
        <v>933</v>
      </c>
      <c r="I263" s="74" t="s">
        <v>916</v>
      </c>
      <c r="J263" s="74"/>
      <c r="K263" s="84">
        <v>8.2300000000250169</v>
      </c>
      <c r="L263" s="87" t="s">
        <v>154</v>
      </c>
      <c r="M263" s="88">
        <v>3.3750000000000002E-2</v>
      </c>
      <c r="N263" s="88">
        <v>2.2700000000054916E-2</v>
      </c>
      <c r="O263" s="84">
        <v>38800.894</v>
      </c>
      <c r="P263" s="86">
        <v>109.68510000000001</v>
      </c>
      <c r="Q263" s="74"/>
      <c r="R263" s="84">
        <v>147.508832297</v>
      </c>
      <c r="S263" s="85">
        <v>3.8800894E-5</v>
      </c>
      <c r="T263" s="85">
        <f>R263/$R$11</f>
        <v>1.7856379089233152E-3</v>
      </c>
      <c r="U263" s="85">
        <f>R263/'סכום נכסי הקרן'!$C$42</f>
        <v>5.1661681613791497E-4</v>
      </c>
    </row>
    <row r="264" spans="2:21">
      <c r="B264" s="77" t="s">
        <v>1141</v>
      </c>
      <c r="C264" s="74" t="s">
        <v>1142</v>
      </c>
      <c r="D264" s="87" t="s">
        <v>27</v>
      </c>
      <c r="E264" s="87" t="s">
        <v>908</v>
      </c>
      <c r="F264" s="74"/>
      <c r="G264" s="87" t="s">
        <v>1028</v>
      </c>
      <c r="H264" s="119" t="s">
        <v>933</v>
      </c>
      <c r="I264" s="119" t="s">
        <v>916</v>
      </c>
      <c r="J264" s="74"/>
      <c r="K264" s="84">
        <v>8.0199999999915761</v>
      </c>
      <c r="L264" s="87" t="s">
        <v>154</v>
      </c>
      <c r="M264" s="88">
        <v>4.1500000000000002E-2</v>
      </c>
      <c r="N264" s="88">
        <v>2.3299999999974154E-2</v>
      </c>
      <c r="O264" s="84">
        <v>52028.471500000007</v>
      </c>
      <c r="P264" s="86">
        <v>115.8377</v>
      </c>
      <c r="Q264" s="74"/>
      <c r="R264" s="84">
        <v>208.89100483799996</v>
      </c>
      <c r="S264" s="85">
        <v>5.2028471500000004E-5</v>
      </c>
      <c r="T264" s="85">
        <f>R264/$R$11</f>
        <v>2.5286872064772111E-3</v>
      </c>
      <c r="U264" s="85">
        <f>R264/'סכום נכסי הקרן'!$C$42</f>
        <v>7.3159419784419319E-4</v>
      </c>
    </row>
    <row r="265" spans="2:21">
      <c r="B265" s="77" t="s">
        <v>1149</v>
      </c>
      <c r="C265" s="74" t="s">
        <v>1150</v>
      </c>
      <c r="D265" s="87" t="s">
        <v>27</v>
      </c>
      <c r="E265" s="87" t="s">
        <v>908</v>
      </c>
      <c r="F265" s="74"/>
      <c r="G265" s="87" t="s">
        <v>1002</v>
      </c>
      <c r="H265" s="119" t="s">
        <v>1552</v>
      </c>
      <c r="I265" s="119" t="s">
        <v>910</v>
      </c>
      <c r="J265" s="74"/>
      <c r="K265" s="84">
        <v>8.4000000000049049</v>
      </c>
      <c r="L265" s="87" t="s">
        <v>154</v>
      </c>
      <c r="M265" s="88">
        <v>2.9500000000000002E-2</v>
      </c>
      <c r="N265" s="88">
        <v>2.1500000000033718E-2</v>
      </c>
      <c r="O265" s="84">
        <v>44091.925000000003</v>
      </c>
      <c r="P265" s="86">
        <v>106.744</v>
      </c>
      <c r="Q265" s="74"/>
      <c r="R265" s="84">
        <v>163.12901142299998</v>
      </c>
      <c r="S265" s="85">
        <v>5.8789233333333336E-5</v>
      </c>
      <c r="T265" s="85">
        <f>R265/$R$11</f>
        <v>1.9747247829580809E-3</v>
      </c>
      <c r="U265" s="85">
        <f>R265/'סכום נכסי הקרן'!$C$42</f>
        <v>5.7132301292571333E-4</v>
      </c>
    </row>
    <row r="266" spans="2:21">
      <c r="B266" s="77" t="s">
        <v>1147</v>
      </c>
      <c r="C266" s="74" t="s">
        <v>1148</v>
      </c>
      <c r="D266" s="87" t="s">
        <v>27</v>
      </c>
      <c r="E266" s="87" t="s">
        <v>908</v>
      </c>
      <c r="F266" s="74"/>
      <c r="G266" s="87" t="s">
        <v>1002</v>
      </c>
      <c r="H266" s="119" t="s">
        <v>936</v>
      </c>
      <c r="I266" s="119" t="s">
        <v>916</v>
      </c>
      <c r="J266" s="74"/>
      <c r="K266" s="84">
        <v>8.509999999993676</v>
      </c>
      <c r="L266" s="87" t="s">
        <v>154</v>
      </c>
      <c r="M266" s="88">
        <v>2.9500000000000002E-2</v>
      </c>
      <c r="N266" s="88">
        <v>2.6299999999988652E-2</v>
      </c>
      <c r="O266" s="84">
        <v>69665.241500000004</v>
      </c>
      <c r="P266" s="86">
        <v>102.17529999999999</v>
      </c>
      <c r="Q266" s="74"/>
      <c r="R266" s="84">
        <v>246.71207975599998</v>
      </c>
      <c r="S266" s="85">
        <v>9.2886988666666674E-5</v>
      </c>
      <c r="T266" s="85">
        <f>R266/$R$11</f>
        <v>2.9865224701571009E-3</v>
      </c>
      <c r="U266" s="85">
        <f>R266/'סכום נכסי הקרן'!$C$42</f>
        <v>8.6405408517968595E-4</v>
      </c>
    </row>
    <row r="267" spans="2:21">
      <c r="B267" s="77" t="s">
        <v>934</v>
      </c>
      <c r="C267" s="74" t="s">
        <v>935</v>
      </c>
      <c r="D267" s="87" t="s">
        <v>27</v>
      </c>
      <c r="E267" s="87" t="s">
        <v>908</v>
      </c>
      <c r="F267" s="74"/>
      <c r="G267" s="87" t="s">
        <v>929</v>
      </c>
      <c r="H267" s="74" t="s">
        <v>936</v>
      </c>
      <c r="I267" s="74" t="s">
        <v>323</v>
      </c>
      <c r="J267" s="74"/>
      <c r="K267" s="84">
        <v>21.810000000014846</v>
      </c>
      <c r="L267" s="87" t="s">
        <v>154</v>
      </c>
      <c r="M267" s="88">
        <v>3.85E-2</v>
      </c>
      <c r="N267" s="88">
        <v>3.0800000000024915E-2</v>
      </c>
      <c r="O267" s="84">
        <v>47619.279000000002</v>
      </c>
      <c r="P267" s="86">
        <v>116.72580000000001</v>
      </c>
      <c r="Q267" s="74"/>
      <c r="R267" s="84">
        <v>192.65409899400001</v>
      </c>
      <c r="S267" s="85">
        <v>1.3605508285714287E-5</v>
      </c>
      <c r="T267" s="85">
        <f t="shared" si="9"/>
        <v>2.3321346736750485E-3</v>
      </c>
      <c r="U267" s="85">
        <f>R267/'סכום נכסי הקרן'!$C$42</f>
        <v>6.7472805315009704E-4</v>
      </c>
    </row>
    <row r="268" spans="2:21">
      <c r="B268" s="77" t="s">
        <v>937</v>
      </c>
      <c r="C268" s="74" t="s">
        <v>938</v>
      </c>
      <c r="D268" s="87" t="s">
        <v>27</v>
      </c>
      <c r="E268" s="87" t="s">
        <v>908</v>
      </c>
      <c r="F268" s="74"/>
      <c r="G268" s="87" t="s">
        <v>939</v>
      </c>
      <c r="H268" s="74" t="s">
        <v>936</v>
      </c>
      <c r="I268" s="74" t="s">
        <v>323</v>
      </c>
      <c r="J268" s="74"/>
      <c r="K268" s="84">
        <v>21.929999999971805</v>
      </c>
      <c r="L268" s="87" t="s">
        <v>154</v>
      </c>
      <c r="M268" s="88">
        <v>3.7999999999999999E-2</v>
      </c>
      <c r="N268" s="88">
        <v>3.1099999999973149E-2</v>
      </c>
      <c r="O268" s="84">
        <v>37037.216999999997</v>
      </c>
      <c r="P268" s="86">
        <v>116.04510000000001</v>
      </c>
      <c r="Q268" s="74"/>
      <c r="R268" s="84">
        <v>148.96826274</v>
      </c>
      <c r="S268" s="85">
        <v>2.4691477999999999E-5</v>
      </c>
      <c r="T268" s="85">
        <f t="shared" si="9"/>
        <v>1.8033047447586807E-3</v>
      </c>
      <c r="U268" s="85">
        <f>R268/'סכום נכסי הקרן'!$C$42</f>
        <v>5.2172814606370101E-4</v>
      </c>
    </row>
    <row r="269" spans="2:21">
      <c r="B269" s="77" t="s">
        <v>940</v>
      </c>
      <c r="C269" s="74" t="s">
        <v>941</v>
      </c>
      <c r="D269" s="87" t="s">
        <v>27</v>
      </c>
      <c r="E269" s="87" t="s">
        <v>908</v>
      </c>
      <c r="F269" s="74"/>
      <c r="G269" s="87" t="s">
        <v>932</v>
      </c>
      <c r="H269" s="74" t="s">
        <v>936</v>
      </c>
      <c r="I269" s="74" t="s">
        <v>323</v>
      </c>
      <c r="J269" s="74"/>
      <c r="K269" s="84">
        <v>6.7400000000064129</v>
      </c>
      <c r="L269" s="87" t="s">
        <v>154</v>
      </c>
      <c r="M269" s="88">
        <v>5.1249999999999997E-2</v>
      </c>
      <c r="N269" s="88">
        <v>3.5799999999980271E-2</v>
      </c>
      <c r="O269" s="84">
        <v>21225.852694999998</v>
      </c>
      <c r="P269" s="86">
        <v>110.22280000000001</v>
      </c>
      <c r="Q269" s="74"/>
      <c r="R269" s="84">
        <v>81.089632002000002</v>
      </c>
      <c r="S269" s="85">
        <v>4.2451705389999996E-5</v>
      </c>
      <c r="T269" s="85">
        <f t="shared" ref="T269:T277" si="10">R269/$R$11</f>
        <v>9.8161390520584615E-4</v>
      </c>
      <c r="U269" s="85">
        <f>R269/'סכום נכסי הקרן'!$C$42</f>
        <v>2.8399836711011925E-4</v>
      </c>
    </row>
    <row r="270" spans="2:21">
      <c r="B270" s="77" t="s">
        <v>957</v>
      </c>
      <c r="C270" s="74" t="s">
        <v>958</v>
      </c>
      <c r="D270" s="87" t="s">
        <v>27</v>
      </c>
      <c r="E270" s="87" t="s">
        <v>908</v>
      </c>
      <c r="F270" s="74"/>
      <c r="G270" s="87" t="s">
        <v>959</v>
      </c>
      <c r="H270" s="119" t="s">
        <v>1033</v>
      </c>
      <c r="I270" s="119" t="s">
        <v>910</v>
      </c>
      <c r="J270" s="74"/>
      <c r="K270" s="84">
        <v>8.4400000000196247</v>
      </c>
      <c r="L270" s="87" t="s">
        <v>154</v>
      </c>
      <c r="M270" s="88">
        <v>3.6240000000000001E-2</v>
      </c>
      <c r="N270" s="88">
        <v>3.0000000000052759E-2</v>
      </c>
      <c r="O270" s="84">
        <v>52028.471500000007</v>
      </c>
      <c r="P270" s="86">
        <v>105.11879999999999</v>
      </c>
      <c r="Q270" s="74"/>
      <c r="R270" s="84">
        <v>189.56144918699999</v>
      </c>
      <c r="S270" s="85">
        <v>6.9371295333333347E-5</v>
      </c>
      <c r="T270" s="85">
        <f t="shared" si="10"/>
        <v>2.294697235872784E-3</v>
      </c>
      <c r="U270" s="85">
        <f>R270/'סכום נכסי הקרן'!$C$42</f>
        <v>6.6389673632762374E-4</v>
      </c>
    </row>
    <row r="271" spans="2:21">
      <c r="B271" s="77" t="s">
        <v>945</v>
      </c>
      <c r="C271" s="74" t="s">
        <v>946</v>
      </c>
      <c r="D271" s="87" t="s">
        <v>27</v>
      </c>
      <c r="E271" s="87" t="s">
        <v>908</v>
      </c>
      <c r="F271" s="74"/>
      <c r="G271" s="87" t="s">
        <v>947</v>
      </c>
      <c r="H271" s="74" t="s">
        <v>944</v>
      </c>
      <c r="I271" s="74" t="s">
        <v>916</v>
      </c>
      <c r="J271" s="74"/>
      <c r="K271" s="84">
        <v>7.880000000015241</v>
      </c>
      <c r="L271" s="87" t="s">
        <v>154</v>
      </c>
      <c r="M271" s="88">
        <v>3.61E-2</v>
      </c>
      <c r="N271" s="88">
        <v>2.7700000000063504E-2</v>
      </c>
      <c r="O271" s="84">
        <v>52910.31</v>
      </c>
      <c r="P271" s="86">
        <v>107.339</v>
      </c>
      <c r="Q271" s="74"/>
      <c r="R271" s="84">
        <v>196.845967175</v>
      </c>
      <c r="S271" s="85">
        <v>4.2328247999999997E-5</v>
      </c>
      <c r="T271" s="85">
        <f t="shared" si="10"/>
        <v>2.3828784740064896E-3</v>
      </c>
      <c r="U271" s="85">
        <f>R271/'סכום נכסי הקרן'!$C$42</f>
        <v>6.8940913739173599E-4</v>
      </c>
    </row>
    <row r="272" spans="2:21">
      <c r="B272" s="77" t="s">
        <v>954</v>
      </c>
      <c r="C272" s="74" t="s">
        <v>955</v>
      </c>
      <c r="D272" s="87" t="s">
        <v>27</v>
      </c>
      <c r="E272" s="87" t="s">
        <v>908</v>
      </c>
      <c r="F272" s="74"/>
      <c r="G272" s="87" t="s">
        <v>956</v>
      </c>
      <c r="H272" s="74" t="s">
        <v>944</v>
      </c>
      <c r="I272" s="74" t="s">
        <v>916</v>
      </c>
      <c r="J272" s="74"/>
      <c r="K272" s="84">
        <v>17.390000000003646</v>
      </c>
      <c r="L272" s="87" t="s">
        <v>154</v>
      </c>
      <c r="M272" s="88">
        <v>5.1249999999999997E-2</v>
      </c>
      <c r="N272" s="88">
        <v>3.1100000000031075E-2</v>
      </c>
      <c r="O272" s="84">
        <v>30864.3475</v>
      </c>
      <c r="P272" s="86">
        <v>138.3802</v>
      </c>
      <c r="Q272" s="74"/>
      <c r="R272" s="84">
        <v>148.03335941400002</v>
      </c>
      <c r="S272" s="85">
        <v>2.4691477999999999E-5</v>
      </c>
      <c r="T272" s="85">
        <f t="shared" si="10"/>
        <v>1.7919874643349373E-3</v>
      </c>
      <c r="U272" s="85">
        <f>R272/'סכום נכסי הקרן'!$C$42</f>
        <v>5.1845385548629074E-4</v>
      </c>
    </row>
    <row r="273" spans="2:21">
      <c r="B273" s="77" t="s">
        <v>960</v>
      </c>
      <c r="C273" s="74" t="s">
        <v>961</v>
      </c>
      <c r="D273" s="87" t="s">
        <v>27</v>
      </c>
      <c r="E273" s="87" t="s">
        <v>908</v>
      </c>
      <c r="F273" s="74"/>
      <c r="G273" s="87" t="s">
        <v>962</v>
      </c>
      <c r="H273" s="74" t="s">
        <v>944</v>
      </c>
      <c r="I273" s="74" t="s">
        <v>916</v>
      </c>
      <c r="J273" s="74"/>
      <c r="K273" s="84">
        <v>18.129999999972938</v>
      </c>
      <c r="L273" s="87" t="s">
        <v>154</v>
      </c>
      <c r="M273" s="88">
        <v>4.2000000000000003E-2</v>
      </c>
      <c r="N273" s="88">
        <v>3.0799999999934134E-2</v>
      </c>
      <c r="O273" s="84">
        <v>56437.663999999997</v>
      </c>
      <c r="P273" s="86">
        <v>121.08199999999999</v>
      </c>
      <c r="Q273" s="74"/>
      <c r="R273" s="84">
        <v>236.85206415699997</v>
      </c>
      <c r="S273" s="85">
        <v>7.5250218666666669E-5</v>
      </c>
      <c r="T273" s="85">
        <f t="shared" si="10"/>
        <v>2.867164074039503E-3</v>
      </c>
      <c r="U273" s="85">
        <f>R273/'סכום נכסי הקרן'!$C$42</f>
        <v>8.2952157762400684E-4</v>
      </c>
    </row>
    <row r="274" spans="2:21">
      <c r="B274" s="77" t="s">
        <v>963</v>
      </c>
      <c r="C274" s="74" t="s">
        <v>964</v>
      </c>
      <c r="D274" s="87" t="s">
        <v>27</v>
      </c>
      <c r="E274" s="87" t="s">
        <v>908</v>
      </c>
      <c r="F274" s="74"/>
      <c r="G274" s="87" t="s">
        <v>947</v>
      </c>
      <c r="H274" s="74" t="s">
        <v>944</v>
      </c>
      <c r="I274" s="74" t="s">
        <v>916</v>
      </c>
      <c r="J274" s="74"/>
      <c r="K274" s="84">
        <v>7.68000000001184</v>
      </c>
      <c r="L274" s="87" t="s">
        <v>154</v>
      </c>
      <c r="M274" s="88">
        <v>3.9329999999999997E-2</v>
      </c>
      <c r="N274" s="88">
        <v>2.8200000000052371E-2</v>
      </c>
      <c r="O274" s="84">
        <v>46120.153550000003</v>
      </c>
      <c r="P274" s="86">
        <v>109.9049</v>
      </c>
      <c r="Q274" s="74"/>
      <c r="R274" s="84">
        <v>175.68567774399997</v>
      </c>
      <c r="S274" s="85">
        <v>3.0746769033333332E-5</v>
      </c>
      <c r="T274" s="85">
        <f t="shared" si="10"/>
        <v>2.1267269311910329E-3</v>
      </c>
      <c r="U274" s="85">
        <f>R274/'סכום נכסי הקרן'!$C$42</f>
        <v>6.152999387480265E-4</v>
      </c>
    </row>
    <row r="275" spans="2:21">
      <c r="B275" s="77" t="s">
        <v>965</v>
      </c>
      <c r="C275" s="74" t="s">
        <v>966</v>
      </c>
      <c r="D275" s="87" t="s">
        <v>27</v>
      </c>
      <c r="E275" s="87" t="s">
        <v>908</v>
      </c>
      <c r="F275" s="74"/>
      <c r="G275" s="87" t="s">
        <v>932</v>
      </c>
      <c r="H275" s="74" t="s">
        <v>944</v>
      </c>
      <c r="I275" s="74" t="s">
        <v>323</v>
      </c>
      <c r="J275" s="74"/>
      <c r="K275" s="84">
        <v>3.7899999982278949</v>
      </c>
      <c r="L275" s="87" t="s">
        <v>154</v>
      </c>
      <c r="M275" s="88">
        <v>4.4999999999999998E-2</v>
      </c>
      <c r="N275" s="88">
        <v>3.6200000035442111E-2</v>
      </c>
      <c r="O275" s="84">
        <v>22.927800999999999</v>
      </c>
      <c r="P275" s="86">
        <v>106.515</v>
      </c>
      <c r="Q275" s="74"/>
      <c r="R275" s="84">
        <v>8.4645084999999995E-2</v>
      </c>
      <c r="S275" s="85">
        <v>4.5855601999999996E-8</v>
      </c>
      <c r="T275" s="85">
        <f t="shared" si="10"/>
        <v>1.024653712095789E-6</v>
      </c>
      <c r="U275" s="85">
        <f>R275/'סכום נכסי הקרן'!$C$42</f>
        <v>2.9645054898392365E-7</v>
      </c>
    </row>
    <row r="276" spans="2:21">
      <c r="B276" s="77" t="s">
        <v>970</v>
      </c>
      <c r="C276" s="74" t="s">
        <v>971</v>
      </c>
      <c r="D276" s="87" t="s">
        <v>27</v>
      </c>
      <c r="E276" s="87" t="s">
        <v>908</v>
      </c>
      <c r="F276" s="74"/>
      <c r="G276" s="87" t="s">
        <v>947</v>
      </c>
      <c r="H276" s="74" t="s">
        <v>944</v>
      </c>
      <c r="I276" s="74" t="s">
        <v>916</v>
      </c>
      <c r="J276" s="74"/>
      <c r="K276" s="84">
        <v>7.6100000000092685</v>
      </c>
      <c r="L276" s="87" t="s">
        <v>154</v>
      </c>
      <c r="M276" s="88">
        <v>4.1100000000000005E-2</v>
      </c>
      <c r="N276" s="88">
        <v>2.8400000000010667E-2</v>
      </c>
      <c r="O276" s="84">
        <v>38800.894</v>
      </c>
      <c r="P276" s="86">
        <v>111.52200000000001</v>
      </c>
      <c r="Q276" s="74"/>
      <c r="R276" s="84">
        <v>149.97913340100001</v>
      </c>
      <c r="S276" s="85">
        <v>3.10407152E-5</v>
      </c>
      <c r="T276" s="85">
        <f t="shared" si="10"/>
        <v>1.8155416321720772E-3</v>
      </c>
      <c r="U276" s="85">
        <f>R276/'סכום נכסי הקרן'!$C$42</f>
        <v>5.2526849530435912E-4</v>
      </c>
    </row>
    <row r="277" spans="2:21">
      <c r="B277" s="77" t="s">
        <v>942</v>
      </c>
      <c r="C277" s="74" t="s">
        <v>943</v>
      </c>
      <c r="D277" s="87" t="s">
        <v>27</v>
      </c>
      <c r="E277" s="87" t="s">
        <v>908</v>
      </c>
      <c r="F277" s="74"/>
      <c r="G277" s="87" t="s">
        <v>914</v>
      </c>
      <c r="H277" s="119" t="s">
        <v>978</v>
      </c>
      <c r="I277" s="119" t="s">
        <v>916</v>
      </c>
      <c r="J277" s="74"/>
      <c r="K277" s="84">
        <v>7.8800000000184296</v>
      </c>
      <c r="L277" s="87" t="s">
        <v>154</v>
      </c>
      <c r="M277" s="88">
        <v>4.8750000000000002E-2</v>
      </c>
      <c r="N277" s="88">
        <v>4.4400000000116915E-2</v>
      </c>
      <c r="O277" s="84">
        <v>56437.663999999997</v>
      </c>
      <c r="P277" s="86">
        <v>103.1893</v>
      </c>
      <c r="Q277" s="74"/>
      <c r="R277" s="84">
        <v>201.85169225600001</v>
      </c>
      <c r="S277" s="85">
        <v>2.2575065599999997E-5</v>
      </c>
      <c r="T277" s="85">
        <f t="shared" si="10"/>
        <v>2.4434742520835942E-3</v>
      </c>
      <c r="U277" s="85">
        <f>R277/'סכום נכסי הקרן'!$C$42</f>
        <v>7.0694057407615833E-4</v>
      </c>
    </row>
    <row r="278" spans="2:21">
      <c r="B278" s="77" t="s">
        <v>948</v>
      </c>
      <c r="C278" s="74" t="s">
        <v>949</v>
      </c>
      <c r="D278" s="87" t="s">
        <v>27</v>
      </c>
      <c r="E278" s="87" t="s">
        <v>908</v>
      </c>
      <c r="F278" s="74"/>
      <c r="G278" s="87" t="s">
        <v>950</v>
      </c>
      <c r="H278" s="119" t="s">
        <v>978</v>
      </c>
      <c r="I278" s="119" t="s">
        <v>916</v>
      </c>
      <c r="J278" s="74"/>
      <c r="K278" s="84">
        <v>8.3600000000105688</v>
      </c>
      <c r="L278" s="87" t="s">
        <v>154</v>
      </c>
      <c r="M278" s="88">
        <v>3.4000000000000002E-2</v>
      </c>
      <c r="N278" s="88">
        <v>3.0200000000045392E-2</v>
      </c>
      <c r="O278" s="84">
        <v>82892.819000000003</v>
      </c>
      <c r="P278" s="86">
        <v>102.7478</v>
      </c>
      <c r="Q278" s="74"/>
      <c r="R278" s="84">
        <v>295.20105513300001</v>
      </c>
      <c r="S278" s="85">
        <v>9.7520963529411763E-5</v>
      </c>
      <c r="T278" s="85">
        <f t="shared" si="9"/>
        <v>3.5734958143951554E-3</v>
      </c>
      <c r="U278" s="85">
        <f>R278/'סכום נכסי הקרן'!$C$42</f>
        <v>1.0338759167742744E-3</v>
      </c>
    </row>
    <row r="279" spans="2:21">
      <c r="B279" s="77" t="s">
        <v>951</v>
      </c>
      <c r="C279" s="74" t="s">
        <v>952</v>
      </c>
      <c r="D279" s="87" t="s">
        <v>27</v>
      </c>
      <c r="E279" s="87" t="s">
        <v>908</v>
      </c>
      <c r="F279" s="74"/>
      <c r="G279" s="87" t="s">
        <v>953</v>
      </c>
      <c r="H279" s="119" t="s">
        <v>978</v>
      </c>
      <c r="I279" s="119" t="s">
        <v>916</v>
      </c>
      <c r="J279" s="74"/>
      <c r="K279" s="84">
        <v>8.3900000000113355</v>
      </c>
      <c r="L279" s="87" t="s">
        <v>154</v>
      </c>
      <c r="M279" s="88">
        <v>0.03</v>
      </c>
      <c r="N279" s="88">
        <v>2.4000000000041224E-2</v>
      </c>
      <c r="O279" s="84">
        <v>67019.725999999995</v>
      </c>
      <c r="P279" s="86">
        <v>104.4383</v>
      </c>
      <c r="Q279" s="74"/>
      <c r="R279" s="84">
        <v>242.60019127499999</v>
      </c>
      <c r="S279" s="85">
        <v>1.3403945199999998E-4</v>
      </c>
      <c r="T279" s="85">
        <f t="shared" si="9"/>
        <v>2.9367468476767106E-3</v>
      </c>
      <c r="U279" s="85">
        <f>R279/'סכום נכסי הקרן'!$C$42</f>
        <v>8.496531120156432E-4</v>
      </c>
    </row>
    <row r="280" spans="2:21">
      <c r="B280" s="77" t="s">
        <v>967</v>
      </c>
      <c r="C280" s="74" t="s">
        <v>968</v>
      </c>
      <c r="D280" s="87" t="s">
        <v>27</v>
      </c>
      <c r="E280" s="87" t="s">
        <v>908</v>
      </c>
      <c r="F280" s="74"/>
      <c r="G280" s="87" t="s">
        <v>969</v>
      </c>
      <c r="H280" s="119" t="s">
        <v>978</v>
      </c>
      <c r="I280" s="119" t="s">
        <v>916</v>
      </c>
      <c r="J280" s="74"/>
      <c r="K280" s="84">
        <v>18.960000000049931</v>
      </c>
      <c r="L280" s="87" t="s">
        <v>154</v>
      </c>
      <c r="M280" s="88">
        <v>3.6249999999999998E-2</v>
      </c>
      <c r="N280" s="88">
        <v>2.9400000000052384E-2</v>
      </c>
      <c r="O280" s="84">
        <v>46084.880010000001</v>
      </c>
      <c r="P280" s="86">
        <v>112.34229999999999</v>
      </c>
      <c r="Q280" s="74"/>
      <c r="R280" s="84">
        <v>179.44451614900001</v>
      </c>
      <c r="S280" s="85">
        <v>9.2169760019999997E-5</v>
      </c>
      <c r="T280" s="85">
        <f t="shared" si="9"/>
        <v>2.1722287784022619E-3</v>
      </c>
      <c r="U280" s="85">
        <f>R280/'סכום נכסי הקרן'!$C$42</f>
        <v>6.2846443269004473E-4</v>
      </c>
    </row>
    <row r="281" spans="2:21">
      <c r="B281" s="77" t="s">
        <v>972</v>
      </c>
      <c r="C281" s="74" t="s">
        <v>973</v>
      </c>
      <c r="D281" s="87" t="s">
        <v>27</v>
      </c>
      <c r="E281" s="87" t="s">
        <v>908</v>
      </c>
      <c r="F281" s="74"/>
      <c r="G281" s="87" t="s">
        <v>974</v>
      </c>
      <c r="H281" s="74" t="s">
        <v>909</v>
      </c>
      <c r="I281" s="74" t="s">
        <v>910</v>
      </c>
      <c r="J281" s="74"/>
      <c r="K281" s="84">
        <v>16.40000000002966</v>
      </c>
      <c r="L281" s="87" t="s">
        <v>154</v>
      </c>
      <c r="M281" s="88">
        <v>4.4500000000000005E-2</v>
      </c>
      <c r="N281" s="88">
        <v>3.1500000000045797E-2</v>
      </c>
      <c r="O281" s="84">
        <v>54412.962804000003</v>
      </c>
      <c r="P281" s="86">
        <v>121.56659999999999</v>
      </c>
      <c r="Q281" s="74"/>
      <c r="R281" s="84">
        <v>229.268950273</v>
      </c>
      <c r="S281" s="85">
        <v>2.7206481402000003E-5</v>
      </c>
      <c r="T281" s="85">
        <f t="shared" si="9"/>
        <v>2.7753682445417161E-3</v>
      </c>
      <c r="U281" s="85">
        <f>R281/'סכום נכסי הקרן'!$C$42</f>
        <v>8.029634109694467E-4</v>
      </c>
    </row>
    <row r="282" spans="2:21">
      <c r="B282" s="77" t="s">
        <v>975</v>
      </c>
      <c r="C282" s="74" t="s">
        <v>976</v>
      </c>
      <c r="D282" s="87" t="s">
        <v>27</v>
      </c>
      <c r="E282" s="87" t="s">
        <v>908</v>
      </c>
      <c r="F282" s="74"/>
      <c r="G282" s="87" t="s">
        <v>977</v>
      </c>
      <c r="H282" s="74" t="s">
        <v>978</v>
      </c>
      <c r="I282" s="74" t="s">
        <v>323</v>
      </c>
      <c r="J282" s="74"/>
      <c r="K282" s="84">
        <v>16.04000000000077</v>
      </c>
      <c r="L282" s="87" t="s">
        <v>154</v>
      </c>
      <c r="M282" s="88">
        <v>5.5500000000000001E-2</v>
      </c>
      <c r="N282" s="88">
        <v>3.650000000000482E-2</v>
      </c>
      <c r="O282" s="84">
        <v>44091.925000000003</v>
      </c>
      <c r="P282" s="86">
        <v>135.6054</v>
      </c>
      <c r="Q282" s="74"/>
      <c r="R282" s="84">
        <v>207.235739846</v>
      </c>
      <c r="S282" s="85">
        <v>1.1022981250000001E-5</v>
      </c>
      <c r="T282" s="85">
        <f t="shared" si="9"/>
        <v>2.5086497356830717E-3</v>
      </c>
      <c r="U282" s="85">
        <f>R282/'סכום נכסי הקרן'!$C$42</f>
        <v>7.2579700104780196E-4</v>
      </c>
    </row>
    <row r="283" spans="2:21">
      <c r="B283" s="77" t="s">
        <v>979</v>
      </c>
      <c r="C283" s="74" t="s">
        <v>980</v>
      </c>
      <c r="D283" s="87" t="s">
        <v>27</v>
      </c>
      <c r="E283" s="87" t="s">
        <v>908</v>
      </c>
      <c r="F283" s="74"/>
      <c r="G283" s="87" t="s">
        <v>977</v>
      </c>
      <c r="H283" s="74" t="s">
        <v>978</v>
      </c>
      <c r="I283" s="74" t="s">
        <v>323</v>
      </c>
      <c r="J283" s="74"/>
      <c r="K283" s="84">
        <v>14.530000000053795</v>
      </c>
      <c r="L283" s="87" t="s">
        <v>156</v>
      </c>
      <c r="M283" s="88">
        <v>3.7000000000000005E-2</v>
      </c>
      <c r="N283" s="88">
        <v>2.3100000000037833E-2</v>
      </c>
      <c r="O283" s="84">
        <v>22927.800999999999</v>
      </c>
      <c r="P283" s="86">
        <v>121.7384</v>
      </c>
      <c r="Q283" s="74"/>
      <c r="R283" s="84">
        <v>108.376512789</v>
      </c>
      <c r="S283" s="85">
        <v>1.310160057142857E-5</v>
      </c>
      <c r="T283" s="85">
        <f t="shared" si="9"/>
        <v>1.3119296428522177E-3</v>
      </c>
      <c r="U283" s="85">
        <f>R283/'סכום נכסי הקרן'!$C$42</f>
        <v>3.7956458680692774E-4</v>
      </c>
    </row>
    <row r="284" spans="2:21">
      <c r="B284" s="77" t="s">
        <v>1138</v>
      </c>
      <c r="C284" s="74" t="s">
        <v>1139</v>
      </c>
      <c r="D284" s="87" t="s">
        <v>27</v>
      </c>
      <c r="E284" s="87" t="s">
        <v>908</v>
      </c>
      <c r="F284" s="74"/>
      <c r="G284" s="87" t="s">
        <v>1140</v>
      </c>
      <c r="H284" s="119" t="s">
        <v>978</v>
      </c>
      <c r="I284" s="119" t="s">
        <v>916</v>
      </c>
      <c r="J284" s="74"/>
      <c r="K284" s="84">
        <v>8.6500000000185153</v>
      </c>
      <c r="L284" s="87" t="s">
        <v>154</v>
      </c>
      <c r="M284" s="88">
        <v>3.875E-2</v>
      </c>
      <c r="N284" s="88">
        <v>3.2400000000045899E-2</v>
      </c>
      <c r="O284" s="84">
        <v>52910.31</v>
      </c>
      <c r="P284" s="86">
        <v>104.54649999999999</v>
      </c>
      <c r="Q284" s="74"/>
      <c r="R284" s="84">
        <v>191.72485601300002</v>
      </c>
      <c r="S284" s="85">
        <v>1.32275775E-4</v>
      </c>
      <c r="T284" s="85">
        <f>R284/$R$11</f>
        <v>2.3208859133965207E-3</v>
      </c>
      <c r="U284" s="85">
        <f>R284/'סכום נכסי הקרן'!$C$42</f>
        <v>6.7147358666977039E-4</v>
      </c>
    </row>
    <row r="285" spans="2:21">
      <c r="B285" s="77" t="s">
        <v>981</v>
      </c>
      <c r="C285" s="74" t="s">
        <v>982</v>
      </c>
      <c r="D285" s="87" t="s">
        <v>27</v>
      </c>
      <c r="E285" s="87" t="s">
        <v>908</v>
      </c>
      <c r="F285" s="74"/>
      <c r="G285" s="87" t="s">
        <v>983</v>
      </c>
      <c r="H285" s="74" t="s">
        <v>978</v>
      </c>
      <c r="I285" s="74" t="s">
        <v>916</v>
      </c>
      <c r="J285" s="74"/>
      <c r="K285" s="84">
        <v>16.970000000024559</v>
      </c>
      <c r="L285" s="87" t="s">
        <v>154</v>
      </c>
      <c r="M285" s="88">
        <v>4.5499999999999999E-2</v>
      </c>
      <c r="N285" s="88">
        <v>3.5100000000054574E-2</v>
      </c>
      <c r="O285" s="84">
        <v>52910.31</v>
      </c>
      <c r="P285" s="86">
        <v>119.90389999999999</v>
      </c>
      <c r="Q285" s="74"/>
      <c r="R285" s="84">
        <v>219.88835688</v>
      </c>
      <c r="S285" s="85">
        <v>2.1210974801140759E-5</v>
      </c>
      <c r="T285" s="85">
        <f t="shared" si="9"/>
        <v>2.6618133955885999E-3</v>
      </c>
      <c r="U285" s="85">
        <f>R285/'סכום נכסי הקרן'!$C$42</f>
        <v>7.7010997286196747E-4</v>
      </c>
    </row>
    <row r="286" spans="2:21">
      <c r="B286" s="77" t="s">
        <v>1143</v>
      </c>
      <c r="C286" s="74" t="s">
        <v>1144</v>
      </c>
      <c r="D286" s="87" t="s">
        <v>27</v>
      </c>
      <c r="E286" s="87" t="s">
        <v>908</v>
      </c>
      <c r="F286" s="74"/>
      <c r="G286" s="87" t="s">
        <v>997</v>
      </c>
      <c r="H286" s="119" t="s">
        <v>978</v>
      </c>
      <c r="I286" s="119" t="s">
        <v>916</v>
      </c>
      <c r="J286" s="74"/>
      <c r="K286" s="84">
        <v>8.3799999999825658</v>
      </c>
      <c r="L286" s="87" t="s">
        <v>154</v>
      </c>
      <c r="M286" s="88">
        <v>3.2500000000000001E-2</v>
      </c>
      <c r="N286" s="88">
        <v>2.6199999999930852E-2</v>
      </c>
      <c r="O286" s="84">
        <v>56437.663999999997</v>
      </c>
      <c r="P286" s="86">
        <v>104.98090000000001</v>
      </c>
      <c r="Q286" s="74"/>
      <c r="R286" s="84">
        <v>205.35631544100002</v>
      </c>
      <c r="S286" s="85">
        <v>7.5250218666666669E-5</v>
      </c>
      <c r="T286" s="85">
        <f>R286/$R$11</f>
        <v>2.485898749099661E-3</v>
      </c>
      <c r="U286" s="85">
        <f>R286/'סכום נכסי הקרן'!$C$42</f>
        <v>7.1921473585619599E-4</v>
      </c>
    </row>
    <row r="287" spans="2:21">
      <c r="B287" s="77" t="s">
        <v>986</v>
      </c>
      <c r="C287" s="74" t="s">
        <v>987</v>
      </c>
      <c r="D287" s="87" t="s">
        <v>27</v>
      </c>
      <c r="E287" s="87" t="s">
        <v>908</v>
      </c>
      <c r="F287" s="74"/>
      <c r="G287" s="87" t="s">
        <v>959</v>
      </c>
      <c r="H287" s="74" t="s">
        <v>978</v>
      </c>
      <c r="I287" s="74" t="s">
        <v>323</v>
      </c>
      <c r="J287" s="74"/>
      <c r="K287" s="84">
        <v>2.809999997133227</v>
      </c>
      <c r="L287" s="87" t="s">
        <v>154</v>
      </c>
      <c r="M287" s="88">
        <v>6.5000000000000002E-2</v>
      </c>
      <c r="N287" s="88">
        <v>3.1899999997507152E-2</v>
      </c>
      <c r="O287" s="84">
        <v>82.892819000000003</v>
      </c>
      <c r="P287" s="86">
        <v>111.69889999999999</v>
      </c>
      <c r="Q287" s="74"/>
      <c r="R287" s="84">
        <v>0.32091833200000003</v>
      </c>
      <c r="S287" s="85">
        <v>3.3157127599999998E-8</v>
      </c>
      <c r="T287" s="85">
        <f t="shared" si="9"/>
        <v>3.8848110337816888E-6</v>
      </c>
      <c r="U287" s="85">
        <f>R287/'סכום נכסי הקרן'!$C$42</f>
        <v>1.1239449484917534E-6</v>
      </c>
    </row>
    <row r="288" spans="2:21">
      <c r="B288" s="77" t="s">
        <v>988</v>
      </c>
      <c r="C288" s="74" t="s">
        <v>989</v>
      </c>
      <c r="D288" s="87" t="s">
        <v>27</v>
      </c>
      <c r="E288" s="87" t="s">
        <v>908</v>
      </c>
      <c r="F288" s="74"/>
      <c r="G288" s="87" t="s">
        <v>990</v>
      </c>
      <c r="H288" s="74" t="s">
        <v>978</v>
      </c>
      <c r="I288" s="74" t="s">
        <v>916</v>
      </c>
      <c r="J288" s="74"/>
      <c r="K288" s="84">
        <v>14.429999999968347</v>
      </c>
      <c r="L288" s="87" t="s">
        <v>154</v>
      </c>
      <c r="M288" s="88">
        <v>5.0999999999999997E-2</v>
      </c>
      <c r="N288" s="88">
        <v>3.9799999999909567E-2</v>
      </c>
      <c r="O288" s="84">
        <v>21164.124</v>
      </c>
      <c r="P288" s="86">
        <v>117.57550000000001</v>
      </c>
      <c r="Q288" s="74"/>
      <c r="R288" s="84">
        <v>86.247336110999996</v>
      </c>
      <c r="S288" s="85">
        <v>2.8218831999999999E-5</v>
      </c>
      <c r="T288" s="85">
        <f t="shared" si="9"/>
        <v>1.0440494342289258E-3</v>
      </c>
      <c r="U288" s="85">
        <f>R288/'סכום נכסי הקרן'!$C$42</f>
        <v>3.0206207647504794E-4</v>
      </c>
    </row>
    <row r="289" spans="2:21">
      <c r="B289" s="77" t="s">
        <v>991</v>
      </c>
      <c r="C289" s="74" t="s">
        <v>992</v>
      </c>
      <c r="D289" s="87" t="s">
        <v>27</v>
      </c>
      <c r="E289" s="87" t="s">
        <v>908</v>
      </c>
      <c r="F289" s="74"/>
      <c r="G289" s="87" t="s">
        <v>977</v>
      </c>
      <c r="H289" s="74" t="s">
        <v>978</v>
      </c>
      <c r="I289" s="74" t="s">
        <v>916</v>
      </c>
      <c r="J289" s="74"/>
      <c r="K289" s="84">
        <v>18.52000000004228</v>
      </c>
      <c r="L289" s="87" t="s">
        <v>154</v>
      </c>
      <c r="M289" s="88">
        <v>3.7999999999999999E-2</v>
      </c>
      <c r="N289" s="88">
        <v>3.1200000000092043E-2</v>
      </c>
      <c r="O289" s="84">
        <v>35273.54</v>
      </c>
      <c r="P289" s="86">
        <v>113.74979999999999</v>
      </c>
      <c r="Q289" s="74"/>
      <c r="R289" s="84">
        <v>139.06830530599998</v>
      </c>
      <c r="S289" s="85">
        <v>4.7031386666666666E-5</v>
      </c>
      <c r="T289" s="85">
        <f t="shared" si="9"/>
        <v>1.6834628409512899E-3</v>
      </c>
      <c r="U289" s="85">
        <f>R289/'סכום נכסי הקרן'!$C$42</f>
        <v>4.8705575113106215E-4</v>
      </c>
    </row>
    <row r="290" spans="2:21">
      <c r="B290" s="77" t="s">
        <v>993</v>
      </c>
      <c r="C290" s="74" t="s">
        <v>994</v>
      </c>
      <c r="D290" s="87" t="s">
        <v>27</v>
      </c>
      <c r="E290" s="87" t="s">
        <v>908</v>
      </c>
      <c r="F290" s="74"/>
      <c r="G290" s="87" t="s">
        <v>932</v>
      </c>
      <c r="H290" s="74" t="s">
        <v>978</v>
      </c>
      <c r="I290" s="74" t="s">
        <v>323</v>
      </c>
      <c r="J290" s="74"/>
      <c r="K290" s="84">
        <v>6.1599999999992932</v>
      </c>
      <c r="L290" s="87" t="s">
        <v>154</v>
      </c>
      <c r="M290" s="88">
        <v>4.4999999999999998E-2</v>
      </c>
      <c r="N290" s="88">
        <v>4.3199999999985882E-2</v>
      </c>
      <c r="O290" s="84">
        <v>31922.5537</v>
      </c>
      <c r="P290" s="86">
        <v>102.444</v>
      </c>
      <c r="Q290" s="74"/>
      <c r="R290" s="84">
        <v>113.34770001299999</v>
      </c>
      <c r="S290" s="85">
        <v>4.2563404933333337E-5</v>
      </c>
      <c r="T290" s="85">
        <f t="shared" si="9"/>
        <v>1.3721073299866183E-3</v>
      </c>
      <c r="U290" s="85">
        <f>R290/'סכום נכסי הקרן'!$C$42</f>
        <v>3.9697506234318204E-4</v>
      </c>
    </row>
    <row r="291" spans="2:21">
      <c r="B291" s="77" t="s">
        <v>995</v>
      </c>
      <c r="C291" s="74" t="s">
        <v>996</v>
      </c>
      <c r="D291" s="87" t="s">
        <v>27</v>
      </c>
      <c r="E291" s="87" t="s">
        <v>908</v>
      </c>
      <c r="F291" s="74"/>
      <c r="G291" s="87" t="s">
        <v>997</v>
      </c>
      <c r="H291" s="74" t="s">
        <v>978</v>
      </c>
      <c r="I291" s="74" t="s">
        <v>323</v>
      </c>
      <c r="J291" s="74"/>
      <c r="K291" s="84">
        <v>9.3699999999636407</v>
      </c>
      <c r="L291" s="87" t="s">
        <v>154</v>
      </c>
      <c r="M291" s="88">
        <v>2.7999999999999997E-2</v>
      </c>
      <c r="N291" s="88">
        <v>2.1999999999937847E-2</v>
      </c>
      <c r="O291" s="84">
        <v>35273.54</v>
      </c>
      <c r="P291" s="86">
        <v>105.2816</v>
      </c>
      <c r="Q291" s="74"/>
      <c r="R291" s="84">
        <v>128.715218564</v>
      </c>
      <c r="S291" s="85">
        <v>6.4133709090909095E-5</v>
      </c>
      <c r="T291" s="85">
        <f t="shared" si="9"/>
        <v>1.558135673262345E-3</v>
      </c>
      <c r="U291" s="85">
        <f>R291/'סכום נכסי הקרן'!$C$42</f>
        <v>4.5079637176669528E-4</v>
      </c>
    </row>
    <row r="292" spans="2:21">
      <c r="B292" s="77" t="s">
        <v>998</v>
      </c>
      <c r="C292" s="74" t="s">
        <v>999</v>
      </c>
      <c r="D292" s="87" t="s">
        <v>27</v>
      </c>
      <c r="E292" s="87" t="s">
        <v>908</v>
      </c>
      <c r="F292" s="74"/>
      <c r="G292" s="87" t="s">
        <v>962</v>
      </c>
      <c r="H292" s="74" t="s">
        <v>978</v>
      </c>
      <c r="I292" s="74" t="s">
        <v>323</v>
      </c>
      <c r="J292" s="74"/>
      <c r="K292" s="84">
        <v>19.020000000019802</v>
      </c>
      <c r="L292" s="87" t="s">
        <v>154</v>
      </c>
      <c r="M292" s="88">
        <v>3.5000000000000003E-2</v>
      </c>
      <c r="N292" s="88">
        <v>3.1800000000034939E-2</v>
      </c>
      <c r="O292" s="84">
        <v>70547.08</v>
      </c>
      <c r="P292" s="86">
        <v>105.33029999999999</v>
      </c>
      <c r="Q292" s="74"/>
      <c r="R292" s="84">
        <v>257.54957084500001</v>
      </c>
      <c r="S292" s="85">
        <v>5.6437663999999998E-5</v>
      </c>
      <c r="T292" s="85">
        <f t="shared" si="9"/>
        <v>3.1177134952963502E-3</v>
      </c>
      <c r="U292" s="85">
        <f>R292/'סכום נכסי הקרן'!$C$42</f>
        <v>9.0200998283094874E-4</v>
      </c>
    </row>
    <row r="293" spans="2:21">
      <c r="B293" s="77" t="s">
        <v>1000</v>
      </c>
      <c r="C293" s="74" t="s">
        <v>1001</v>
      </c>
      <c r="D293" s="87" t="s">
        <v>27</v>
      </c>
      <c r="E293" s="87" t="s">
        <v>908</v>
      </c>
      <c r="F293" s="74"/>
      <c r="G293" s="87" t="s">
        <v>1002</v>
      </c>
      <c r="H293" s="74" t="s">
        <v>978</v>
      </c>
      <c r="I293" s="74" t="s">
        <v>323</v>
      </c>
      <c r="J293" s="74"/>
      <c r="K293" s="84">
        <v>17.160000000035442</v>
      </c>
      <c r="L293" s="87" t="s">
        <v>154</v>
      </c>
      <c r="M293" s="88">
        <v>4.5999999999999999E-2</v>
      </c>
      <c r="N293" s="88">
        <v>3.7800000000087187E-2</v>
      </c>
      <c r="O293" s="84">
        <v>52910.31</v>
      </c>
      <c r="P293" s="86">
        <v>115.0842</v>
      </c>
      <c r="Q293" s="74"/>
      <c r="R293" s="84">
        <v>211.04965737199998</v>
      </c>
      <c r="S293" s="85">
        <v>1.0582061999999999E-4</v>
      </c>
      <c r="T293" s="85">
        <f t="shared" si="9"/>
        <v>2.5548183318944533E-3</v>
      </c>
      <c r="U293" s="85">
        <f>R293/'סכום נכסי הקרן'!$C$42</f>
        <v>7.3915439733799541E-4</v>
      </c>
    </row>
    <row r="294" spans="2:21">
      <c r="B294" s="77" t="s">
        <v>1003</v>
      </c>
      <c r="C294" s="74" t="s">
        <v>1004</v>
      </c>
      <c r="D294" s="87" t="s">
        <v>27</v>
      </c>
      <c r="E294" s="87" t="s">
        <v>908</v>
      </c>
      <c r="F294" s="74"/>
      <c r="G294" s="87" t="s">
        <v>953</v>
      </c>
      <c r="H294" s="74" t="s">
        <v>915</v>
      </c>
      <c r="I294" s="74" t="s">
        <v>323</v>
      </c>
      <c r="J294" s="74"/>
      <c r="K294" s="84">
        <v>4.3199999999989585</v>
      </c>
      <c r="L294" s="87" t="s">
        <v>154</v>
      </c>
      <c r="M294" s="88">
        <v>6.5000000000000002E-2</v>
      </c>
      <c r="N294" s="88">
        <v>5.3399999999979172E-2</v>
      </c>
      <c r="O294" s="84">
        <v>52910.31</v>
      </c>
      <c r="P294" s="86">
        <v>104.68519999999999</v>
      </c>
      <c r="Q294" s="74"/>
      <c r="R294" s="84">
        <v>191.97922925999998</v>
      </c>
      <c r="S294" s="85">
        <v>4.2328247999999997E-5</v>
      </c>
      <c r="T294" s="85">
        <f t="shared" si="9"/>
        <v>2.3239651765551124E-3</v>
      </c>
      <c r="U294" s="85">
        <f>R294/'סכום נכסי הקרן'!$C$42</f>
        <v>6.7236447228610546E-4</v>
      </c>
    </row>
    <row r="295" spans="2:21">
      <c r="B295" s="77" t="s">
        <v>1005</v>
      </c>
      <c r="C295" s="74" t="s">
        <v>1006</v>
      </c>
      <c r="D295" s="87" t="s">
        <v>27</v>
      </c>
      <c r="E295" s="87" t="s">
        <v>908</v>
      </c>
      <c r="F295" s="74"/>
      <c r="G295" s="87" t="s">
        <v>953</v>
      </c>
      <c r="H295" s="74" t="s">
        <v>915</v>
      </c>
      <c r="I295" s="74" t="s">
        <v>323</v>
      </c>
      <c r="J295" s="74"/>
      <c r="K295" s="84">
        <v>6.3299999999752679</v>
      </c>
      <c r="L295" s="87" t="s">
        <v>154</v>
      </c>
      <c r="M295" s="88">
        <v>4.2500000000000003E-2</v>
      </c>
      <c r="N295" s="88">
        <v>4.1899999999837345E-2</v>
      </c>
      <c r="O295" s="84">
        <v>38800.894</v>
      </c>
      <c r="P295" s="86">
        <v>100.1165</v>
      </c>
      <c r="Q295" s="74"/>
      <c r="R295" s="84">
        <v>134.64060970100002</v>
      </c>
      <c r="S295" s="85">
        <v>6.4668156666666671E-5</v>
      </c>
      <c r="T295" s="85">
        <f t="shared" si="9"/>
        <v>1.629864280117032E-3</v>
      </c>
      <c r="U295" s="85">
        <f>R295/'סכום נכסי הקרן'!$C$42</f>
        <v>4.7154873388563148E-4</v>
      </c>
    </row>
    <row r="296" spans="2:21">
      <c r="B296" s="77" t="s">
        <v>1007</v>
      </c>
      <c r="C296" s="74" t="s">
        <v>1008</v>
      </c>
      <c r="D296" s="87" t="s">
        <v>27</v>
      </c>
      <c r="E296" s="87" t="s">
        <v>908</v>
      </c>
      <c r="F296" s="74"/>
      <c r="G296" s="87" t="s">
        <v>953</v>
      </c>
      <c r="H296" s="74" t="s">
        <v>915</v>
      </c>
      <c r="I296" s="74" t="s">
        <v>323</v>
      </c>
      <c r="J296" s="74"/>
      <c r="K296" s="84">
        <v>1.0400000000004361</v>
      </c>
      <c r="L296" s="87" t="s">
        <v>154</v>
      </c>
      <c r="M296" s="88">
        <v>5.2499999999999998E-2</v>
      </c>
      <c r="N296" s="88">
        <v>3.6200000000067623E-2</v>
      </c>
      <c r="O296" s="84">
        <v>49134.277542999989</v>
      </c>
      <c r="P296" s="86">
        <v>107.6729</v>
      </c>
      <c r="Q296" s="74"/>
      <c r="R296" s="84">
        <v>183.36633749800001</v>
      </c>
      <c r="S296" s="85">
        <v>8.1890462571666643E-5</v>
      </c>
      <c r="T296" s="85">
        <f t="shared" si="9"/>
        <v>2.2197035822072242E-3</v>
      </c>
      <c r="U296" s="85">
        <f>R296/'סכום נכסי הקרן'!$C$42</f>
        <v>6.4219973807638721E-4</v>
      </c>
    </row>
    <row r="297" spans="2:21">
      <c r="B297" s="77" t="s">
        <v>1009</v>
      </c>
      <c r="C297" s="74" t="s">
        <v>1010</v>
      </c>
      <c r="D297" s="87" t="s">
        <v>27</v>
      </c>
      <c r="E297" s="87" t="s">
        <v>908</v>
      </c>
      <c r="F297" s="74"/>
      <c r="G297" s="87" t="s">
        <v>1011</v>
      </c>
      <c r="H297" s="74" t="s">
        <v>915</v>
      </c>
      <c r="I297" s="74" t="s">
        <v>323</v>
      </c>
      <c r="J297" s="74"/>
      <c r="K297" s="84">
        <v>7.1599999999975177</v>
      </c>
      <c r="L297" s="87" t="s">
        <v>154</v>
      </c>
      <c r="M297" s="88">
        <v>4.7500000000000001E-2</v>
      </c>
      <c r="N297" s="88">
        <v>2.889999999998424E-2</v>
      </c>
      <c r="O297" s="84">
        <v>52910.31</v>
      </c>
      <c r="P297" s="86">
        <v>114.2046</v>
      </c>
      <c r="Q297" s="74"/>
      <c r="R297" s="84">
        <v>209.43651279700001</v>
      </c>
      <c r="S297" s="85">
        <v>1.7636769999999998E-5</v>
      </c>
      <c r="T297" s="85">
        <f t="shared" si="9"/>
        <v>2.5352907411675856E-3</v>
      </c>
      <c r="U297" s="85">
        <f>R297/'סכום נכסי הקרן'!$C$42</f>
        <v>7.3350471791657141E-4</v>
      </c>
    </row>
    <row r="298" spans="2:21">
      <c r="B298" s="77" t="s">
        <v>984</v>
      </c>
      <c r="C298" s="74" t="s">
        <v>985</v>
      </c>
      <c r="D298" s="87" t="s">
        <v>27</v>
      </c>
      <c r="E298" s="87" t="s">
        <v>908</v>
      </c>
      <c r="F298" s="74"/>
      <c r="G298" s="87" t="s">
        <v>953</v>
      </c>
      <c r="H298" s="119" t="s">
        <v>915</v>
      </c>
      <c r="I298" s="119" t="s">
        <v>916</v>
      </c>
      <c r="J298" s="74"/>
      <c r="K298" s="84">
        <v>17.15999999998289</v>
      </c>
      <c r="L298" s="87" t="s">
        <v>154</v>
      </c>
      <c r="M298" s="88">
        <v>5.9299999999999999E-2</v>
      </c>
      <c r="N298" s="88">
        <v>4.859999999995309E-2</v>
      </c>
      <c r="O298" s="84">
        <v>88183.85</v>
      </c>
      <c r="P298" s="86">
        <v>118.5604</v>
      </c>
      <c r="Q298" s="74"/>
      <c r="R298" s="84">
        <v>362.37433609499999</v>
      </c>
      <c r="S298" s="85">
        <v>2.5195385714285715E-5</v>
      </c>
      <c r="T298" s="85">
        <f>R298/$R$11</f>
        <v>4.3866481869323992E-3</v>
      </c>
      <c r="U298" s="85">
        <f>R298/'סכום נכסי הקרן'!$C$42</f>
        <v>1.2691353653085423E-3</v>
      </c>
    </row>
    <row r="299" spans="2:21">
      <c r="B299" s="77" t="s">
        <v>1012</v>
      </c>
      <c r="C299" s="74" t="s">
        <v>1013</v>
      </c>
      <c r="D299" s="87" t="s">
        <v>27</v>
      </c>
      <c r="E299" s="87" t="s">
        <v>908</v>
      </c>
      <c r="F299" s="74"/>
      <c r="G299" s="87" t="s">
        <v>1011</v>
      </c>
      <c r="H299" s="74" t="s">
        <v>915</v>
      </c>
      <c r="I299" s="74" t="s">
        <v>323</v>
      </c>
      <c r="J299" s="74"/>
      <c r="K299" s="84">
        <v>7.7699999999715867</v>
      </c>
      <c r="L299" s="87" t="s">
        <v>154</v>
      </c>
      <c r="M299" s="88">
        <v>0.05</v>
      </c>
      <c r="N299" s="88">
        <v>3.1199999999881555E-2</v>
      </c>
      <c r="O299" s="84">
        <v>35273.54</v>
      </c>
      <c r="P299" s="86">
        <v>116.018</v>
      </c>
      <c r="Q299" s="74"/>
      <c r="R299" s="84">
        <v>141.84139043900001</v>
      </c>
      <c r="S299" s="85">
        <v>1.567712888888889E-5</v>
      </c>
      <c r="T299" s="85">
        <f t="shared" si="9"/>
        <v>1.7170318541489978E-3</v>
      </c>
      <c r="U299" s="85">
        <f>R299/'סכום נכסי הקרן'!$C$42</f>
        <v>4.9676786389055692E-4</v>
      </c>
    </row>
    <row r="300" spans="2:21">
      <c r="B300" s="77" t="s">
        <v>1014</v>
      </c>
      <c r="C300" s="74" t="s">
        <v>1015</v>
      </c>
      <c r="D300" s="87" t="s">
        <v>27</v>
      </c>
      <c r="E300" s="87" t="s">
        <v>908</v>
      </c>
      <c r="F300" s="74"/>
      <c r="G300" s="87" t="s">
        <v>950</v>
      </c>
      <c r="H300" s="74" t="s">
        <v>915</v>
      </c>
      <c r="I300" s="74" t="s">
        <v>323</v>
      </c>
      <c r="J300" s="74"/>
      <c r="K300" s="84">
        <v>7.2899999999926957</v>
      </c>
      <c r="L300" s="87" t="s">
        <v>154</v>
      </c>
      <c r="M300" s="88">
        <v>5.2999999999999999E-2</v>
      </c>
      <c r="N300" s="88">
        <v>3.8399999999985703E-2</v>
      </c>
      <c r="O300" s="84">
        <v>50617.529900000001</v>
      </c>
      <c r="P300" s="86">
        <v>111.5763</v>
      </c>
      <c r="Q300" s="74"/>
      <c r="R300" s="84">
        <v>195.74982186699995</v>
      </c>
      <c r="S300" s="85">
        <v>2.8924302800000002E-5</v>
      </c>
      <c r="T300" s="85">
        <f t="shared" si="9"/>
        <v>2.369609311847356E-3</v>
      </c>
      <c r="U300" s="85">
        <f>R300/'סכום נכסי הקרן'!$C$42</f>
        <v>6.8557013270147235E-4</v>
      </c>
    </row>
    <row r="301" spans="2:21">
      <c r="B301" s="77" t="s">
        <v>1016</v>
      </c>
      <c r="C301" s="74" t="s">
        <v>1017</v>
      </c>
      <c r="D301" s="87" t="s">
        <v>27</v>
      </c>
      <c r="E301" s="87" t="s">
        <v>908</v>
      </c>
      <c r="F301" s="74"/>
      <c r="G301" s="87" t="s">
        <v>950</v>
      </c>
      <c r="H301" s="74" t="s">
        <v>915</v>
      </c>
      <c r="I301" s="74" t="s">
        <v>323</v>
      </c>
      <c r="J301" s="74"/>
      <c r="K301" s="84">
        <v>7.5899999999768166</v>
      </c>
      <c r="L301" s="87" t="s">
        <v>154</v>
      </c>
      <c r="M301" s="88">
        <v>6.2E-2</v>
      </c>
      <c r="N301" s="88">
        <v>4.0299999999865055E-2</v>
      </c>
      <c r="O301" s="84">
        <v>21164.124</v>
      </c>
      <c r="P301" s="86">
        <v>118.18899999999999</v>
      </c>
      <c r="Q301" s="74"/>
      <c r="R301" s="84">
        <v>86.697368139000005</v>
      </c>
      <c r="S301" s="85">
        <v>2.8218831999999999E-5</v>
      </c>
      <c r="T301" s="85">
        <f t="shared" si="9"/>
        <v>1.0494972046228266E-3</v>
      </c>
      <c r="U301" s="85">
        <f>R301/'סכום נכסי הקרן'!$C$42</f>
        <v>3.0363821337373438E-4</v>
      </c>
    </row>
    <row r="302" spans="2:21">
      <c r="B302" s="77" t="s">
        <v>1018</v>
      </c>
      <c r="C302" s="74" t="s">
        <v>1019</v>
      </c>
      <c r="D302" s="87" t="s">
        <v>27</v>
      </c>
      <c r="E302" s="87" t="s">
        <v>908</v>
      </c>
      <c r="F302" s="74"/>
      <c r="G302" s="87" t="s">
        <v>914</v>
      </c>
      <c r="H302" s="74" t="s">
        <v>915</v>
      </c>
      <c r="I302" s="74" t="s">
        <v>323</v>
      </c>
      <c r="J302" s="74"/>
      <c r="K302" s="84">
        <v>7.0100000000117335</v>
      </c>
      <c r="L302" s="87" t="s">
        <v>154</v>
      </c>
      <c r="M302" s="88">
        <v>5.2499999999999998E-2</v>
      </c>
      <c r="N302" s="88">
        <v>3.8000000000086909E-2</v>
      </c>
      <c r="O302" s="84">
        <v>59711.048512000001</v>
      </c>
      <c r="P302" s="86">
        <v>111.19670000000001</v>
      </c>
      <c r="Q302" s="74"/>
      <c r="R302" s="84">
        <v>230.13111932999999</v>
      </c>
      <c r="S302" s="85">
        <v>3.9807365674666667E-5</v>
      </c>
      <c r="T302" s="85">
        <f t="shared" si="9"/>
        <v>2.7858050551930274E-3</v>
      </c>
      <c r="U302" s="85">
        <f>R302/'סכום נכסי הקרן'!$C$42</f>
        <v>8.0598296597685917E-4</v>
      </c>
    </row>
    <row r="303" spans="2:21">
      <c r="B303" s="77" t="s">
        <v>1020</v>
      </c>
      <c r="C303" s="74" t="s">
        <v>1021</v>
      </c>
      <c r="D303" s="87" t="s">
        <v>27</v>
      </c>
      <c r="E303" s="87" t="s">
        <v>908</v>
      </c>
      <c r="F303" s="74"/>
      <c r="G303" s="87" t="s">
        <v>956</v>
      </c>
      <c r="H303" s="74" t="s">
        <v>915</v>
      </c>
      <c r="I303" s="74" t="s">
        <v>323</v>
      </c>
      <c r="J303" s="74"/>
      <c r="K303" s="84">
        <v>4.0400000000094964</v>
      </c>
      <c r="L303" s="87" t="s">
        <v>154</v>
      </c>
      <c r="M303" s="88">
        <v>6.25E-2</v>
      </c>
      <c r="N303" s="88">
        <v>4.5400000000094962E-2</v>
      </c>
      <c r="O303" s="84">
        <v>52910.31</v>
      </c>
      <c r="P303" s="86">
        <v>107.95489999999999</v>
      </c>
      <c r="Q303" s="74"/>
      <c r="R303" s="84">
        <v>197.97532627799998</v>
      </c>
      <c r="S303" s="85">
        <v>2.6455154999999997E-5</v>
      </c>
      <c r="T303" s="85">
        <f t="shared" si="9"/>
        <v>2.3965496989474073E-3</v>
      </c>
      <c r="U303" s="85">
        <f>R303/'סכום נכסי הקרן'!$C$42</f>
        <v>6.9336446599804953E-4</v>
      </c>
    </row>
    <row r="304" spans="2:21">
      <c r="B304" s="77" t="s">
        <v>1022</v>
      </c>
      <c r="C304" s="74" t="s">
        <v>1023</v>
      </c>
      <c r="D304" s="87" t="s">
        <v>27</v>
      </c>
      <c r="E304" s="87" t="s">
        <v>908</v>
      </c>
      <c r="F304" s="74"/>
      <c r="G304" s="87" t="s">
        <v>950</v>
      </c>
      <c r="H304" s="74" t="s">
        <v>915</v>
      </c>
      <c r="I304" s="74" t="s">
        <v>323</v>
      </c>
      <c r="J304" s="74"/>
      <c r="K304" s="84">
        <v>7.8499999999968111</v>
      </c>
      <c r="L304" s="87" t="s">
        <v>154</v>
      </c>
      <c r="M304" s="88">
        <v>4.8750000000000002E-2</v>
      </c>
      <c r="N304" s="88">
        <v>3.4599999999983318E-2</v>
      </c>
      <c r="O304" s="84">
        <v>52910.31</v>
      </c>
      <c r="P304" s="86">
        <v>111.08799999999999</v>
      </c>
      <c r="Q304" s="74"/>
      <c r="R304" s="84">
        <v>203.72109992899999</v>
      </c>
      <c r="S304" s="85">
        <v>1.6280095384615384E-4</v>
      </c>
      <c r="T304" s="85">
        <f t="shared" si="9"/>
        <v>2.4661039831726443E-3</v>
      </c>
      <c r="U304" s="85">
        <f>R304/'סכום נכסי הקרן'!$C$42</f>
        <v>7.1348775789593477E-4</v>
      </c>
    </row>
    <row r="305" spans="2:21">
      <c r="B305" s="77" t="s">
        <v>1024</v>
      </c>
      <c r="C305" s="74" t="s">
        <v>1025</v>
      </c>
      <c r="D305" s="87" t="s">
        <v>27</v>
      </c>
      <c r="E305" s="87" t="s">
        <v>908</v>
      </c>
      <c r="F305" s="74"/>
      <c r="G305" s="87" t="s">
        <v>959</v>
      </c>
      <c r="H305" s="74" t="s">
        <v>915</v>
      </c>
      <c r="I305" s="74" t="s">
        <v>323</v>
      </c>
      <c r="J305" s="74"/>
      <c r="K305" s="84">
        <v>4.1099999999941579</v>
      </c>
      <c r="L305" s="87" t="s">
        <v>154</v>
      </c>
      <c r="M305" s="88">
        <v>4.1250000000000002E-2</v>
      </c>
      <c r="N305" s="88">
        <v>4.7099999999853426E-2</v>
      </c>
      <c r="O305" s="84">
        <v>26455.154999999999</v>
      </c>
      <c r="P305" s="86">
        <v>98.951800000000006</v>
      </c>
      <c r="Q305" s="74"/>
      <c r="R305" s="84">
        <v>90.732465823000013</v>
      </c>
      <c r="S305" s="85">
        <v>5.6287563829787233E-5</v>
      </c>
      <c r="T305" s="85">
        <f t="shared" si="9"/>
        <v>1.0983432518632508E-3</v>
      </c>
      <c r="U305" s="85">
        <f>R305/'סכום נכסי הקרן'!$C$42</f>
        <v>3.1777024388236422E-4</v>
      </c>
    </row>
    <row r="306" spans="2:21">
      <c r="B306" s="77" t="s">
        <v>1026</v>
      </c>
      <c r="C306" s="74" t="s">
        <v>1027</v>
      </c>
      <c r="D306" s="87" t="s">
        <v>27</v>
      </c>
      <c r="E306" s="87" t="s">
        <v>908</v>
      </c>
      <c r="F306" s="74"/>
      <c r="G306" s="87" t="s">
        <v>1028</v>
      </c>
      <c r="H306" s="74" t="s">
        <v>915</v>
      </c>
      <c r="I306" s="74" t="s">
        <v>323</v>
      </c>
      <c r="J306" s="74"/>
      <c r="K306" s="84">
        <v>5.800000000010793</v>
      </c>
      <c r="L306" s="87" t="s">
        <v>154</v>
      </c>
      <c r="M306" s="88">
        <v>6.8000000000000005E-2</v>
      </c>
      <c r="N306" s="88">
        <v>4.0600000000070642E-2</v>
      </c>
      <c r="O306" s="84">
        <v>50264.794500000004</v>
      </c>
      <c r="P306" s="86">
        <v>117.0087</v>
      </c>
      <c r="Q306" s="74"/>
      <c r="R306" s="84">
        <v>203.84989882599999</v>
      </c>
      <c r="S306" s="85">
        <v>5.0264794500000002E-5</v>
      </c>
      <c r="T306" s="85">
        <f t="shared" si="9"/>
        <v>2.4676631317980475E-3</v>
      </c>
      <c r="U306" s="85">
        <f>R306/'סכום נכסי הקרן'!$C$42</f>
        <v>7.1393884733277773E-4</v>
      </c>
    </row>
    <row r="307" spans="2:21">
      <c r="B307" s="77" t="s">
        <v>1029</v>
      </c>
      <c r="C307" s="74" t="s">
        <v>1030</v>
      </c>
      <c r="D307" s="87" t="s">
        <v>27</v>
      </c>
      <c r="E307" s="87" t="s">
        <v>908</v>
      </c>
      <c r="F307" s="74"/>
      <c r="G307" s="87" t="s">
        <v>959</v>
      </c>
      <c r="H307" s="74" t="s">
        <v>915</v>
      </c>
      <c r="I307" s="74" t="s">
        <v>323</v>
      </c>
      <c r="J307" s="74"/>
      <c r="K307" s="84">
        <v>4.1499999999960853</v>
      </c>
      <c r="L307" s="87" t="s">
        <v>154</v>
      </c>
      <c r="M307" s="88">
        <v>3.7499999999999999E-2</v>
      </c>
      <c r="N307" s="88">
        <v>2.6199999999890373E-2</v>
      </c>
      <c r="O307" s="84">
        <v>21164.124</v>
      </c>
      <c r="P307" s="86">
        <v>104.45829999999999</v>
      </c>
      <c r="Q307" s="74"/>
      <c r="R307" s="84">
        <v>76.625257681999997</v>
      </c>
      <c r="S307" s="85">
        <v>5.878923333333333E-5</v>
      </c>
      <c r="T307" s="85">
        <f t="shared" si="9"/>
        <v>9.2757133771154794E-4</v>
      </c>
      <c r="U307" s="85">
        <f>R307/'סכום נכסי הקרן'!$C$42</f>
        <v>2.6836289083841683E-4</v>
      </c>
    </row>
    <row r="308" spans="2:21">
      <c r="B308" s="77" t="s">
        <v>1031</v>
      </c>
      <c r="C308" s="74" t="s">
        <v>1032</v>
      </c>
      <c r="D308" s="87" t="s">
        <v>27</v>
      </c>
      <c r="E308" s="87" t="s">
        <v>908</v>
      </c>
      <c r="F308" s="74"/>
      <c r="G308" s="87" t="s">
        <v>974</v>
      </c>
      <c r="H308" s="74" t="s">
        <v>1033</v>
      </c>
      <c r="I308" s="74" t="s">
        <v>910</v>
      </c>
      <c r="J308" s="74"/>
      <c r="K308" s="84">
        <v>7.859999999995507</v>
      </c>
      <c r="L308" s="87" t="s">
        <v>156</v>
      </c>
      <c r="M308" s="88">
        <v>2.8750000000000001E-2</v>
      </c>
      <c r="N308" s="88">
        <v>2.2899999999966641E-2</v>
      </c>
      <c r="O308" s="84">
        <v>36331.746200000001</v>
      </c>
      <c r="P308" s="86">
        <v>104.1294</v>
      </c>
      <c r="Q308" s="74"/>
      <c r="R308" s="84">
        <v>146.89418028100002</v>
      </c>
      <c r="S308" s="85">
        <v>3.6331746199999999E-5</v>
      </c>
      <c r="T308" s="85">
        <f t="shared" si="9"/>
        <v>1.7781973650353678E-3</v>
      </c>
      <c r="U308" s="85">
        <f>R308/'סכום נכסי הקרן'!$C$42</f>
        <v>5.144641344130721E-4</v>
      </c>
    </row>
    <row r="309" spans="2:21">
      <c r="B309" s="77" t="s">
        <v>1034</v>
      </c>
      <c r="C309" s="74" t="s">
        <v>1035</v>
      </c>
      <c r="D309" s="87" t="s">
        <v>27</v>
      </c>
      <c r="E309" s="87" t="s">
        <v>908</v>
      </c>
      <c r="F309" s="74"/>
      <c r="G309" s="87" t="s">
        <v>977</v>
      </c>
      <c r="H309" s="74" t="s">
        <v>915</v>
      </c>
      <c r="I309" s="74" t="s">
        <v>323</v>
      </c>
      <c r="J309" s="74"/>
      <c r="K309" s="84">
        <v>15.609999999985842</v>
      </c>
      <c r="L309" s="87" t="s">
        <v>154</v>
      </c>
      <c r="M309" s="88">
        <v>4.2000000000000003E-2</v>
      </c>
      <c r="N309" s="88">
        <v>4.1799999999979194E-2</v>
      </c>
      <c r="O309" s="84">
        <v>35273.54</v>
      </c>
      <c r="P309" s="86">
        <v>102.25</v>
      </c>
      <c r="Q309" s="74"/>
      <c r="R309" s="84">
        <v>125.00889665700001</v>
      </c>
      <c r="S309" s="85">
        <v>1.9596411111111113E-5</v>
      </c>
      <c r="T309" s="85">
        <f t="shared" si="9"/>
        <v>1.513269553744248E-3</v>
      </c>
      <c r="U309" s="85">
        <f>R309/'סכום נכסי הקרן'!$C$42</f>
        <v>4.3781580515681723E-4</v>
      </c>
    </row>
    <row r="310" spans="2:21">
      <c r="B310" s="77" t="s">
        <v>1036</v>
      </c>
      <c r="C310" s="74" t="s">
        <v>1037</v>
      </c>
      <c r="D310" s="87" t="s">
        <v>27</v>
      </c>
      <c r="E310" s="87" t="s">
        <v>908</v>
      </c>
      <c r="F310" s="74"/>
      <c r="G310" s="87" t="s">
        <v>950</v>
      </c>
      <c r="H310" s="74" t="s">
        <v>915</v>
      </c>
      <c r="I310" s="74" t="s">
        <v>323</v>
      </c>
      <c r="J310" s="74"/>
      <c r="K310" s="84">
        <v>7.3200000000220973</v>
      </c>
      <c r="L310" s="87" t="s">
        <v>154</v>
      </c>
      <c r="M310" s="88">
        <v>4.5999999999999999E-2</v>
      </c>
      <c r="N310" s="88">
        <v>2.5200000000031985E-2</v>
      </c>
      <c r="O310" s="84">
        <v>34284.117203000002</v>
      </c>
      <c r="P310" s="86">
        <v>115.7758</v>
      </c>
      <c r="Q310" s="74"/>
      <c r="R310" s="84">
        <v>137.57490977800001</v>
      </c>
      <c r="S310" s="85">
        <v>4.2855146503750004E-5</v>
      </c>
      <c r="T310" s="85">
        <f t="shared" si="9"/>
        <v>1.6653848477471667E-3</v>
      </c>
      <c r="U310" s="85">
        <f>R310/'סכום נכסי הקרן'!$C$42</f>
        <v>4.8182546606340902E-4</v>
      </c>
    </row>
    <row r="311" spans="2:21">
      <c r="B311" s="77" t="s">
        <v>1038</v>
      </c>
      <c r="C311" s="74" t="s">
        <v>1039</v>
      </c>
      <c r="D311" s="87" t="s">
        <v>27</v>
      </c>
      <c r="E311" s="87" t="s">
        <v>908</v>
      </c>
      <c r="F311" s="74"/>
      <c r="G311" s="87" t="s">
        <v>1011</v>
      </c>
      <c r="H311" s="74" t="s">
        <v>915</v>
      </c>
      <c r="I311" s="74" t="s">
        <v>323</v>
      </c>
      <c r="J311" s="74"/>
      <c r="K311" s="84">
        <v>8.2699999999924234</v>
      </c>
      <c r="L311" s="87" t="s">
        <v>154</v>
      </c>
      <c r="M311" s="88">
        <v>5.5500000000000001E-2</v>
      </c>
      <c r="N311" s="88">
        <v>2.4800000000002348E-2</v>
      </c>
      <c r="O311" s="84">
        <v>45414.682750000007</v>
      </c>
      <c r="P311" s="86">
        <v>108.1786</v>
      </c>
      <c r="Q311" s="74"/>
      <c r="R311" s="84">
        <v>170.28097682700002</v>
      </c>
      <c r="S311" s="85">
        <v>4.5414682750000005E-5</v>
      </c>
      <c r="T311" s="85">
        <f t="shared" si="9"/>
        <v>2.0613014329784489E-3</v>
      </c>
      <c r="U311" s="85">
        <f>R311/'סכום נכסי הקרן'!$C$42</f>
        <v>5.9637117810068876E-4</v>
      </c>
    </row>
    <row r="312" spans="2:21">
      <c r="B312" s="77" t="s">
        <v>1040</v>
      </c>
      <c r="C312" s="74" t="s">
        <v>1041</v>
      </c>
      <c r="D312" s="87" t="s">
        <v>27</v>
      </c>
      <c r="E312" s="87" t="s">
        <v>908</v>
      </c>
      <c r="F312" s="74"/>
      <c r="G312" s="87" t="s">
        <v>1011</v>
      </c>
      <c r="H312" s="74" t="s">
        <v>915</v>
      </c>
      <c r="I312" s="74" t="s">
        <v>323</v>
      </c>
      <c r="J312" s="74"/>
      <c r="K312" s="84">
        <v>7.4499999999947049</v>
      </c>
      <c r="L312" s="87" t="s">
        <v>154</v>
      </c>
      <c r="M312" s="88">
        <v>4.2999999999999997E-2</v>
      </c>
      <c r="N312" s="88">
        <v>2.4499999999947054E-2</v>
      </c>
      <c r="O312" s="84">
        <v>45502.866600000001</v>
      </c>
      <c r="P312" s="86">
        <v>113.76730000000001</v>
      </c>
      <c r="Q312" s="74"/>
      <c r="R312" s="84">
        <v>179.42580119100001</v>
      </c>
      <c r="S312" s="85">
        <v>4.5502866600000004E-5</v>
      </c>
      <c r="T312" s="85">
        <f t="shared" si="9"/>
        <v>2.172002228317441E-3</v>
      </c>
      <c r="U312" s="85">
        <f>R312/'סכום נכסי הקרן'!$C$42</f>
        <v>6.2839888771985168E-4</v>
      </c>
    </row>
    <row r="313" spans="2:21">
      <c r="B313" s="77" t="s">
        <v>1042</v>
      </c>
      <c r="C313" s="74" t="s">
        <v>1043</v>
      </c>
      <c r="D313" s="87" t="s">
        <v>27</v>
      </c>
      <c r="E313" s="87" t="s">
        <v>908</v>
      </c>
      <c r="F313" s="74"/>
      <c r="G313" s="87" t="s">
        <v>959</v>
      </c>
      <c r="H313" s="74" t="s">
        <v>915</v>
      </c>
      <c r="I313" s="74" t="s">
        <v>323</v>
      </c>
      <c r="J313" s="74"/>
      <c r="K313" s="84">
        <v>4.5700000000010599</v>
      </c>
      <c r="L313" s="87" t="s">
        <v>154</v>
      </c>
      <c r="M313" s="88">
        <v>3.7499999999999999E-2</v>
      </c>
      <c r="N313" s="88">
        <v>4.3100000000001512E-2</v>
      </c>
      <c r="O313" s="84">
        <v>97002.235000000001</v>
      </c>
      <c r="P313" s="86">
        <v>98.260800000000003</v>
      </c>
      <c r="Q313" s="74"/>
      <c r="R313" s="84">
        <v>330.36249864499996</v>
      </c>
      <c r="S313" s="85">
        <v>1.9400447E-4</v>
      </c>
      <c r="T313" s="85">
        <f t="shared" si="9"/>
        <v>3.9991354556952637E-3</v>
      </c>
      <c r="U313" s="85">
        <f>R313/'סכום נכסי הקרן'!$C$42</f>
        <v>1.1570210377485116E-3</v>
      </c>
    </row>
    <row r="314" spans="2:21">
      <c r="B314" s="77" t="s">
        <v>1044</v>
      </c>
      <c r="C314" s="74" t="s">
        <v>1045</v>
      </c>
      <c r="D314" s="87" t="s">
        <v>27</v>
      </c>
      <c r="E314" s="87" t="s">
        <v>908</v>
      </c>
      <c r="F314" s="74"/>
      <c r="G314" s="87" t="s">
        <v>914</v>
      </c>
      <c r="H314" s="74" t="s">
        <v>915</v>
      </c>
      <c r="I314" s="74" t="s">
        <v>323</v>
      </c>
      <c r="J314" s="74"/>
      <c r="K314" s="84">
        <v>7.7999999999954355</v>
      </c>
      <c r="L314" s="87" t="s">
        <v>154</v>
      </c>
      <c r="M314" s="88">
        <v>4.4999999999999998E-2</v>
      </c>
      <c r="N314" s="88">
        <v>3.1700000000001713E-2</v>
      </c>
      <c r="O314" s="84">
        <v>45679.234299999996</v>
      </c>
      <c r="P314" s="86">
        <v>110.685</v>
      </c>
      <c r="Q314" s="74"/>
      <c r="R314" s="84">
        <v>175.241169641</v>
      </c>
      <c r="S314" s="85">
        <v>2.2839617149999998E-5</v>
      </c>
      <c r="T314" s="85">
        <f t="shared" si="9"/>
        <v>2.121346029538024E-3</v>
      </c>
      <c r="U314" s="85">
        <f>R314/'סכום נכסי הקרן'!$C$42</f>
        <v>6.1374314816577179E-4</v>
      </c>
    </row>
    <row r="315" spans="2:21">
      <c r="B315" s="77" t="s">
        <v>1048</v>
      </c>
      <c r="C315" s="74" t="s">
        <v>1049</v>
      </c>
      <c r="D315" s="87" t="s">
        <v>27</v>
      </c>
      <c r="E315" s="87" t="s">
        <v>908</v>
      </c>
      <c r="F315" s="74"/>
      <c r="G315" s="87" t="s">
        <v>932</v>
      </c>
      <c r="H315" s="74" t="s">
        <v>915</v>
      </c>
      <c r="I315" s="74" t="s">
        <v>323</v>
      </c>
      <c r="J315" s="74"/>
      <c r="K315" s="84">
        <v>4.4000000000373358</v>
      </c>
      <c r="L315" s="87" t="s">
        <v>154</v>
      </c>
      <c r="M315" s="88">
        <v>5.7500000000000002E-2</v>
      </c>
      <c r="N315" s="88">
        <v>3.7400000000342812E-2</v>
      </c>
      <c r="O315" s="84">
        <v>14947.162575</v>
      </c>
      <c r="P315" s="86">
        <v>113.7372</v>
      </c>
      <c r="Q315" s="74"/>
      <c r="R315" s="84">
        <v>58.923689676999999</v>
      </c>
      <c r="S315" s="85">
        <v>2.1353089392857144E-5</v>
      </c>
      <c r="T315" s="85">
        <f t="shared" si="9"/>
        <v>7.1328863758502196E-4</v>
      </c>
      <c r="U315" s="85">
        <f>R315/'סכום נכסי הקרן'!$C$42</f>
        <v>2.0636709329200869E-4</v>
      </c>
    </row>
    <row r="316" spans="2:21">
      <c r="B316" s="77" t="s">
        <v>1050</v>
      </c>
      <c r="C316" s="74" t="s">
        <v>1051</v>
      </c>
      <c r="D316" s="87" t="s">
        <v>27</v>
      </c>
      <c r="E316" s="87" t="s">
        <v>908</v>
      </c>
      <c r="F316" s="74"/>
      <c r="G316" s="87" t="s">
        <v>1052</v>
      </c>
      <c r="H316" s="74" t="s">
        <v>915</v>
      </c>
      <c r="I316" s="74" t="s">
        <v>916</v>
      </c>
      <c r="J316" s="74"/>
      <c r="K316" s="84">
        <v>7.5700000000094612</v>
      </c>
      <c r="L316" s="87" t="s">
        <v>154</v>
      </c>
      <c r="M316" s="88">
        <v>5.9500000000000004E-2</v>
      </c>
      <c r="N316" s="88">
        <v>2.7900000000017203E-2</v>
      </c>
      <c r="O316" s="84">
        <v>52910.31</v>
      </c>
      <c r="P316" s="86">
        <v>126.79640000000001</v>
      </c>
      <c r="Q316" s="74"/>
      <c r="R316" s="84">
        <v>232.52836603999998</v>
      </c>
      <c r="S316" s="85">
        <v>4.2328247999999997E-5</v>
      </c>
      <c r="T316" s="85">
        <f t="shared" si="9"/>
        <v>2.8148244334618411E-3</v>
      </c>
      <c r="U316" s="85">
        <f>R316/'סכום נכסי הקרן'!$C$42</f>
        <v>8.1437878840682544E-4</v>
      </c>
    </row>
    <row r="317" spans="2:21">
      <c r="B317" s="77" t="s">
        <v>1053</v>
      </c>
      <c r="C317" s="74" t="s">
        <v>1054</v>
      </c>
      <c r="D317" s="87" t="s">
        <v>27</v>
      </c>
      <c r="E317" s="87" t="s">
        <v>908</v>
      </c>
      <c r="F317" s="74"/>
      <c r="G317" s="87" t="s">
        <v>983</v>
      </c>
      <c r="H317" s="74" t="s">
        <v>915</v>
      </c>
      <c r="I317" s="74" t="s">
        <v>323</v>
      </c>
      <c r="J317" s="74"/>
      <c r="K317" s="84">
        <v>8.0900000000090078</v>
      </c>
      <c r="L317" s="87" t="s">
        <v>154</v>
      </c>
      <c r="M317" s="88">
        <v>3.875E-2</v>
      </c>
      <c r="N317" s="88">
        <v>2.5100000000040156E-2</v>
      </c>
      <c r="O317" s="84">
        <v>47619.279000000002</v>
      </c>
      <c r="P317" s="86">
        <v>111.64490000000001</v>
      </c>
      <c r="Q317" s="74"/>
      <c r="R317" s="84">
        <v>184.26810332600002</v>
      </c>
      <c r="S317" s="85">
        <v>6.8027541428571433E-6</v>
      </c>
      <c r="T317" s="85">
        <f t="shared" si="9"/>
        <v>2.2306197234468646E-3</v>
      </c>
      <c r="U317" s="85">
        <f>R317/'סכום נכסי הקרן'!$C$42</f>
        <v>6.4535797195098903E-4</v>
      </c>
    </row>
    <row r="318" spans="2:21">
      <c r="B318" s="77" t="s">
        <v>1055</v>
      </c>
      <c r="C318" s="74" t="s">
        <v>1056</v>
      </c>
      <c r="D318" s="87" t="s">
        <v>27</v>
      </c>
      <c r="E318" s="87" t="s">
        <v>908</v>
      </c>
      <c r="F318" s="74"/>
      <c r="G318" s="87" t="s">
        <v>914</v>
      </c>
      <c r="H318" s="74" t="s">
        <v>915</v>
      </c>
      <c r="I318" s="74" t="s">
        <v>916</v>
      </c>
      <c r="J318" s="74"/>
      <c r="K318" s="84">
        <v>5.6300000000021297</v>
      </c>
      <c r="L318" s="87" t="s">
        <v>154</v>
      </c>
      <c r="M318" s="88">
        <v>5.2999999999999999E-2</v>
      </c>
      <c r="N318" s="88">
        <v>5.5800000000021298E-2</v>
      </c>
      <c r="O318" s="84">
        <v>54585.803150000007</v>
      </c>
      <c r="P318" s="86">
        <v>99.2988</v>
      </c>
      <c r="Q318" s="74"/>
      <c r="R318" s="84">
        <v>187.86782571999998</v>
      </c>
      <c r="S318" s="85">
        <v>3.6390535433333341E-5</v>
      </c>
      <c r="T318" s="85">
        <f t="shared" si="9"/>
        <v>2.274195424428515E-3</v>
      </c>
      <c r="U318" s="85">
        <f>R318/'סכום נכסי הקרן'!$C$42</f>
        <v>6.5796519751985707E-4</v>
      </c>
    </row>
    <row r="319" spans="2:21">
      <c r="B319" s="77" t="s">
        <v>1057</v>
      </c>
      <c r="C319" s="74" t="s">
        <v>1058</v>
      </c>
      <c r="D319" s="87" t="s">
        <v>27</v>
      </c>
      <c r="E319" s="87" t="s">
        <v>908</v>
      </c>
      <c r="F319" s="74"/>
      <c r="G319" s="87" t="s">
        <v>914</v>
      </c>
      <c r="H319" s="74" t="s">
        <v>915</v>
      </c>
      <c r="I319" s="74" t="s">
        <v>916</v>
      </c>
      <c r="J319" s="74"/>
      <c r="K319" s="84">
        <v>5.1500000000393618</v>
      </c>
      <c r="L319" s="87" t="s">
        <v>154</v>
      </c>
      <c r="M319" s="88">
        <v>5.8749999999999997E-2</v>
      </c>
      <c r="N319" s="88">
        <v>4.8400000000323642E-2</v>
      </c>
      <c r="O319" s="84">
        <v>12345.739</v>
      </c>
      <c r="P319" s="86">
        <v>106.8691</v>
      </c>
      <c r="Q319" s="74"/>
      <c r="R319" s="84">
        <v>45.729652727999998</v>
      </c>
      <c r="S319" s="85">
        <v>1.0288115833333333E-5</v>
      </c>
      <c r="T319" s="85">
        <f t="shared" si="9"/>
        <v>5.5357092996712715E-4</v>
      </c>
      <c r="U319" s="85">
        <f>R319/'סכום נכסי הקרן'!$C$42</f>
        <v>1.6015791886864764E-4</v>
      </c>
    </row>
    <row r="320" spans="2:21">
      <c r="B320" s="77" t="s">
        <v>1059</v>
      </c>
      <c r="C320" s="74" t="s">
        <v>1060</v>
      </c>
      <c r="D320" s="87" t="s">
        <v>27</v>
      </c>
      <c r="E320" s="87" t="s">
        <v>908</v>
      </c>
      <c r="F320" s="74"/>
      <c r="G320" s="87" t="s">
        <v>1028</v>
      </c>
      <c r="H320" s="74" t="s">
        <v>915</v>
      </c>
      <c r="I320" s="74" t="s">
        <v>323</v>
      </c>
      <c r="J320" s="74"/>
      <c r="K320" s="84">
        <v>6.8800000000171506</v>
      </c>
      <c r="L320" s="87" t="s">
        <v>156</v>
      </c>
      <c r="M320" s="88">
        <v>4.6249999999999999E-2</v>
      </c>
      <c r="N320" s="88">
        <v>4.0000000000093204E-2</v>
      </c>
      <c r="O320" s="84">
        <v>26631.522700000001</v>
      </c>
      <c r="P320" s="86">
        <v>103.75</v>
      </c>
      <c r="Q320" s="74"/>
      <c r="R320" s="84">
        <v>107.28257338200002</v>
      </c>
      <c r="S320" s="85">
        <v>1.7754348466666668E-5</v>
      </c>
      <c r="T320" s="85">
        <f t="shared" si="9"/>
        <v>1.2986871837751149E-3</v>
      </c>
      <c r="U320" s="85">
        <f>R320/'סכום נכסי הקרן'!$C$42</f>
        <v>3.7573330779338204E-4</v>
      </c>
    </row>
    <row r="321" spans="2:22">
      <c r="B321" s="77" t="s">
        <v>1061</v>
      </c>
      <c r="C321" s="74" t="s">
        <v>1062</v>
      </c>
      <c r="D321" s="87" t="s">
        <v>27</v>
      </c>
      <c r="E321" s="87" t="s">
        <v>908</v>
      </c>
      <c r="F321" s="74"/>
      <c r="G321" s="87" t="s">
        <v>977</v>
      </c>
      <c r="H321" s="74" t="s">
        <v>915</v>
      </c>
      <c r="I321" s="74" t="s">
        <v>323</v>
      </c>
      <c r="J321" s="74"/>
      <c r="K321" s="84">
        <v>17.249999999989434</v>
      </c>
      <c r="L321" s="87" t="s">
        <v>154</v>
      </c>
      <c r="M321" s="88">
        <v>4.0999999999999995E-2</v>
      </c>
      <c r="N321" s="88">
        <v>4.0099999999970409E-2</v>
      </c>
      <c r="O321" s="84">
        <v>81129.142000000007</v>
      </c>
      <c r="P321" s="86">
        <v>100.9772</v>
      </c>
      <c r="Q321" s="74"/>
      <c r="R321" s="84">
        <v>283.94133638400001</v>
      </c>
      <c r="S321" s="85">
        <v>8.1129142000000004E-5</v>
      </c>
      <c r="T321" s="85">
        <f t="shared" si="9"/>
        <v>3.4371935989349501E-3</v>
      </c>
      <c r="U321" s="85">
        <f>R321/'סכום נכסי הקרן'!$C$42</f>
        <v>9.9444126082767542E-4</v>
      </c>
    </row>
    <row r="322" spans="2:22">
      <c r="B322" s="77" t="s">
        <v>1077</v>
      </c>
      <c r="C322" s="74" t="s">
        <v>1078</v>
      </c>
      <c r="D322" s="87" t="s">
        <v>27</v>
      </c>
      <c r="E322" s="87" t="s">
        <v>908</v>
      </c>
      <c r="F322" s="74"/>
      <c r="G322" s="87" t="s">
        <v>1028</v>
      </c>
      <c r="H322" s="119" t="s">
        <v>1104</v>
      </c>
      <c r="I322" s="119" t="s">
        <v>910</v>
      </c>
      <c r="J322" s="74"/>
      <c r="K322" s="84">
        <v>6.6300000000048769</v>
      </c>
      <c r="L322" s="87" t="s">
        <v>154</v>
      </c>
      <c r="M322" s="88">
        <v>9.6250000000000002E-2</v>
      </c>
      <c r="N322" s="88">
        <v>6.8800000000072664E-2</v>
      </c>
      <c r="O322" s="84">
        <v>50264.794500000004</v>
      </c>
      <c r="P322" s="86">
        <v>120.0501</v>
      </c>
      <c r="Q322" s="74"/>
      <c r="R322" s="84">
        <v>209.148538946</v>
      </c>
      <c r="S322" s="85">
        <v>5.0264794500000002E-5</v>
      </c>
      <c r="T322" s="85">
        <f>R322/$R$11</f>
        <v>2.5318047327902099E-3</v>
      </c>
      <c r="U322" s="85">
        <f>R322/'סכום נכסי הקרן'!$C$42</f>
        <v>7.324961536718552E-4</v>
      </c>
    </row>
    <row r="323" spans="2:22">
      <c r="B323" s="77" t="s">
        <v>1063</v>
      </c>
      <c r="C323" s="74" t="s">
        <v>1064</v>
      </c>
      <c r="D323" s="87" t="s">
        <v>27</v>
      </c>
      <c r="E323" s="87" t="s">
        <v>908</v>
      </c>
      <c r="F323" s="74"/>
      <c r="G323" s="87" t="s">
        <v>974</v>
      </c>
      <c r="H323" s="74" t="s">
        <v>1065</v>
      </c>
      <c r="I323" s="74" t="s">
        <v>916</v>
      </c>
      <c r="J323" s="74"/>
      <c r="K323" s="84">
        <v>6.5599999999951848</v>
      </c>
      <c r="L323" s="87" t="s">
        <v>156</v>
      </c>
      <c r="M323" s="88">
        <v>3.125E-2</v>
      </c>
      <c r="N323" s="88">
        <v>3.1899999999975927E-2</v>
      </c>
      <c r="O323" s="84">
        <v>52910.31</v>
      </c>
      <c r="P323" s="86">
        <v>101.1033</v>
      </c>
      <c r="Q323" s="74"/>
      <c r="R323" s="84">
        <v>207.70684695</v>
      </c>
      <c r="S323" s="85">
        <v>7.0547079999999993E-5</v>
      </c>
      <c r="T323" s="85">
        <f t="shared" si="9"/>
        <v>2.5143526260860798E-3</v>
      </c>
      <c r="U323" s="85">
        <f>R323/'סכום נכסי הקרן'!$C$42</f>
        <v>7.2744694870407794E-4</v>
      </c>
    </row>
    <row r="324" spans="2:22">
      <c r="B324" s="77" t="s">
        <v>1066</v>
      </c>
      <c r="C324" s="74" t="s">
        <v>1067</v>
      </c>
      <c r="D324" s="87" t="s">
        <v>27</v>
      </c>
      <c r="E324" s="87" t="s">
        <v>908</v>
      </c>
      <c r="F324" s="74"/>
      <c r="G324" s="87" t="s">
        <v>914</v>
      </c>
      <c r="H324" s="74" t="s">
        <v>1068</v>
      </c>
      <c r="I324" s="74" t="s">
        <v>910</v>
      </c>
      <c r="J324" s="74"/>
      <c r="K324" s="84">
        <v>7.6299999999852348</v>
      </c>
      <c r="L324" s="87" t="s">
        <v>154</v>
      </c>
      <c r="M324" s="88">
        <v>3.7000000000000005E-2</v>
      </c>
      <c r="N324" s="88">
        <v>3.4099999999895707E-2</v>
      </c>
      <c r="O324" s="84">
        <v>27336.9935</v>
      </c>
      <c r="P324" s="86">
        <v>102.2135</v>
      </c>
      <c r="Q324" s="74"/>
      <c r="R324" s="84">
        <v>96.847311161000007</v>
      </c>
      <c r="S324" s="85">
        <v>1.8224662333333334E-5</v>
      </c>
      <c r="T324" s="85">
        <f t="shared" si="9"/>
        <v>1.1723652576828838E-3</v>
      </c>
      <c r="U324" s="85">
        <f>R324/'סכום נכסי הקרן'!$C$42</f>
        <v>3.3918612712475072E-4</v>
      </c>
    </row>
    <row r="325" spans="2:22">
      <c r="B325" s="77" t="s">
        <v>1069</v>
      </c>
      <c r="C325" s="74" t="s">
        <v>1070</v>
      </c>
      <c r="D325" s="87" t="s">
        <v>27</v>
      </c>
      <c r="E325" s="87" t="s">
        <v>908</v>
      </c>
      <c r="F325" s="74"/>
      <c r="G325" s="87" t="s">
        <v>914</v>
      </c>
      <c r="H325" s="74" t="s">
        <v>1068</v>
      </c>
      <c r="I325" s="74" t="s">
        <v>910</v>
      </c>
      <c r="J325" s="74"/>
      <c r="K325" s="84">
        <v>3.1899999999969126</v>
      </c>
      <c r="L325" s="87" t="s">
        <v>154</v>
      </c>
      <c r="M325" s="88">
        <v>7.0000000000000007E-2</v>
      </c>
      <c r="N325" s="88">
        <v>2.729999999997311E-2</v>
      </c>
      <c r="O325" s="84">
        <v>50949.101175999996</v>
      </c>
      <c r="P325" s="86">
        <v>113.72</v>
      </c>
      <c r="Q325" s="74"/>
      <c r="R325" s="84">
        <v>200.81767569800002</v>
      </c>
      <c r="S325" s="85">
        <v>4.0761563588360949E-5</v>
      </c>
      <c r="T325" s="85">
        <f t="shared" si="9"/>
        <v>2.4309571767622898E-3</v>
      </c>
      <c r="U325" s="85">
        <f>R325/'סכום נכסי הקרן'!$C$42</f>
        <v>7.0331916148879358E-4</v>
      </c>
    </row>
    <row r="326" spans="2:22">
      <c r="B326" s="77" t="s">
        <v>1071</v>
      </c>
      <c r="C326" s="74" t="s">
        <v>1072</v>
      </c>
      <c r="D326" s="87" t="s">
        <v>27</v>
      </c>
      <c r="E326" s="87" t="s">
        <v>908</v>
      </c>
      <c r="F326" s="74"/>
      <c r="G326" s="87" t="s">
        <v>914</v>
      </c>
      <c r="H326" s="74" t="s">
        <v>1068</v>
      </c>
      <c r="I326" s="74" t="s">
        <v>910</v>
      </c>
      <c r="J326" s="74"/>
      <c r="K326" s="84">
        <v>5.6599999999904957</v>
      </c>
      <c r="L326" s="87" t="s">
        <v>154</v>
      </c>
      <c r="M326" s="88">
        <v>5.1249999999999997E-2</v>
      </c>
      <c r="N326" s="88">
        <v>3.3999999999955802E-2</v>
      </c>
      <c r="O326" s="84">
        <v>23809.639500000001</v>
      </c>
      <c r="P326" s="86">
        <v>109.65</v>
      </c>
      <c r="Q326" s="74"/>
      <c r="R326" s="84">
        <v>90.487796820999989</v>
      </c>
      <c r="S326" s="85">
        <v>1.5873093E-5</v>
      </c>
      <c r="T326" s="85">
        <f t="shared" si="9"/>
        <v>1.095381461451745E-3</v>
      </c>
      <c r="U326" s="85">
        <f>R326/'סכום נכסי הקרן'!$C$42</f>
        <v>3.1691334522177146E-4</v>
      </c>
    </row>
    <row r="327" spans="2:22">
      <c r="B327" s="77" t="s">
        <v>1073</v>
      </c>
      <c r="C327" s="74" t="s">
        <v>1074</v>
      </c>
      <c r="D327" s="87" t="s">
        <v>27</v>
      </c>
      <c r="E327" s="87" t="s">
        <v>908</v>
      </c>
      <c r="F327" s="74"/>
      <c r="G327" s="87" t="s">
        <v>997</v>
      </c>
      <c r="H327" s="74" t="s">
        <v>1065</v>
      </c>
      <c r="I327" s="74" t="s">
        <v>323</v>
      </c>
      <c r="J327" s="74"/>
      <c r="K327" s="84">
        <v>4.0899999999462437</v>
      </c>
      <c r="L327" s="87" t="s">
        <v>154</v>
      </c>
      <c r="M327" s="88">
        <v>4.6249999999999999E-2</v>
      </c>
      <c r="N327" s="88">
        <v>2.999999999969968E-2</v>
      </c>
      <c r="O327" s="84">
        <v>8818.3850000000002</v>
      </c>
      <c r="P327" s="86">
        <v>108.9427</v>
      </c>
      <c r="Q327" s="74"/>
      <c r="R327" s="84">
        <v>33.297818530999997</v>
      </c>
      <c r="S327" s="118">
        <v>2.5195385714285714E-4</v>
      </c>
      <c r="T327" s="85">
        <f t="shared" si="9"/>
        <v>4.0307991140278379E-4</v>
      </c>
      <c r="U327" s="85">
        <f>R327/'סכום נכסי הקרן'!$C$42</f>
        <v>1.1661818974464987E-4</v>
      </c>
      <c r="V327" s="117"/>
    </row>
    <row r="328" spans="2:22">
      <c r="B328" s="77" t="s">
        <v>1075</v>
      </c>
      <c r="C328" s="74" t="s">
        <v>1076</v>
      </c>
      <c r="D328" s="87" t="s">
        <v>27</v>
      </c>
      <c r="E328" s="87" t="s">
        <v>908</v>
      </c>
      <c r="F328" s="74"/>
      <c r="G328" s="87" t="s">
        <v>914</v>
      </c>
      <c r="H328" s="74" t="s">
        <v>1068</v>
      </c>
      <c r="I328" s="74" t="s">
        <v>910</v>
      </c>
      <c r="J328" s="74"/>
      <c r="K328" s="84">
        <v>5.3499999999953598</v>
      </c>
      <c r="L328" s="87" t="s">
        <v>154</v>
      </c>
      <c r="M328" s="88">
        <v>0.06</v>
      </c>
      <c r="N328" s="88">
        <v>6.1999999999958748E-2</v>
      </c>
      <c r="O328" s="84">
        <v>55573.462269999996</v>
      </c>
      <c r="P328" s="86">
        <v>100.6887</v>
      </c>
      <c r="Q328" s="74"/>
      <c r="R328" s="84">
        <v>193.944113534</v>
      </c>
      <c r="S328" s="85">
        <v>7.4097949693333325E-5</v>
      </c>
      <c r="T328" s="85">
        <f t="shared" si="9"/>
        <v>2.3477506800511838E-3</v>
      </c>
      <c r="U328" s="85">
        <f>R328/'סכום נכסי הקרן'!$C$42</f>
        <v>6.7924604162609937E-4</v>
      </c>
    </row>
    <row r="329" spans="2:22">
      <c r="B329" s="77" t="s">
        <v>1046</v>
      </c>
      <c r="C329" s="74" t="s">
        <v>1047</v>
      </c>
      <c r="D329" s="87" t="s">
        <v>27</v>
      </c>
      <c r="E329" s="87" t="s">
        <v>908</v>
      </c>
      <c r="F329" s="74"/>
      <c r="G329" s="87" t="s">
        <v>950</v>
      </c>
      <c r="H329" s="119" t="s">
        <v>1065</v>
      </c>
      <c r="I329" s="119" t="s">
        <v>916</v>
      </c>
      <c r="J329" s="74"/>
      <c r="K329" s="84">
        <v>8.5199999999927982</v>
      </c>
      <c r="L329" s="87" t="s">
        <v>154</v>
      </c>
      <c r="M329" s="88">
        <v>4.1250000000000002E-2</v>
      </c>
      <c r="N329" s="88">
        <v>3.5099999999929368E-2</v>
      </c>
      <c r="O329" s="84">
        <v>19841.366249999999</v>
      </c>
      <c r="P329" s="86">
        <v>104.99720000000001</v>
      </c>
      <c r="Q329" s="74"/>
      <c r="R329" s="84">
        <v>72.206735700999999</v>
      </c>
      <c r="S329" s="85">
        <v>3.9682732499999998E-5</v>
      </c>
      <c r="T329" s="85">
        <f>R329/$R$11</f>
        <v>8.7408382630071416E-4</v>
      </c>
      <c r="U329" s="85">
        <f>R329/'סכום נכסי הקרן'!$C$42</f>
        <v>2.5288800216691297E-4</v>
      </c>
    </row>
    <row r="330" spans="2:22">
      <c r="B330" s="77" t="s">
        <v>1079</v>
      </c>
      <c r="C330" s="74" t="s">
        <v>1080</v>
      </c>
      <c r="D330" s="87" t="s">
        <v>27</v>
      </c>
      <c r="E330" s="87" t="s">
        <v>908</v>
      </c>
      <c r="F330" s="74"/>
      <c r="G330" s="87" t="s">
        <v>977</v>
      </c>
      <c r="H330" s="74" t="s">
        <v>1065</v>
      </c>
      <c r="I330" s="74" t="s">
        <v>323</v>
      </c>
      <c r="J330" s="74"/>
      <c r="K330" s="84">
        <v>8.5399999999877672</v>
      </c>
      <c r="L330" s="87" t="s">
        <v>154</v>
      </c>
      <c r="M330" s="88">
        <v>4.2500000000000003E-2</v>
      </c>
      <c r="N330" s="88">
        <v>3.5399999999978768E-2</v>
      </c>
      <c r="O330" s="84">
        <v>53792.148500000003</v>
      </c>
      <c r="P330" s="86">
        <v>106.1028</v>
      </c>
      <c r="Q330" s="74"/>
      <c r="R330" s="84">
        <v>197.82192807299998</v>
      </c>
      <c r="S330" s="85">
        <v>3.9846035925925928E-5</v>
      </c>
      <c r="T330" s="85">
        <f t="shared" si="9"/>
        <v>2.3946927684453932E-3</v>
      </c>
      <c r="U330" s="85">
        <f>R330/'סכום נכסי הקרן'!$C$42</f>
        <v>6.9282722296633184E-4</v>
      </c>
    </row>
    <row r="331" spans="2:22">
      <c r="B331" s="77" t="s">
        <v>1081</v>
      </c>
      <c r="C331" s="74" t="s">
        <v>1082</v>
      </c>
      <c r="D331" s="87" t="s">
        <v>27</v>
      </c>
      <c r="E331" s="87" t="s">
        <v>908</v>
      </c>
      <c r="F331" s="74"/>
      <c r="G331" s="87" t="s">
        <v>1083</v>
      </c>
      <c r="H331" s="74" t="s">
        <v>1065</v>
      </c>
      <c r="I331" s="74" t="s">
        <v>916</v>
      </c>
      <c r="J331" s="74"/>
      <c r="K331" s="84">
        <v>3.7300000000048033</v>
      </c>
      <c r="L331" s="87" t="s">
        <v>156</v>
      </c>
      <c r="M331" s="88">
        <v>0.03</v>
      </c>
      <c r="N331" s="88">
        <v>2.7100000000038885E-2</v>
      </c>
      <c r="O331" s="84">
        <v>43562.821900000003</v>
      </c>
      <c r="P331" s="86">
        <v>103.38500000000001</v>
      </c>
      <c r="Q331" s="74"/>
      <c r="R331" s="84">
        <v>174.87133539200002</v>
      </c>
      <c r="S331" s="85">
        <v>8.7125643800000009E-5</v>
      </c>
      <c r="T331" s="85">
        <f t="shared" ref="T331:T356" si="11">R331/$R$11</f>
        <v>2.1168690769057716E-3</v>
      </c>
      <c r="U331" s="85">
        <f>R331/'סכום נכסי הקרן'!$C$42</f>
        <v>6.1244788611778517E-4</v>
      </c>
    </row>
    <row r="332" spans="2:22">
      <c r="B332" s="77" t="s">
        <v>1084</v>
      </c>
      <c r="C332" s="74" t="s">
        <v>1085</v>
      </c>
      <c r="D332" s="87" t="s">
        <v>27</v>
      </c>
      <c r="E332" s="87" t="s">
        <v>908</v>
      </c>
      <c r="F332" s="74"/>
      <c r="G332" s="87" t="s">
        <v>947</v>
      </c>
      <c r="H332" s="74" t="s">
        <v>1065</v>
      </c>
      <c r="I332" s="74" t="s">
        <v>916</v>
      </c>
      <c r="J332" s="74"/>
      <c r="K332" s="84">
        <v>4.019999999990242</v>
      </c>
      <c r="L332" s="87" t="s">
        <v>154</v>
      </c>
      <c r="M332" s="88">
        <v>3.7539999999999997E-2</v>
      </c>
      <c r="N332" s="88">
        <v>2.9099999999955811E-2</v>
      </c>
      <c r="O332" s="84">
        <v>60494.121099999997</v>
      </c>
      <c r="P332" s="86">
        <v>103.62220000000001</v>
      </c>
      <c r="Q332" s="74"/>
      <c r="R332" s="84">
        <v>217.26746705600002</v>
      </c>
      <c r="S332" s="85">
        <v>8.0658828133333324E-5</v>
      </c>
      <c r="T332" s="85">
        <f t="shared" si="11"/>
        <v>2.6300867514821445E-3</v>
      </c>
      <c r="U332" s="85">
        <f>R332/'סכום נכסי הקרן'!$C$42</f>
        <v>7.6093089025898854E-4</v>
      </c>
    </row>
    <row r="333" spans="2:22">
      <c r="B333" s="77" t="s">
        <v>1086</v>
      </c>
      <c r="C333" s="74" t="s">
        <v>1087</v>
      </c>
      <c r="D333" s="87" t="s">
        <v>27</v>
      </c>
      <c r="E333" s="87" t="s">
        <v>908</v>
      </c>
      <c r="F333" s="74"/>
      <c r="G333" s="87" t="s">
        <v>950</v>
      </c>
      <c r="H333" s="74" t="s">
        <v>1065</v>
      </c>
      <c r="I333" s="74" t="s">
        <v>916</v>
      </c>
      <c r="J333" s="74"/>
      <c r="K333" s="84">
        <v>4.1199999999719195</v>
      </c>
      <c r="L333" s="87" t="s">
        <v>154</v>
      </c>
      <c r="M333" s="88">
        <v>4.7500000000000001E-2</v>
      </c>
      <c r="N333" s="88">
        <v>3.0499999999914623E-2</v>
      </c>
      <c r="O333" s="84">
        <v>14109.415999999999</v>
      </c>
      <c r="P333" s="86">
        <v>107.7748</v>
      </c>
      <c r="Q333" s="74"/>
      <c r="R333" s="84">
        <v>52.705367328999998</v>
      </c>
      <c r="S333" s="85">
        <v>2.9442583542354419E-5</v>
      </c>
      <c r="T333" s="85">
        <f t="shared" si="11"/>
        <v>6.3801401204844883E-4</v>
      </c>
      <c r="U333" s="85">
        <f>R333/'סכום נכסי הקרן'!$C$42</f>
        <v>1.8458880487959111E-4</v>
      </c>
    </row>
    <row r="334" spans="2:22">
      <c r="B334" s="77" t="s">
        <v>1088</v>
      </c>
      <c r="C334" s="74" t="s">
        <v>1089</v>
      </c>
      <c r="D334" s="87" t="s">
        <v>27</v>
      </c>
      <c r="E334" s="87" t="s">
        <v>908</v>
      </c>
      <c r="F334" s="74"/>
      <c r="G334" s="87" t="s">
        <v>950</v>
      </c>
      <c r="H334" s="74" t="s">
        <v>1065</v>
      </c>
      <c r="I334" s="74" t="s">
        <v>916</v>
      </c>
      <c r="J334" s="74"/>
      <c r="K334" s="84">
        <v>5.7899999999941407</v>
      </c>
      <c r="L334" s="87" t="s">
        <v>154</v>
      </c>
      <c r="M334" s="88">
        <v>4.8750000000000002E-2</v>
      </c>
      <c r="N334" s="88">
        <v>3.3899999999941414E-2</v>
      </c>
      <c r="O334" s="84">
        <v>31746.186000000002</v>
      </c>
      <c r="P334" s="86">
        <v>108.5842</v>
      </c>
      <c r="Q334" s="74"/>
      <c r="R334" s="84">
        <v>119.47772673000001</v>
      </c>
      <c r="S334" s="85">
        <v>6.28590046689556E-5</v>
      </c>
      <c r="T334" s="85">
        <f t="shared" si="11"/>
        <v>1.4463131108753782E-3</v>
      </c>
      <c r="U334" s="85">
        <f>R334/'סכום נכסי הקרן'!$C$42</f>
        <v>4.1844411498269174E-4</v>
      </c>
    </row>
    <row r="335" spans="2:22">
      <c r="B335" s="77" t="s">
        <v>1090</v>
      </c>
      <c r="C335" s="74" t="s">
        <v>1091</v>
      </c>
      <c r="D335" s="87" t="s">
        <v>27</v>
      </c>
      <c r="E335" s="87" t="s">
        <v>908</v>
      </c>
      <c r="F335" s="74"/>
      <c r="G335" s="87" t="s">
        <v>1083</v>
      </c>
      <c r="H335" s="74" t="s">
        <v>1065</v>
      </c>
      <c r="I335" s="74" t="s">
        <v>916</v>
      </c>
      <c r="J335" s="74"/>
      <c r="K335" s="84">
        <v>3.4399999999983217</v>
      </c>
      <c r="L335" s="87" t="s">
        <v>156</v>
      </c>
      <c r="M335" s="88">
        <v>4.2500000000000003E-2</v>
      </c>
      <c r="N335" s="88">
        <v>3.2000000000055942E-2</v>
      </c>
      <c r="O335" s="84">
        <v>17636.77</v>
      </c>
      <c r="P335" s="86">
        <v>104.416</v>
      </c>
      <c r="Q335" s="74"/>
      <c r="R335" s="84">
        <v>71.504110822999991</v>
      </c>
      <c r="S335" s="85">
        <v>5.8789233333333336E-5</v>
      </c>
      <c r="T335" s="85">
        <f t="shared" si="11"/>
        <v>8.6557834497886827E-4</v>
      </c>
      <c r="U335" s="85">
        <f>R335/'סכום נכסי הקרן'!$C$42</f>
        <v>2.5042721509566286E-4</v>
      </c>
    </row>
    <row r="336" spans="2:22">
      <c r="B336" s="77" t="s">
        <v>1092</v>
      </c>
      <c r="C336" s="74" t="s">
        <v>1093</v>
      </c>
      <c r="D336" s="87" t="s">
        <v>27</v>
      </c>
      <c r="E336" s="87" t="s">
        <v>908</v>
      </c>
      <c r="F336" s="74"/>
      <c r="G336" s="87" t="s">
        <v>1094</v>
      </c>
      <c r="H336" s="74" t="s">
        <v>1065</v>
      </c>
      <c r="I336" s="74" t="s">
        <v>323</v>
      </c>
      <c r="J336" s="74"/>
      <c r="K336" s="84">
        <v>2.0900000000039647</v>
      </c>
      <c r="L336" s="87" t="s">
        <v>154</v>
      </c>
      <c r="M336" s="88">
        <v>4.7500000000000001E-2</v>
      </c>
      <c r="N336" s="88">
        <v>4.0400000000039647E-2</v>
      </c>
      <c r="O336" s="84">
        <v>71069.128391999999</v>
      </c>
      <c r="P336" s="86">
        <v>102.3952</v>
      </c>
      <c r="Q336" s="74"/>
      <c r="R336" s="84">
        <v>252.22564449999999</v>
      </c>
      <c r="S336" s="85">
        <v>7.8965698213333328E-5</v>
      </c>
      <c r="T336" s="85">
        <f t="shared" si="11"/>
        <v>3.0532657970947495E-3</v>
      </c>
      <c r="U336" s="85">
        <f>R336/'סכום נכסי הקרן'!$C$42</f>
        <v>8.8336411712326788E-4</v>
      </c>
    </row>
    <row r="337" spans="2:21">
      <c r="B337" s="77" t="s">
        <v>1095</v>
      </c>
      <c r="C337" s="74" t="s">
        <v>1096</v>
      </c>
      <c r="D337" s="87" t="s">
        <v>27</v>
      </c>
      <c r="E337" s="87" t="s">
        <v>908</v>
      </c>
      <c r="F337" s="74"/>
      <c r="G337" s="87" t="s">
        <v>929</v>
      </c>
      <c r="H337" s="74" t="s">
        <v>1068</v>
      </c>
      <c r="I337" s="74" t="s">
        <v>910</v>
      </c>
      <c r="J337" s="74"/>
      <c r="K337" s="84">
        <v>8.0000000001754445E-2</v>
      </c>
      <c r="L337" s="87" t="s">
        <v>154</v>
      </c>
      <c r="M337" s="88">
        <v>4.6249999999999999E-2</v>
      </c>
      <c r="N337" s="88">
        <v>1.2000000000263167E-3</v>
      </c>
      <c r="O337" s="84">
        <v>51827.412321999996</v>
      </c>
      <c r="P337" s="86">
        <v>101.5368</v>
      </c>
      <c r="Q337" s="74"/>
      <c r="R337" s="84">
        <v>182.39448344600001</v>
      </c>
      <c r="S337" s="85">
        <v>6.9103216429333323E-5</v>
      </c>
      <c r="T337" s="85">
        <f t="shared" si="11"/>
        <v>2.2079390023500818E-3</v>
      </c>
      <c r="U337" s="85">
        <f>R337/'סכום נכסי הקרן'!$C$42</f>
        <v>6.3879603581478925E-4</v>
      </c>
    </row>
    <row r="338" spans="2:21">
      <c r="B338" s="77" t="s">
        <v>1097</v>
      </c>
      <c r="C338" s="74" t="s">
        <v>1098</v>
      </c>
      <c r="D338" s="87" t="s">
        <v>27</v>
      </c>
      <c r="E338" s="87" t="s">
        <v>908</v>
      </c>
      <c r="F338" s="74"/>
      <c r="G338" s="87" t="s">
        <v>983</v>
      </c>
      <c r="H338" s="74" t="s">
        <v>1065</v>
      </c>
      <c r="I338" s="74" t="s">
        <v>323</v>
      </c>
      <c r="J338" s="74"/>
      <c r="K338" s="84">
        <v>3.5200000000023097</v>
      </c>
      <c r="L338" s="87" t="s">
        <v>154</v>
      </c>
      <c r="M338" s="88">
        <v>6.2539999999999998E-2</v>
      </c>
      <c r="N338" s="88">
        <v>4.1699999999985346E-2</v>
      </c>
      <c r="O338" s="84">
        <v>58201.340999999993</v>
      </c>
      <c r="P338" s="86">
        <v>111.61239999999999</v>
      </c>
      <c r="Q338" s="74"/>
      <c r="R338" s="84">
        <v>225.15102664900002</v>
      </c>
      <c r="S338" s="85">
        <v>4.4770262307692304E-5</v>
      </c>
      <c r="T338" s="85">
        <f t="shared" si="11"/>
        <v>2.7255195648758081E-3</v>
      </c>
      <c r="U338" s="85">
        <f>R338/'סכום נכסי הקרן'!$C$42</f>
        <v>7.8854130106184063E-4</v>
      </c>
    </row>
    <row r="339" spans="2:21">
      <c r="B339" s="77" t="s">
        <v>1099</v>
      </c>
      <c r="C339" s="74" t="s">
        <v>1100</v>
      </c>
      <c r="D339" s="87" t="s">
        <v>27</v>
      </c>
      <c r="E339" s="87" t="s">
        <v>908</v>
      </c>
      <c r="F339" s="74"/>
      <c r="G339" s="87" t="s">
        <v>914</v>
      </c>
      <c r="H339" s="74" t="s">
        <v>1101</v>
      </c>
      <c r="I339" s="74" t="s">
        <v>323</v>
      </c>
      <c r="J339" s="74"/>
      <c r="K339" s="84">
        <v>7.5600000000018728</v>
      </c>
      <c r="L339" s="87" t="s">
        <v>154</v>
      </c>
      <c r="M339" s="88">
        <v>4.4999999999999998E-2</v>
      </c>
      <c r="N339" s="88">
        <v>4.8200000000021871E-2</v>
      </c>
      <c r="O339" s="84">
        <v>56614.0317</v>
      </c>
      <c r="P339" s="86">
        <v>97.825500000000005</v>
      </c>
      <c r="Q339" s="74"/>
      <c r="R339" s="84">
        <v>191.95733791900003</v>
      </c>
      <c r="S339" s="85">
        <v>3.7742687799999998E-5</v>
      </c>
      <c r="T339" s="85">
        <f t="shared" si="11"/>
        <v>2.3237001754174993E-3</v>
      </c>
      <c r="U339" s="85">
        <f>R339/'סכום נכסי הקרן'!$C$42</f>
        <v>6.7228780274223969E-4</v>
      </c>
    </row>
    <row r="340" spans="2:21">
      <c r="B340" s="77" t="s">
        <v>1102</v>
      </c>
      <c r="C340" s="74" t="s">
        <v>1103</v>
      </c>
      <c r="D340" s="87" t="s">
        <v>27</v>
      </c>
      <c r="E340" s="87" t="s">
        <v>908</v>
      </c>
      <c r="F340" s="74"/>
      <c r="G340" s="87" t="s">
        <v>959</v>
      </c>
      <c r="H340" s="74" t="s">
        <v>1104</v>
      </c>
      <c r="I340" s="74" t="s">
        <v>910</v>
      </c>
      <c r="J340" s="74"/>
      <c r="K340" s="84">
        <v>6.6900000000079718</v>
      </c>
      <c r="L340" s="87" t="s">
        <v>154</v>
      </c>
      <c r="M340" s="88">
        <v>3.6249999999999998E-2</v>
      </c>
      <c r="N340" s="88">
        <v>3.4500000000029958E-2</v>
      </c>
      <c r="O340" s="84">
        <v>61728.695</v>
      </c>
      <c r="P340" s="86">
        <v>101.42910000000001</v>
      </c>
      <c r="Q340" s="74"/>
      <c r="R340" s="84">
        <v>217.009144883</v>
      </c>
      <c r="S340" s="85">
        <v>1.543217375E-4</v>
      </c>
      <c r="T340" s="85">
        <f t="shared" si="11"/>
        <v>2.6269596854099548E-3</v>
      </c>
      <c r="U340" s="85">
        <f>R340/'סכום נכסי הקרן'!$C$42</f>
        <v>7.6002617440926645E-4</v>
      </c>
    </row>
    <row r="341" spans="2:21">
      <c r="B341" s="77" t="s">
        <v>1105</v>
      </c>
      <c r="C341" s="74" t="s">
        <v>1106</v>
      </c>
      <c r="D341" s="87" t="s">
        <v>27</v>
      </c>
      <c r="E341" s="87" t="s">
        <v>908</v>
      </c>
      <c r="F341" s="74"/>
      <c r="G341" s="87" t="s">
        <v>953</v>
      </c>
      <c r="H341" s="74" t="s">
        <v>1107</v>
      </c>
      <c r="I341" s="74" t="s">
        <v>910</v>
      </c>
      <c r="J341" s="74"/>
      <c r="K341" s="84">
        <v>1.2099999999998492</v>
      </c>
      <c r="L341" s="87" t="s">
        <v>154</v>
      </c>
      <c r="M341" s="88">
        <v>0.05</v>
      </c>
      <c r="N341" s="88">
        <v>4.8399999999993969E-2</v>
      </c>
      <c r="O341" s="84">
        <v>37742.6878</v>
      </c>
      <c r="P341" s="86">
        <v>101.4241</v>
      </c>
      <c r="Q341" s="74"/>
      <c r="R341" s="84">
        <v>132.67912336200001</v>
      </c>
      <c r="S341" s="85">
        <v>3.7742687799999998E-5</v>
      </c>
      <c r="T341" s="85">
        <f t="shared" si="11"/>
        <v>1.6061199096260397E-3</v>
      </c>
      <c r="U341" s="85">
        <f>R341/'סכום נכסי הקרן'!$C$42</f>
        <v>4.6467906505582267E-4</v>
      </c>
    </row>
    <row r="342" spans="2:21">
      <c r="B342" s="77" t="s">
        <v>1108</v>
      </c>
      <c r="C342" s="74" t="s">
        <v>1109</v>
      </c>
      <c r="D342" s="87" t="s">
        <v>27</v>
      </c>
      <c r="E342" s="87" t="s">
        <v>908</v>
      </c>
      <c r="F342" s="74"/>
      <c r="G342" s="87" t="s">
        <v>983</v>
      </c>
      <c r="H342" s="74" t="s">
        <v>1107</v>
      </c>
      <c r="I342" s="74" t="s">
        <v>910</v>
      </c>
      <c r="J342" s="74"/>
      <c r="K342" s="84">
        <v>5.7700000000003735</v>
      </c>
      <c r="L342" s="87" t="s">
        <v>154</v>
      </c>
      <c r="M342" s="88">
        <v>0.04</v>
      </c>
      <c r="N342" s="88">
        <v>4.4200000000011785E-2</v>
      </c>
      <c r="O342" s="84">
        <v>54673.987000000001</v>
      </c>
      <c r="P342" s="86">
        <v>98.520300000000006</v>
      </c>
      <c r="Q342" s="74"/>
      <c r="R342" s="84">
        <v>186.69607000900001</v>
      </c>
      <c r="S342" s="85">
        <v>4.3739189600000003E-5</v>
      </c>
      <c r="T342" s="85">
        <f t="shared" si="11"/>
        <v>2.2600109760468334E-3</v>
      </c>
      <c r="U342" s="85">
        <f>R342/'סכום נכסי הקרן'!$C$42</f>
        <v>6.5386138424114177E-4</v>
      </c>
    </row>
    <row r="343" spans="2:21">
      <c r="B343" s="77" t="s">
        <v>1110</v>
      </c>
      <c r="C343" s="74" t="s">
        <v>1111</v>
      </c>
      <c r="D343" s="87" t="s">
        <v>27</v>
      </c>
      <c r="E343" s="87" t="s">
        <v>908</v>
      </c>
      <c r="F343" s="74"/>
      <c r="G343" s="87" t="s">
        <v>1094</v>
      </c>
      <c r="H343" s="74" t="s">
        <v>925</v>
      </c>
      <c r="I343" s="74" t="s">
        <v>916</v>
      </c>
      <c r="J343" s="74"/>
      <c r="K343" s="84">
        <v>6.4299999999511135</v>
      </c>
      <c r="L343" s="87" t="s">
        <v>156</v>
      </c>
      <c r="M343" s="88">
        <v>0.03</v>
      </c>
      <c r="N343" s="88">
        <v>3.6899999999744491E-2</v>
      </c>
      <c r="O343" s="84">
        <v>17989.505399999998</v>
      </c>
      <c r="P343" s="86">
        <v>96.934299999999993</v>
      </c>
      <c r="Q343" s="74"/>
      <c r="R343" s="84">
        <v>67.708278816999993</v>
      </c>
      <c r="S343" s="85">
        <v>3.5979010799999996E-5</v>
      </c>
      <c r="T343" s="85">
        <f t="shared" si="11"/>
        <v>8.1962867931972339E-4</v>
      </c>
      <c r="U343" s="85">
        <f>R343/'סכום נכסי הקרן'!$C$42</f>
        <v>2.3713315930932338E-4</v>
      </c>
    </row>
    <row r="344" spans="2:21">
      <c r="B344" s="77" t="s">
        <v>1112</v>
      </c>
      <c r="C344" s="74" t="s">
        <v>1113</v>
      </c>
      <c r="D344" s="87" t="s">
        <v>27</v>
      </c>
      <c r="E344" s="87" t="s">
        <v>908</v>
      </c>
      <c r="F344" s="74"/>
      <c r="G344" s="87" t="s">
        <v>1094</v>
      </c>
      <c r="H344" s="74" t="s">
        <v>925</v>
      </c>
      <c r="I344" s="74" t="s">
        <v>916</v>
      </c>
      <c r="J344" s="74"/>
      <c r="K344" s="84">
        <v>4.7300000000107172</v>
      </c>
      <c r="L344" s="87" t="s">
        <v>157</v>
      </c>
      <c r="M344" s="88">
        <v>0.06</v>
      </c>
      <c r="N344" s="88">
        <v>4.760000000008948E-2</v>
      </c>
      <c r="O344" s="84">
        <v>41799.144899999999</v>
      </c>
      <c r="P344" s="86">
        <v>108.0913</v>
      </c>
      <c r="Q344" s="74"/>
      <c r="R344" s="84">
        <v>192.205568578</v>
      </c>
      <c r="S344" s="85">
        <v>3.3439315920000002E-5</v>
      </c>
      <c r="T344" s="85">
        <f t="shared" si="11"/>
        <v>2.3267050807371679E-3</v>
      </c>
      <c r="U344" s="85">
        <f>R344/'סכום נכסי הקרן'!$C$42</f>
        <v>6.731571753128406E-4</v>
      </c>
    </row>
    <row r="345" spans="2:21">
      <c r="B345" s="77" t="s">
        <v>1114</v>
      </c>
      <c r="C345" s="74" t="s">
        <v>1115</v>
      </c>
      <c r="D345" s="87" t="s">
        <v>27</v>
      </c>
      <c r="E345" s="87" t="s">
        <v>908</v>
      </c>
      <c r="F345" s="74"/>
      <c r="G345" s="87" t="s">
        <v>1094</v>
      </c>
      <c r="H345" s="74" t="s">
        <v>925</v>
      </c>
      <c r="I345" s="74" t="s">
        <v>916</v>
      </c>
      <c r="J345" s="74"/>
      <c r="K345" s="84">
        <v>4.9200000000290105</v>
      </c>
      <c r="L345" s="87" t="s">
        <v>156</v>
      </c>
      <c r="M345" s="88">
        <v>0.05</v>
      </c>
      <c r="N345" s="88">
        <v>3.5700000000216232E-2</v>
      </c>
      <c r="O345" s="84">
        <v>17636.77</v>
      </c>
      <c r="P345" s="86">
        <v>108.7268</v>
      </c>
      <c r="Q345" s="74"/>
      <c r="R345" s="84">
        <v>74.456162327000001</v>
      </c>
      <c r="S345" s="85">
        <v>1.7636770000000002E-5</v>
      </c>
      <c r="T345" s="85">
        <f t="shared" si="11"/>
        <v>9.0131379886696547E-4</v>
      </c>
      <c r="U345" s="85">
        <f>R345/'סכום נכסי הקרן'!$C$42</f>
        <v>2.6076611769100695E-4</v>
      </c>
    </row>
    <row r="346" spans="2:21">
      <c r="B346" s="77" t="s">
        <v>1116</v>
      </c>
      <c r="C346" s="74" t="s">
        <v>1117</v>
      </c>
      <c r="D346" s="87" t="s">
        <v>27</v>
      </c>
      <c r="E346" s="87" t="s">
        <v>908</v>
      </c>
      <c r="F346" s="74"/>
      <c r="G346" s="87" t="s">
        <v>997</v>
      </c>
      <c r="H346" s="74" t="s">
        <v>925</v>
      </c>
      <c r="I346" s="74" t="s">
        <v>916</v>
      </c>
      <c r="J346" s="74"/>
      <c r="K346" s="84">
        <v>6.519999999999432</v>
      </c>
      <c r="L346" s="87" t="s">
        <v>154</v>
      </c>
      <c r="M346" s="88">
        <v>5.8749999999999997E-2</v>
      </c>
      <c r="N346" s="88">
        <v>3.9200000000022758E-2</v>
      </c>
      <c r="O346" s="84">
        <v>52910.31</v>
      </c>
      <c r="P346" s="86">
        <v>115.0256</v>
      </c>
      <c r="Q346" s="74"/>
      <c r="R346" s="84">
        <v>210.94214665599998</v>
      </c>
      <c r="S346" s="85">
        <v>5.2910309999999995E-5</v>
      </c>
      <c r="T346" s="85">
        <f t="shared" si="11"/>
        <v>2.5535168829770179E-3</v>
      </c>
      <c r="U346" s="85">
        <f>R346/'סכום נכסי הקרן'!$C$42</f>
        <v>7.3877786501151883E-4</v>
      </c>
    </row>
    <row r="347" spans="2:21">
      <c r="B347" s="77" t="s">
        <v>1118</v>
      </c>
      <c r="C347" s="74" t="s">
        <v>1119</v>
      </c>
      <c r="D347" s="87" t="s">
        <v>27</v>
      </c>
      <c r="E347" s="87" t="s">
        <v>908</v>
      </c>
      <c r="F347" s="74"/>
      <c r="G347" s="87" t="s">
        <v>914</v>
      </c>
      <c r="H347" s="74" t="s">
        <v>1107</v>
      </c>
      <c r="I347" s="74" t="s">
        <v>910</v>
      </c>
      <c r="J347" s="74"/>
      <c r="K347" s="84">
        <v>6.589999999990984</v>
      </c>
      <c r="L347" s="87" t="s">
        <v>154</v>
      </c>
      <c r="M347" s="88">
        <v>5.1249999999999997E-2</v>
      </c>
      <c r="N347" s="88">
        <v>5.6899999999930576E-2</v>
      </c>
      <c r="O347" s="84">
        <v>57614.036559</v>
      </c>
      <c r="P347" s="86">
        <v>96.643500000000003</v>
      </c>
      <c r="Q347" s="74"/>
      <c r="R347" s="84">
        <v>192.98773068599999</v>
      </c>
      <c r="S347" s="85">
        <v>1.0475279374363636E-4</v>
      </c>
      <c r="T347" s="85">
        <f t="shared" si="11"/>
        <v>2.3361733836802494E-3</v>
      </c>
      <c r="U347" s="85">
        <f>R347/'סכום נכסי הקרן'!$C$42</f>
        <v>6.7589652380910616E-4</v>
      </c>
    </row>
    <row r="348" spans="2:21">
      <c r="B348" s="77" t="s">
        <v>1120</v>
      </c>
      <c r="C348" s="74" t="s">
        <v>1121</v>
      </c>
      <c r="D348" s="87" t="s">
        <v>27</v>
      </c>
      <c r="E348" s="87" t="s">
        <v>908</v>
      </c>
      <c r="F348" s="74"/>
      <c r="G348" s="87" t="s">
        <v>914</v>
      </c>
      <c r="H348" s="74" t="s">
        <v>1107</v>
      </c>
      <c r="I348" s="74" t="s">
        <v>910</v>
      </c>
      <c r="J348" s="74"/>
      <c r="K348" s="84">
        <v>4.2500000001000275</v>
      </c>
      <c r="L348" s="87" t="s">
        <v>154</v>
      </c>
      <c r="M348" s="88">
        <v>6.5000000000000002E-2</v>
      </c>
      <c r="N348" s="88">
        <v>6.3400000001456402E-2</v>
      </c>
      <c r="O348" s="84">
        <v>3527.3539999999998</v>
      </c>
      <c r="P348" s="86">
        <v>102.21420000000001</v>
      </c>
      <c r="Q348" s="74"/>
      <c r="R348" s="84">
        <v>12.496508727</v>
      </c>
      <c r="S348" s="85">
        <v>5.0022321301953042E-6</v>
      </c>
      <c r="T348" s="85">
        <f t="shared" si="11"/>
        <v>1.5127392281971214E-4</v>
      </c>
      <c r="U348" s="85">
        <f>R348/'סכום נכסי הקרן'!$C$42</f>
        <v>4.3766237254077347E-5</v>
      </c>
    </row>
    <row r="349" spans="2:21">
      <c r="B349" s="77" t="s">
        <v>1122</v>
      </c>
      <c r="C349" s="74" t="s">
        <v>1123</v>
      </c>
      <c r="D349" s="87" t="s">
        <v>27</v>
      </c>
      <c r="E349" s="87" t="s">
        <v>908</v>
      </c>
      <c r="F349" s="74"/>
      <c r="G349" s="87" t="s">
        <v>914</v>
      </c>
      <c r="H349" s="74" t="s">
        <v>1107</v>
      </c>
      <c r="I349" s="74" t="s">
        <v>910</v>
      </c>
      <c r="J349" s="74"/>
      <c r="K349" s="84">
        <v>5.2399999999938576</v>
      </c>
      <c r="L349" s="87" t="s">
        <v>154</v>
      </c>
      <c r="M349" s="88">
        <v>6.8750000000000006E-2</v>
      </c>
      <c r="N349" s="88">
        <v>6.0199999999922559E-2</v>
      </c>
      <c r="O349" s="84">
        <v>40564.571000000004</v>
      </c>
      <c r="P349" s="86">
        <v>106.53700000000001</v>
      </c>
      <c r="Q349" s="74"/>
      <c r="R349" s="84">
        <v>149.78767465800001</v>
      </c>
      <c r="S349" s="85">
        <v>5.9712263775992375E-5</v>
      </c>
      <c r="T349" s="85">
        <f t="shared" si="11"/>
        <v>1.8132239676351683E-3</v>
      </c>
      <c r="U349" s="85">
        <f>R349/'סכום נכסי הקרן'!$C$42</f>
        <v>5.2459795371922015E-4</v>
      </c>
    </row>
    <row r="350" spans="2:21">
      <c r="B350" s="77" t="s">
        <v>1124</v>
      </c>
      <c r="C350" s="74" t="s">
        <v>1125</v>
      </c>
      <c r="D350" s="87" t="s">
        <v>27</v>
      </c>
      <c r="E350" s="87" t="s">
        <v>908</v>
      </c>
      <c r="F350" s="74"/>
      <c r="G350" s="87" t="s">
        <v>939</v>
      </c>
      <c r="H350" s="74" t="s">
        <v>1107</v>
      </c>
      <c r="I350" s="74" t="s">
        <v>910</v>
      </c>
      <c r="J350" s="74"/>
      <c r="K350" s="84">
        <v>2.8099999999914358</v>
      </c>
      <c r="L350" s="87" t="s">
        <v>154</v>
      </c>
      <c r="M350" s="88">
        <v>4.6249999999999999E-2</v>
      </c>
      <c r="N350" s="88">
        <v>3.5899999999890325E-2</v>
      </c>
      <c r="O350" s="84">
        <v>36728.573525</v>
      </c>
      <c r="P350" s="86">
        <v>104.56780000000001</v>
      </c>
      <c r="Q350" s="74"/>
      <c r="R350" s="84">
        <v>133.11609109400001</v>
      </c>
      <c r="S350" s="85">
        <v>2.4485715683333333E-5</v>
      </c>
      <c r="T350" s="85">
        <f t="shared" si="11"/>
        <v>1.611409532864765E-3</v>
      </c>
      <c r="U350" s="85">
        <f>R350/'סכום נכסי הקרן'!$C$42</f>
        <v>4.6620944716884978E-4</v>
      </c>
    </row>
    <row r="351" spans="2:21">
      <c r="B351" s="77" t="s">
        <v>1126</v>
      </c>
      <c r="C351" s="74" t="s">
        <v>1127</v>
      </c>
      <c r="D351" s="87" t="s">
        <v>27</v>
      </c>
      <c r="E351" s="87" t="s">
        <v>908</v>
      </c>
      <c r="F351" s="74"/>
      <c r="G351" s="87" t="s">
        <v>939</v>
      </c>
      <c r="H351" s="74" t="s">
        <v>1107</v>
      </c>
      <c r="I351" s="74" t="s">
        <v>910</v>
      </c>
      <c r="J351" s="74"/>
      <c r="K351" s="84">
        <v>2.0000000014760617E-2</v>
      </c>
      <c r="L351" s="87" t="s">
        <v>154</v>
      </c>
      <c r="M351" s="88">
        <v>4.6249999999999999E-2</v>
      </c>
      <c r="N351" s="88">
        <v>5.6300000000549424E-2</v>
      </c>
      <c r="O351" s="84">
        <v>6943.5963490000004</v>
      </c>
      <c r="P351" s="86">
        <v>101.34099999999999</v>
      </c>
      <c r="Q351" s="74"/>
      <c r="R351" s="84">
        <v>24.389230181999999</v>
      </c>
      <c r="S351" s="85">
        <v>1.3887192698E-5</v>
      </c>
      <c r="T351" s="85">
        <f t="shared" si="11"/>
        <v>2.9523882268113922E-4</v>
      </c>
      <c r="U351" s="85">
        <f>R351/'סכום נכסי הקרן'!$C$42</f>
        <v>8.5417844128211109E-5</v>
      </c>
    </row>
    <row r="352" spans="2:21">
      <c r="B352" s="77" t="s">
        <v>1128</v>
      </c>
      <c r="C352" s="74" t="s">
        <v>1129</v>
      </c>
      <c r="D352" s="87" t="s">
        <v>27</v>
      </c>
      <c r="E352" s="87" t="s">
        <v>908</v>
      </c>
      <c r="F352" s="74"/>
      <c r="G352" s="87" t="s">
        <v>953</v>
      </c>
      <c r="H352" s="74" t="s">
        <v>925</v>
      </c>
      <c r="I352" s="74" t="s">
        <v>916</v>
      </c>
      <c r="J352" s="74"/>
      <c r="K352" s="84">
        <v>8.2199999999926678</v>
      </c>
      <c r="L352" s="87" t="s">
        <v>154</v>
      </c>
      <c r="M352" s="88">
        <v>0.04</v>
      </c>
      <c r="N352" s="88">
        <v>4.2899999999936662E-2</v>
      </c>
      <c r="O352" s="84">
        <v>44091.925000000003</v>
      </c>
      <c r="P352" s="86">
        <v>98.151899999999998</v>
      </c>
      <c r="Q352" s="74"/>
      <c r="R352" s="84">
        <v>149.99828035499999</v>
      </c>
      <c r="S352" s="85">
        <v>5.8789233333333336E-5</v>
      </c>
      <c r="T352" s="85">
        <f t="shared" si="11"/>
        <v>1.8157734116958548E-3</v>
      </c>
      <c r="U352" s="85">
        <f>R352/'סכום נכסי הקרן'!$C$42</f>
        <v>5.2533555324428159E-4</v>
      </c>
    </row>
    <row r="353" spans="2:21">
      <c r="B353" s="77" t="s">
        <v>1130</v>
      </c>
      <c r="C353" s="74" t="s">
        <v>1131</v>
      </c>
      <c r="D353" s="87" t="s">
        <v>27</v>
      </c>
      <c r="E353" s="87" t="s">
        <v>908</v>
      </c>
      <c r="F353" s="74"/>
      <c r="G353" s="87" t="s">
        <v>939</v>
      </c>
      <c r="H353" s="74" t="s">
        <v>1132</v>
      </c>
      <c r="I353" s="74" t="s">
        <v>910</v>
      </c>
      <c r="J353" s="74"/>
      <c r="K353" s="84">
        <v>6.4400000000762825</v>
      </c>
      <c r="L353" s="87" t="s">
        <v>154</v>
      </c>
      <c r="M353" s="88">
        <v>4.4999999999999998E-2</v>
      </c>
      <c r="N353" s="88">
        <v>4.2200000000381405E-2</v>
      </c>
      <c r="O353" s="84">
        <v>12345.739</v>
      </c>
      <c r="P353" s="86">
        <v>102.937</v>
      </c>
      <c r="Q353" s="74"/>
      <c r="R353" s="84">
        <v>44.047083405999999</v>
      </c>
      <c r="S353" s="85">
        <v>4.4893596363636366E-6</v>
      </c>
      <c r="T353" s="85">
        <f t="shared" si="11"/>
        <v>5.3320293220747233E-4</v>
      </c>
      <c r="U353" s="85">
        <f>R353/'סכום נכסי הקרן'!$C$42</f>
        <v>1.5426509474057915E-4</v>
      </c>
    </row>
    <row r="354" spans="2:21">
      <c r="B354" s="77" t="s">
        <v>1133</v>
      </c>
      <c r="C354" s="74" t="s">
        <v>1134</v>
      </c>
      <c r="D354" s="87" t="s">
        <v>27</v>
      </c>
      <c r="E354" s="87" t="s">
        <v>908</v>
      </c>
      <c r="F354" s="74"/>
      <c r="G354" s="87" t="s">
        <v>939</v>
      </c>
      <c r="H354" s="74" t="s">
        <v>1132</v>
      </c>
      <c r="I354" s="74" t="s">
        <v>910</v>
      </c>
      <c r="J354" s="74"/>
      <c r="K354" s="84">
        <v>6.079999999996482</v>
      </c>
      <c r="L354" s="87" t="s">
        <v>154</v>
      </c>
      <c r="M354" s="88">
        <v>4.7500000000000001E-2</v>
      </c>
      <c r="N354" s="88">
        <v>4.2399999999992187E-2</v>
      </c>
      <c r="O354" s="84">
        <v>56437.663999999997</v>
      </c>
      <c r="P354" s="86">
        <v>104.6121</v>
      </c>
      <c r="Q354" s="74"/>
      <c r="R354" s="84">
        <v>204.63488403399998</v>
      </c>
      <c r="S354" s="85">
        <v>1.8504152131147541E-5</v>
      </c>
      <c r="T354" s="85">
        <f t="shared" si="11"/>
        <v>2.4771656091990388E-3</v>
      </c>
      <c r="U354" s="85">
        <f>R354/'סכום נכסי הקרן'!$C$42</f>
        <v>7.1668808310772984E-4</v>
      </c>
    </row>
    <row r="355" spans="2:21">
      <c r="B355" s="77" t="s">
        <v>1135</v>
      </c>
      <c r="C355" s="74" t="s">
        <v>1136</v>
      </c>
      <c r="D355" s="87" t="s">
        <v>27</v>
      </c>
      <c r="E355" s="87" t="s">
        <v>908</v>
      </c>
      <c r="F355" s="74"/>
      <c r="G355" s="87" t="s">
        <v>914</v>
      </c>
      <c r="H355" s="119" t="s">
        <v>1553</v>
      </c>
      <c r="I355" s="119" t="s">
        <v>916</v>
      </c>
      <c r="J355" s="74"/>
      <c r="K355" s="84">
        <v>2.4999999999885811</v>
      </c>
      <c r="L355" s="87" t="s">
        <v>154</v>
      </c>
      <c r="M355" s="88">
        <v>7.7499999999999999E-2</v>
      </c>
      <c r="N355" s="88">
        <v>0.10259999999949301</v>
      </c>
      <c r="O355" s="84">
        <v>26418.558701999998</v>
      </c>
      <c r="P355" s="86">
        <v>95.636099999999999</v>
      </c>
      <c r="Q355" s="74"/>
      <c r="R355" s="84">
        <v>87.57085439399998</v>
      </c>
      <c r="S355" s="85">
        <v>6.7739894107692299E-5</v>
      </c>
      <c r="T355" s="85">
        <f t="shared" si="11"/>
        <v>1.0600710132928797E-3</v>
      </c>
      <c r="U355" s="85">
        <f>R355/'סכום נכסי הקרן'!$C$42</f>
        <v>3.0669740434536202E-4</v>
      </c>
    </row>
    <row r="356" spans="2:21">
      <c r="B356" s="77" t="s">
        <v>1145</v>
      </c>
      <c r="C356" s="74" t="s">
        <v>1146</v>
      </c>
      <c r="D356" s="87" t="s">
        <v>27</v>
      </c>
      <c r="E356" s="87" t="s">
        <v>908</v>
      </c>
      <c r="F356" s="74"/>
      <c r="G356" s="87" t="s">
        <v>959</v>
      </c>
      <c r="H356" s="74" t="s">
        <v>690</v>
      </c>
      <c r="I356" s="74"/>
      <c r="J356" s="74"/>
      <c r="K356" s="84">
        <v>4.1400000000016535</v>
      </c>
      <c r="L356" s="87" t="s">
        <v>154</v>
      </c>
      <c r="M356" s="88">
        <v>4.2500000000000003E-2</v>
      </c>
      <c r="N356" s="88">
        <v>6.9900000000009246E-2</v>
      </c>
      <c r="O356" s="84">
        <v>65256.049000000006</v>
      </c>
      <c r="P356" s="86">
        <v>90.947599999999994</v>
      </c>
      <c r="Q356" s="74"/>
      <c r="R356" s="84">
        <v>205.70287641899998</v>
      </c>
      <c r="S356" s="85">
        <v>1.3738115578947369E-4</v>
      </c>
      <c r="T356" s="85">
        <f t="shared" si="11"/>
        <v>2.4900939719241784E-3</v>
      </c>
      <c r="U356" s="85">
        <f>R356/'סכום נכסי הקרן'!$C$42</f>
        <v>7.2042848845842319E-4</v>
      </c>
    </row>
    <row r="357" spans="2:21">
      <c r="B357" s="120"/>
      <c r="C357" s="120"/>
      <c r="D357" s="120"/>
      <c r="E357" s="120"/>
      <c r="F357" s="120"/>
      <c r="G357" s="121"/>
      <c r="H357" s="121"/>
      <c r="I357" s="121"/>
      <c r="J357" s="121"/>
      <c r="K357" s="121"/>
    </row>
    <row r="358" spans="2:21">
      <c r="B358" s="120"/>
      <c r="C358" s="120"/>
      <c r="D358" s="120"/>
      <c r="E358" s="120"/>
      <c r="F358" s="120"/>
      <c r="G358" s="121"/>
      <c r="H358" s="121"/>
      <c r="I358" s="121"/>
      <c r="J358" s="121"/>
      <c r="K358" s="121"/>
    </row>
    <row r="359" spans="2:21">
      <c r="B359" s="120"/>
      <c r="C359" s="121"/>
      <c r="D359" s="121"/>
      <c r="E359" s="121"/>
      <c r="F359" s="121"/>
      <c r="G359" s="121"/>
      <c r="H359" s="121"/>
      <c r="I359" s="121"/>
      <c r="J359" s="121"/>
      <c r="K359" s="121"/>
    </row>
    <row r="360" spans="2:21">
      <c r="B360" s="120"/>
      <c r="C360" s="121"/>
      <c r="D360" s="121"/>
      <c r="E360" s="121"/>
      <c r="F360" s="121"/>
      <c r="G360" s="121"/>
      <c r="H360" s="121"/>
      <c r="I360" s="121"/>
      <c r="J360" s="121"/>
      <c r="K360" s="121"/>
    </row>
    <row r="361" spans="2:21">
      <c r="B361" s="120"/>
      <c r="C361" s="121"/>
      <c r="D361" s="121"/>
      <c r="E361" s="121"/>
      <c r="F361" s="121"/>
      <c r="G361" s="121"/>
      <c r="H361" s="121"/>
      <c r="I361" s="121"/>
      <c r="J361" s="121"/>
      <c r="K361" s="121"/>
    </row>
    <row r="362" spans="2:21">
      <c r="B362" s="122" t="s">
        <v>241</v>
      </c>
      <c r="C362" s="123"/>
      <c r="D362" s="123"/>
      <c r="E362" s="123"/>
      <c r="F362" s="123"/>
      <c r="G362" s="123"/>
      <c r="H362" s="123"/>
      <c r="I362" s="123"/>
      <c r="J362" s="123"/>
      <c r="K362" s="123"/>
    </row>
    <row r="363" spans="2:21">
      <c r="B363" s="122" t="s">
        <v>103</v>
      </c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2:21">
      <c r="B364" s="122" t="s">
        <v>223</v>
      </c>
      <c r="C364" s="123"/>
      <c r="D364" s="123"/>
      <c r="E364" s="123"/>
      <c r="F364" s="123"/>
      <c r="G364" s="123"/>
      <c r="H364" s="123"/>
      <c r="I364" s="123"/>
      <c r="J364" s="123"/>
      <c r="K364" s="123"/>
    </row>
    <row r="365" spans="2:21">
      <c r="B365" s="122" t="s">
        <v>231</v>
      </c>
      <c r="C365" s="123"/>
      <c r="D365" s="123"/>
      <c r="E365" s="123"/>
      <c r="F365" s="123"/>
      <c r="G365" s="123"/>
      <c r="H365" s="123"/>
      <c r="I365" s="123"/>
      <c r="J365" s="123"/>
      <c r="K365" s="123"/>
    </row>
    <row r="366" spans="2:21">
      <c r="B366" s="146" t="s">
        <v>237</v>
      </c>
      <c r="C366" s="146"/>
      <c r="D366" s="146"/>
      <c r="E366" s="146"/>
      <c r="F366" s="146"/>
      <c r="G366" s="146"/>
      <c r="H366" s="146"/>
      <c r="I366" s="146"/>
      <c r="J366" s="146"/>
      <c r="K366" s="146"/>
    </row>
    <row r="367" spans="2:21">
      <c r="B367" s="120"/>
      <c r="C367" s="121"/>
      <c r="D367" s="121"/>
      <c r="E367" s="121"/>
      <c r="F367" s="121"/>
      <c r="G367" s="121"/>
      <c r="H367" s="121"/>
      <c r="I367" s="121"/>
      <c r="J367" s="121"/>
      <c r="K367" s="121"/>
    </row>
    <row r="368" spans="2:21">
      <c r="B368" s="120"/>
      <c r="C368" s="121"/>
      <c r="D368" s="121"/>
      <c r="E368" s="121"/>
      <c r="F368" s="121"/>
      <c r="G368" s="121"/>
      <c r="H368" s="121"/>
      <c r="I368" s="121"/>
      <c r="J368" s="121"/>
      <c r="K368" s="121"/>
    </row>
    <row r="369" spans="2:11">
      <c r="B369" s="120"/>
      <c r="C369" s="121"/>
      <c r="D369" s="121"/>
      <c r="E369" s="121"/>
      <c r="F369" s="121"/>
      <c r="G369" s="121"/>
      <c r="H369" s="121"/>
      <c r="I369" s="121"/>
      <c r="J369" s="121"/>
      <c r="K369" s="121"/>
    </row>
    <row r="370" spans="2:11">
      <c r="B370" s="120"/>
      <c r="C370" s="121"/>
      <c r="D370" s="121"/>
      <c r="E370" s="121"/>
      <c r="F370" s="121"/>
      <c r="G370" s="121"/>
      <c r="H370" s="121"/>
      <c r="I370" s="121"/>
      <c r="J370" s="121"/>
      <c r="K370" s="121"/>
    </row>
    <row r="371" spans="2:11">
      <c r="B371" s="120"/>
      <c r="C371" s="121"/>
      <c r="D371" s="121"/>
      <c r="E371" s="121"/>
      <c r="F371" s="121"/>
      <c r="G371" s="121"/>
      <c r="H371" s="121"/>
      <c r="I371" s="121"/>
      <c r="J371" s="121"/>
      <c r="K371" s="121"/>
    </row>
    <row r="372" spans="2:11">
      <c r="B372" s="120"/>
      <c r="C372" s="121"/>
      <c r="D372" s="121"/>
      <c r="E372" s="121"/>
      <c r="F372" s="121"/>
      <c r="G372" s="121"/>
      <c r="H372" s="121"/>
      <c r="I372" s="121"/>
      <c r="J372" s="121"/>
      <c r="K372" s="121"/>
    </row>
    <row r="373" spans="2:11">
      <c r="C373" s="1"/>
      <c r="D373" s="1"/>
      <c r="E373" s="1"/>
      <c r="F373" s="1"/>
    </row>
    <row r="374" spans="2:11">
      <c r="C374" s="1"/>
      <c r="D374" s="1"/>
      <c r="E374" s="1"/>
      <c r="F374" s="1"/>
    </row>
    <row r="375" spans="2:11">
      <c r="C375" s="1"/>
      <c r="D375" s="1"/>
      <c r="E375" s="1"/>
      <c r="F375" s="1"/>
    </row>
    <row r="376" spans="2:11">
      <c r="C376" s="1"/>
      <c r="D376" s="1"/>
      <c r="E376" s="1"/>
      <c r="F376" s="1"/>
    </row>
    <row r="377" spans="2:11">
      <c r="C377" s="1"/>
      <c r="D377" s="1"/>
      <c r="E377" s="1"/>
      <c r="F377" s="1"/>
    </row>
    <row r="378" spans="2:11">
      <c r="C378" s="1"/>
      <c r="D378" s="1"/>
      <c r="E378" s="1"/>
      <c r="F378" s="1"/>
    </row>
    <row r="379" spans="2:11">
      <c r="C379" s="1"/>
      <c r="D379" s="1"/>
      <c r="E379" s="1"/>
      <c r="F379" s="1"/>
    </row>
    <row r="380" spans="2:11">
      <c r="C380" s="1"/>
      <c r="D380" s="1"/>
      <c r="E380" s="1"/>
      <c r="F380" s="1"/>
    </row>
    <row r="381" spans="2:11">
      <c r="C381" s="1"/>
      <c r="D381" s="1"/>
      <c r="E381" s="1"/>
      <c r="F381" s="1"/>
    </row>
    <row r="382" spans="2:11">
      <c r="C382" s="1"/>
      <c r="D382" s="1"/>
      <c r="E382" s="1"/>
      <c r="F382" s="1"/>
    </row>
    <row r="383" spans="2:11">
      <c r="C383" s="1"/>
      <c r="D383" s="1"/>
      <c r="E383" s="1"/>
      <c r="F383" s="1"/>
    </row>
    <row r="384" spans="2:1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42"/>
      <c r="C798" s="1"/>
      <c r="D798" s="1"/>
      <c r="E798" s="1"/>
      <c r="F798" s="1"/>
    </row>
    <row r="799" spans="2:6">
      <c r="B799" s="3"/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</sheetData>
  <sheetProtection sheet="1" objects="1" scenarios="1"/>
  <mergeCells count="3">
    <mergeCell ref="B6:U6"/>
    <mergeCell ref="B7:U7"/>
    <mergeCell ref="B366:K366"/>
  </mergeCells>
  <phoneticPr fontId="5" type="noConversion"/>
  <conditionalFormatting sqref="B12:B356">
    <cfRule type="cellIs" dxfId="11" priority="2" operator="equal">
      <formula>"NR3"</formula>
    </cfRule>
  </conditionalFormatting>
  <conditionalFormatting sqref="B12:B356">
    <cfRule type="containsText" dxfId="10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4 B366"/>
    <dataValidation type="list" allowBlank="1" showInputMessage="1" showErrorMessage="1" sqref="I12:I35 I367:I829 I359:I365 I37:I356">
      <formula1>$BM$7:$BM$10</formula1>
    </dataValidation>
    <dataValidation type="list" allowBlank="1" showInputMessage="1" showErrorMessage="1" sqref="G557:G829">
      <formula1>$BK$7:$BK$24</formula1>
    </dataValidation>
    <dataValidation type="list" allowBlank="1" showInputMessage="1" showErrorMessage="1" sqref="E12:E35 E367:E823 E359:E365 E37:E356">
      <formula1>$BI$7:$BI$24</formula1>
    </dataValidation>
    <dataValidation type="list" allowBlank="1" showInputMessage="1" showErrorMessage="1" sqref="L359:L829 L12:L356">
      <formula1>$BN$7:$BN$20</formula1>
    </dataValidation>
    <dataValidation type="list" allowBlank="1" showInputMessage="1" showErrorMessage="1" sqref="G12:G35 G367:G556 G359:G365 G37:G356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170</v>
      </c>
      <c r="C1" s="68" t="s" vm="1">
        <v>248</v>
      </c>
    </row>
    <row r="2" spans="2:62">
      <c r="B2" s="47" t="s">
        <v>169</v>
      </c>
      <c r="C2" s="68" t="s">
        <v>249</v>
      </c>
    </row>
    <row r="3" spans="2:62">
      <c r="B3" s="47" t="s">
        <v>171</v>
      </c>
      <c r="C3" s="68" t="s">
        <v>250</v>
      </c>
    </row>
    <row r="4" spans="2:62">
      <c r="B4" s="47" t="s">
        <v>172</v>
      </c>
      <c r="C4" s="68">
        <v>2144</v>
      </c>
    </row>
    <row r="6" spans="2:62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BJ6" s="3"/>
    </row>
    <row r="7" spans="2:62" ht="26.25" customHeight="1">
      <c r="B7" s="134" t="s">
        <v>83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BF7" s="3"/>
      <c r="BJ7" s="3"/>
    </row>
    <row r="8" spans="2:62" s="3" customFormat="1" ht="78.75">
      <c r="B8" s="22" t="s">
        <v>106</v>
      </c>
      <c r="C8" s="30" t="s">
        <v>41</v>
      </c>
      <c r="D8" s="30" t="s">
        <v>110</v>
      </c>
      <c r="E8" s="30" t="s">
        <v>216</v>
      </c>
      <c r="F8" s="30" t="s">
        <v>108</v>
      </c>
      <c r="G8" s="30" t="s">
        <v>60</v>
      </c>
      <c r="H8" s="30" t="s">
        <v>94</v>
      </c>
      <c r="I8" s="13" t="s">
        <v>225</v>
      </c>
      <c r="J8" s="13" t="s">
        <v>224</v>
      </c>
      <c r="K8" s="30" t="s">
        <v>240</v>
      </c>
      <c r="L8" s="13" t="s">
        <v>56</v>
      </c>
      <c r="M8" s="13" t="s">
        <v>53</v>
      </c>
      <c r="N8" s="13" t="s">
        <v>173</v>
      </c>
      <c r="O8" s="14" t="s">
        <v>175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232</v>
      </c>
      <c r="J9" s="16"/>
      <c r="K9" s="16" t="s">
        <v>228</v>
      </c>
      <c r="L9" s="16" t="s">
        <v>228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115">
        <v>0</v>
      </c>
      <c r="M11" s="91"/>
      <c r="N11" s="91"/>
      <c r="O11" s="91"/>
      <c r="BF11" s="1"/>
      <c r="BG11" s="3"/>
      <c r="BH11" s="1"/>
      <c r="BJ11" s="1"/>
    </row>
    <row r="12" spans="2:62" ht="20.25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BG12" s="4"/>
    </row>
    <row r="13" spans="2:62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2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2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2" ht="20.25">
      <c r="B16" s="89" t="s">
        <v>238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BF16" s="4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10" workbookViewId="0">
      <selection activeCell="M31" sqref="M31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4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170</v>
      </c>
      <c r="C1" s="68" t="s" vm="1">
        <v>248</v>
      </c>
    </row>
    <row r="2" spans="2:63">
      <c r="B2" s="47" t="s">
        <v>169</v>
      </c>
      <c r="C2" s="68" t="s">
        <v>249</v>
      </c>
    </row>
    <row r="3" spans="2:63">
      <c r="B3" s="47" t="s">
        <v>171</v>
      </c>
      <c r="C3" s="68" t="s">
        <v>250</v>
      </c>
    </row>
    <row r="4" spans="2:63">
      <c r="B4" s="47" t="s">
        <v>172</v>
      </c>
      <c r="C4" s="68">
        <v>2144</v>
      </c>
    </row>
    <row r="6" spans="2:63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  <c r="BK6" s="3"/>
    </row>
    <row r="7" spans="2:63" ht="26.25" customHeight="1">
      <c r="B7" s="134" t="s">
        <v>246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BH7" s="3"/>
      <c r="BK7" s="3"/>
    </row>
    <row r="8" spans="2:63" s="3" customFormat="1" ht="74.25" customHeight="1">
      <c r="B8" s="22" t="s">
        <v>106</v>
      </c>
      <c r="C8" s="30" t="s">
        <v>41</v>
      </c>
      <c r="D8" s="30" t="s">
        <v>110</v>
      </c>
      <c r="E8" s="30" t="s">
        <v>108</v>
      </c>
      <c r="F8" s="30" t="s">
        <v>60</v>
      </c>
      <c r="G8" s="30" t="s">
        <v>94</v>
      </c>
      <c r="H8" s="30" t="s">
        <v>225</v>
      </c>
      <c r="I8" s="30" t="s">
        <v>224</v>
      </c>
      <c r="J8" s="30" t="s">
        <v>240</v>
      </c>
      <c r="K8" s="30" t="s">
        <v>56</v>
      </c>
      <c r="L8" s="30" t="s">
        <v>53</v>
      </c>
      <c r="M8" s="30" t="s">
        <v>173</v>
      </c>
      <c r="N8" s="14" t="s">
        <v>175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232</v>
      </c>
      <c r="I9" s="32"/>
      <c r="J9" s="16" t="s">
        <v>228</v>
      </c>
      <c r="K9" s="16" t="s">
        <v>228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124" t="s">
        <v>243</v>
      </c>
      <c r="C11" s="72"/>
      <c r="D11" s="72"/>
      <c r="E11" s="72"/>
      <c r="F11" s="72"/>
      <c r="G11" s="72"/>
      <c r="H11" s="81"/>
      <c r="I11" s="83"/>
      <c r="J11" s="72"/>
      <c r="K11" s="81">
        <v>5189.284844574001</v>
      </c>
      <c r="L11" s="72"/>
      <c r="M11" s="82">
        <f>K11/$K$11</f>
        <v>1</v>
      </c>
      <c r="N11" s="82">
        <f>K11/'סכום נכסי הקרן'!$C$42</f>
        <v>1.8174313854229313E-2</v>
      </c>
      <c r="O11" s="5"/>
      <c r="BH11" s="90"/>
      <c r="BI11" s="3"/>
      <c r="BK11" s="90"/>
    </row>
    <row r="12" spans="2:63" s="90" customFormat="1" ht="20.25">
      <c r="B12" s="71" t="s">
        <v>221</v>
      </c>
      <c r="C12" s="72"/>
      <c r="D12" s="72"/>
      <c r="E12" s="72"/>
      <c r="F12" s="72"/>
      <c r="G12" s="72"/>
      <c r="H12" s="81"/>
      <c r="I12" s="83"/>
      <c r="J12" s="72"/>
      <c r="K12" s="81">
        <v>3316.3089313789997</v>
      </c>
      <c r="L12" s="72"/>
      <c r="M12" s="82">
        <f t="shared" ref="M12:M27" si="0">K12/$K$11</f>
        <v>0.63906858665632604</v>
      </c>
      <c r="N12" s="82">
        <f>K12/'סכום נכסי הקרן'!$C$42</f>
        <v>1.1614633068270814E-2</v>
      </c>
      <c r="BI12" s="4"/>
    </row>
    <row r="13" spans="2:63">
      <c r="B13" s="92" t="s">
        <v>244</v>
      </c>
      <c r="C13" s="72"/>
      <c r="D13" s="72"/>
      <c r="E13" s="72"/>
      <c r="F13" s="72"/>
      <c r="G13" s="72"/>
      <c r="H13" s="81"/>
      <c r="I13" s="83"/>
      <c r="J13" s="72"/>
      <c r="K13" s="81">
        <v>3316.3089313789997</v>
      </c>
      <c r="L13" s="72"/>
      <c r="M13" s="82">
        <f t="shared" si="0"/>
        <v>0.63906858665632604</v>
      </c>
      <c r="N13" s="82">
        <f>K13/'סכום נכסי הקרן'!$C$42</f>
        <v>1.1614633068270814E-2</v>
      </c>
    </row>
    <row r="14" spans="2:63">
      <c r="B14" s="77" t="s">
        <v>1151</v>
      </c>
      <c r="C14" s="74" t="s">
        <v>1152</v>
      </c>
      <c r="D14" s="87" t="s">
        <v>111</v>
      </c>
      <c r="E14" s="74" t="s">
        <v>1153</v>
      </c>
      <c r="F14" s="87" t="s">
        <v>1154</v>
      </c>
      <c r="G14" s="87" t="s">
        <v>155</v>
      </c>
      <c r="H14" s="84">
        <v>18836.877332</v>
      </c>
      <c r="I14" s="86">
        <v>315.60000000000002</v>
      </c>
      <c r="J14" s="74"/>
      <c r="K14" s="84">
        <v>59.449184873</v>
      </c>
      <c r="L14" s="85">
        <v>7.0757456164799947E-4</v>
      </c>
      <c r="M14" s="85">
        <f t="shared" si="0"/>
        <v>1.145614215707604E-2</v>
      </c>
      <c r="N14" s="85">
        <f>K14/'סכום נכסי הקרן'!$C$42</f>
        <v>2.0820752312136756E-4</v>
      </c>
    </row>
    <row r="15" spans="2:63">
      <c r="B15" s="77" t="s">
        <v>1155</v>
      </c>
      <c r="C15" s="74" t="s">
        <v>1156</v>
      </c>
      <c r="D15" s="87" t="s">
        <v>111</v>
      </c>
      <c r="E15" s="74" t="s">
        <v>1153</v>
      </c>
      <c r="F15" s="87" t="s">
        <v>1154</v>
      </c>
      <c r="G15" s="87" t="s">
        <v>155</v>
      </c>
      <c r="H15" s="84">
        <v>212130.537152</v>
      </c>
      <c r="I15" s="86">
        <v>325.79000000000002</v>
      </c>
      <c r="J15" s="74"/>
      <c r="K15" s="84">
        <v>691.10007699099992</v>
      </c>
      <c r="L15" s="85">
        <v>9.1142976368722213E-4</v>
      </c>
      <c r="M15" s="85">
        <f t="shared" si="0"/>
        <v>0.13317828904952581</v>
      </c>
      <c r="N15" s="85">
        <f>K15/'סכום נכסי הקרן'!$C$42</f>
        <v>2.4204240237553527E-3</v>
      </c>
    </row>
    <row r="16" spans="2:63" ht="20.25">
      <c r="B16" s="77" t="s">
        <v>1157</v>
      </c>
      <c r="C16" s="74" t="s">
        <v>1158</v>
      </c>
      <c r="D16" s="87" t="s">
        <v>111</v>
      </c>
      <c r="E16" s="74" t="s">
        <v>1159</v>
      </c>
      <c r="F16" s="87" t="s">
        <v>1154</v>
      </c>
      <c r="G16" s="87" t="s">
        <v>155</v>
      </c>
      <c r="H16" s="84">
        <v>171629.473547</v>
      </c>
      <c r="I16" s="86">
        <v>326.35000000000002</v>
      </c>
      <c r="J16" s="74"/>
      <c r="K16" s="84">
        <v>560.11278244800008</v>
      </c>
      <c r="L16" s="85">
        <v>4.487911725672201E-4</v>
      </c>
      <c r="M16" s="85">
        <f t="shared" si="0"/>
        <v>0.10793641112872479</v>
      </c>
      <c r="N16" s="85">
        <f>K16/'סכום נכסי הקרן'!$C$42</f>
        <v>1.9616702121525737E-3</v>
      </c>
      <c r="BH16" s="4"/>
    </row>
    <row r="17" spans="2:14">
      <c r="B17" s="77" t="s">
        <v>1160</v>
      </c>
      <c r="C17" s="74" t="s">
        <v>1161</v>
      </c>
      <c r="D17" s="87" t="s">
        <v>111</v>
      </c>
      <c r="E17" s="74" t="s">
        <v>1159</v>
      </c>
      <c r="F17" s="87" t="s">
        <v>1154</v>
      </c>
      <c r="G17" s="87" t="s">
        <v>155</v>
      </c>
      <c r="H17" s="84">
        <v>1.126E-3</v>
      </c>
      <c r="I17" s="86">
        <v>332.53</v>
      </c>
      <c r="J17" s="74"/>
      <c r="K17" s="84">
        <v>3.7450000000000001E-6</v>
      </c>
      <c r="L17" s="85">
        <v>4.7047719068292207E-12</v>
      </c>
      <c r="M17" s="85">
        <f t="shared" si="0"/>
        <v>7.2167940519122438E-10</v>
      </c>
      <c r="N17" s="85">
        <f>K17/'סכום נכסי הקרן'!$C$42</f>
        <v>1.3116028012078837E-11</v>
      </c>
    </row>
    <row r="18" spans="2:14">
      <c r="B18" s="77" t="s">
        <v>1162</v>
      </c>
      <c r="C18" s="74" t="s">
        <v>1163</v>
      </c>
      <c r="D18" s="87" t="s">
        <v>111</v>
      </c>
      <c r="E18" s="74" t="s">
        <v>1159</v>
      </c>
      <c r="F18" s="87" t="s">
        <v>1154</v>
      </c>
      <c r="G18" s="87" t="s">
        <v>155</v>
      </c>
      <c r="H18" s="84">
        <v>4.8710000000000003E-3</v>
      </c>
      <c r="I18" s="86">
        <v>316.7</v>
      </c>
      <c r="J18" s="74"/>
      <c r="K18" s="84">
        <v>1.5464999999999998E-5</v>
      </c>
      <c r="L18" s="85">
        <v>1.1446841254613282E-10</v>
      </c>
      <c r="M18" s="85">
        <f t="shared" si="0"/>
        <v>2.9801794395947352E-9</v>
      </c>
      <c r="N18" s="85">
        <f>K18/'סכום נכסי הקרן'!$C$42</f>
        <v>5.4162716477115943E-11</v>
      </c>
    </row>
    <row r="19" spans="2:14">
      <c r="B19" s="77" t="s">
        <v>1164</v>
      </c>
      <c r="C19" s="74" t="s">
        <v>1165</v>
      </c>
      <c r="D19" s="87" t="s">
        <v>111</v>
      </c>
      <c r="E19" s="74" t="s">
        <v>1159</v>
      </c>
      <c r="F19" s="87" t="s">
        <v>1154</v>
      </c>
      <c r="G19" s="87" t="s">
        <v>155</v>
      </c>
      <c r="H19" s="84">
        <v>45148.591072000003</v>
      </c>
      <c r="I19" s="86">
        <v>355.27</v>
      </c>
      <c r="J19" s="74"/>
      <c r="K19" s="84">
        <v>160.399399485</v>
      </c>
      <c r="L19" s="85">
        <v>2.0503262432882872E-4</v>
      </c>
      <c r="M19" s="85">
        <f t="shared" si="0"/>
        <v>3.0909731165117322E-2</v>
      </c>
      <c r="N19" s="85">
        <f>K19/'סכום נכסי הקרן'!$C$42</f>
        <v>5.6176315534469529E-4</v>
      </c>
    </row>
    <row r="20" spans="2:14">
      <c r="B20" s="77" t="s">
        <v>1166</v>
      </c>
      <c r="C20" s="74" t="s">
        <v>1167</v>
      </c>
      <c r="D20" s="87" t="s">
        <v>111</v>
      </c>
      <c r="E20" s="74" t="s">
        <v>1168</v>
      </c>
      <c r="F20" s="87" t="s">
        <v>1154</v>
      </c>
      <c r="G20" s="87" t="s">
        <v>155</v>
      </c>
      <c r="H20" s="84">
        <v>94.819729999999993</v>
      </c>
      <c r="I20" s="86">
        <v>3321.67</v>
      </c>
      <c r="J20" s="74"/>
      <c r="K20" s="84">
        <v>3.1495985310000001</v>
      </c>
      <c r="L20" s="85">
        <v>4.1465980066448089E-6</v>
      </c>
      <c r="M20" s="85">
        <f t="shared" si="0"/>
        <v>6.0694269544545629E-4</v>
      </c>
      <c r="N20" s="85">
        <f>K20/'סכום נכסי הקרן'!$C$42</f>
        <v>1.1030767038557639E-5</v>
      </c>
    </row>
    <row r="21" spans="2:14">
      <c r="B21" s="77" t="s">
        <v>1169</v>
      </c>
      <c r="C21" s="74" t="s">
        <v>1170</v>
      </c>
      <c r="D21" s="87" t="s">
        <v>111</v>
      </c>
      <c r="E21" s="74" t="s">
        <v>1168</v>
      </c>
      <c r="F21" s="87" t="s">
        <v>1154</v>
      </c>
      <c r="G21" s="87" t="s">
        <v>155</v>
      </c>
      <c r="H21" s="84">
        <v>420.122094</v>
      </c>
      <c r="I21" s="86">
        <v>3144.84</v>
      </c>
      <c r="J21" s="74"/>
      <c r="K21" s="84">
        <v>13.212167660999999</v>
      </c>
      <c r="L21" s="85">
        <v>7.8384175699683305E-5</v>
      </c>
      <c r="M21" s="85">
        <f t="shared" si="0"/>
        <v>2.5460478768697488E-3</v>
      </c>
      <c r="N21" s="85">
        <f>K21/'סכום נכסי הקרן'!$C$42</f>
        <v>4.6272673202125E-5</v>
      </c>
    </row>
    <row r="22" spans="2:14">
      <c r="B22" s="77" t="s">
        <v>1171</v>
      </c>
      <c r="C22" s="74" t="s">
        <v>1172</v>
      </c>
      <c r="D22" s="87" t="s">
        <v>111</v>
      </c>
      <c r="E22" s="74" t="s">
        <v>1168</v>
      </c>
      <c r="F22" s="87" t="s">
        <v>1154</v>
      </c>
      <c r="G22" s="87" t="s">
        <v>155</v>
      </c>
      <c r="H22" s="84">
        <v>8511.8593309999997</v>
      </c>
      <c r="I22" s="86">
        <v>3245.67</v>
      </c>
      <c r="J22" s="74"/>
      <c r="K22" s="84">
        <v>276.26686472100005</v>
      </c>
      <c r="L22" s="85">
        <v>2.3204009003151621E-4</v>
      </c>
      <c r="M22" s="85">
        <f t="shared" si="0"/>
        <v>5.3237945689157747E-2</v>
      </c>
      <c r="N22" s="85">
        <f>K22/'סכום נכסי הקרן'!$C$42</f>
        <v>9.6756313390916724E-4</v>
      </c>
    </row>
    <row r="23" spans="2:14">
      <c r="B23" s="77" t="s">
        <v>1173</v>
      </c>
      <c r="C23" s="74" t="s">
        <v>1174</v>
      </c>
      <c r="D23" s="87" t="s">
        <v>111</v>
      </c>
      <c r="E23" s="74" t="s">
        <v>1168</v>
      </c>
      <c r="F23" s="87" t="s">
        <v>1154</v>
      </c>
      <c r="G23" s="87" t="s">
        <v>155</v>
      </c>
      <c r="H23" s="84">
        <v>5204.238085</v>
      </c>
      <c r="I23" s="86">
        <v>3563.87</v>
      </c>
      <c r="J23" s="74"/>
      <c r="K23" s="84">
        <v>185.47227981400002</v>
      </c>
      <c r="L23" s="85">
        <v>3.5087599932551828E-4</v>
      </c>
      <c r="M23" s="85">
        <f t="shared" si="0"/>
        <v>3.5741395080274463E-2</v>
      </c>
      <c r="N23" s="85">
        <f>K23/'סכום נכסי הקרן'!$C$42</f>
        <v>6.4957533177691551E-4</v>
      </c>
    </row>
    <row r="24" spans="2:14">
      <c r="B24" s="77" t="s">
        <v>1175</v>
      </c>
      <c r="C24" s="74" t="s">
        <v>1176</v>
      </c>
      <c r="D24" s="87" t="s">
        <v>111</v>
      </c>
      <c r="E24" s="74" t="s">
        <v>1177</v>
      </c>
      <c r="F24" s="87" t="s">
        <v>1154</v>
      </c>
      <c r="G24" s="87" t="s">
        <v>155</v>
      </c>
      <c r="H24" s="84">
        <v>1.126E-3</v>
      </c>
      <c r="I24" s="86">
        <v>332.26</v>
      </c>
      <c r="J24" s="74"/>
      <c r="K24" s="84">
        <v>3.7750000000000003E-6</v>
      </c>
      <c r="L24" s="85">
        <v>3.6026637852864603E-12</v>
      </c>
      <c r="M24" s="85">
        <f t="shared" si="0"/>
        <v>7.2746054862399783E-10</v>
      </c>
      <c r="N24" s="85">
        <f>K24/'סכום נכסי הקרן'!$C$42</f>
        <v>1.322109632726238E-11</v>
      </c>
    </row>
    <row r="25" spans="2:14">
      <c r="B25" s="77" t="s">
        <v>1178</v>
      </c>
      <c r="C25" s="74" t="s">
        <v>1179</v>
      </c>
      <c r="D25" s="87" t="s">
        <v>111</v>
      </c>
      <c r="E25" s="74" t="s">
        <v>1177</v>
      </c>
      <c r="F25" s="87" t="s">
        <v>1154</v>
      </c>
      <c r="G25" s="87" t="s">
        <v>155</v>
      </c>
      <c r="H25" s="84">
        <v>3.0140000000000002E-3</v>
      </c>
      <c r="I25" s="86">
        <v>316.33</v>
      </c>
      <c r="J25" s="74"/>
      <c r="K25" s="84">
        <v>9.4979999999999995E-6</v>
      </c>
      <c r="L25" s="85">
        <v>6.0255762722002701E-11</v>
      </c>
      <c r="M25" s="85">
        <f t="shared" si="0"/>
        <v>1.8303100108160876E-9</v>
      </c>
      <c r="N25" s="85">
        <f>K25/'סכום נכסי הקרן'!$C$42</f>
        <v>3.3264628587109424E-11</v>
      </c>
    </row>
    <row r="26" spans="2:14">
      <c r="B26" s="77" t="s">
        <v>1180</v>
      </c>
      <c r="C26" s="74" t="s">
        <v>1181</v>
      </c>
      <c r="D26" s="87" t="s">
        <v>111</v>
      </c>
      <c r="E26" s="74" t="s">
        <v>1177</v>
      </c>
      <c r="F26" s="87" t="s">
        <v>1154</v>
      </c>
      <c r="G26" s="87" t="s">
        <v>155</v>
      </c>
      <c r="H26" s="84">
        <v>326546.12002600002</v>
      </c>
      <c r="I26" s="86">
        <v>326</v>
      </c>
      <c r="J26" s="74"/>
      <c r="K26" s="84">
        <v>1064.540351286</v>
      </c>
      <c r="L26" s="85">
        <v>8.2591117523402101E-4</v>
      </c>
      <c r="M26" s="85">
        <f t="shared" si="0"/>
        <v>0.20514201535864821</v>
      </c>
      <c r="N26" s="85">
        <f>K26/'סכום נכסי הקרן'!$C$42</f>
        <v>3.7283153718172023E-3</v>
      </c>
    </row>
    <row r="27" spans="2:14">
      <c r="B27" s="77" t="s">
        <v>1182</v>
      </c>
      <c r="C27" s="74" t="s">
        <v>1183</v>
      </c>
      <c r="D27" s="87" t="s">
        <v>111</v>
      </c>
      <c r="E27" s="74" t="s">
        <v>1177</v>
      </c>
      <c r="F27" s="87" t="s">
        <v>1154</v>
      </c>
      <c r="G27" s="87" t="s">
        <v>155</v>
      </c>
      <c r="H27" s="84">
        <v>84496.186593999999</v>
      </c>
      <c r="I27" s="86">
        <v>358.13</v>
      </c>
      <c r="J27" s="74"/>
      <c r="K27" s="84">
        <v>302.60619308599996</v>
      </c>
      <c r="L27" s="85">
        <v>3.6824348114032819E-4</v>
      </c>
      <c r="M27" s="85">
        <f t="shared" si="0"/>
        <v>5.8313660195857202E-2</v>
      </c>
      <c r="N27" s="85">
        <f>K27/'סכום נכסי הקרן'!$C$42</f>
        <v>1.0598107623883879E-3</v>
      </c>
    </row>
    <row r="28" spans="2:14">
      <c r="B28" s="73"/>
      <c r="C28" s="74"/>
      <c r="D28" s="74"/>
      <c r="E28" s="74"/>
      <c r="F28" s="74"/>
      <c r="G28" s="74"/>
      <c r="H28" s="84"/>
      <c r="I28" s="86"/>
      <c r="J28" s="74"/>
      <c r="K28" s="74"/>
      <c r="L28" s="74"/>
      <c r="M28" s="85"/>
      <c r="N28" s="74"/>
    </row>
    <row r="29" spans="2:14" s="90" customFormat="1">
      <c r="B29" s="125" t="s">
        <v>220</v>
      </c>
      <c r="C29" s="111"/>
      <c r="D29" s="111"/>
      <c r="E29" s="111"/>
      <c r="F29" s="111"/>
      <c r="G29" s="111"/>
      <c r="H29" s="112"/>
      <c r="I29" s="114"/>
      <c r="J29" s="111"/>
      <c r="K29" s="112">
        <v>1872.975913195</v>
      </c>
      <c r="L29" s="111"/>
      <c r="M29" s="113">
        <f t="shared" ref="M29:M34" si="1">K29/$K$11</f>
        <v>0.36093141334367362</v>
      </c>
      <c r="N29" s="113">
        <f>K29/'סכום נכסי הקרן'!$C$42</f>
        <v>6.5596807859584936E-3</v>
      </c>
    </row>
    <row r="30" spans="2:14">
      <c r="B30" s="92" t="s">
        <v>245</v>
      </c>
      <c r="C30" s="72"/>
      <c r="D30" s="72"/>
      <c r="E30" s="72"/>
      <c r="F30" s="72"/>
      <c r="G30" s="72"/>
      <c r="H30" s="81"/>
      <c r="I30" s="83"/>
      <c r="J30" s="72"/>
      <c r="K30" s="81">
        <v>1872.975913195</v>
      </c>
      <c r="L30" s="72"/>
      <c r="M30" s="82">
        <f t="shared" si="1"/>
        <v>0.36093141334367362</v>
      </c>
      <c r="N30" s="82">
        <f>K30/'סכום נכסי הקרן'!$C$42</f>
        <v>6.5596807859584936E-3</v>
      </c>
    </row>
    <row r="31" spans="2:14">
      <c r="B31" s="77" t="s">
        <v>1184</v>
      </c>
      <c r="C31" s="74" t="s">
        <v>1185</v>
      </c>
      <c r="D31" s="87" t="s">
        <v>114</v>
      </c>
      <c r="E31" s="74"/>
      <c r="F31" s="87" t="s">
        <v>1154</v>
      </c>
      <c r="G31" s="87" t="s">
        <v>154</v>
      </c>
      <c r="H31" s="84">
        <v>212.239127</v>
      </c>
      <c r="I31" s="86">
        <v>10055</v>
      </c>
      <c r="J31" s="74"/>
      <c r="K31" s="84">
        <v>73.966672682999999</v>
      </c>
      <c r="L31" s="85">
        <v>3.0995434054693789E-5</v>
      </c>
      <c r="M31" s="85">
        <f t="shared" si="1"/>
        <v>1.4253731467514397E-2</v>
      </c>
      <c r="N31" s="85">
        <f>K31/'סכום נכסי הקרן'!$C$42</f>
        <v>2.5905178928451123E-4</v>
      </c>
    </row>
    <row r="32" spans="2:14">
      <c r="B32" s="77" t="s">
        <v>1186</v>
      </c>
      <c r="C32" s="74" t="s">
        <v>1187</v>
      </c>
      <c r="D32" s="87" t="s">
        <v>114</v>
      </c>
      <c r="E32" s="74"/>
      <c r="F32" s="87" t="s">
        <v>1154</v>
      </c>
      <c r="G32" s="87" t="s">
        <v>154</v>
      </c>
      <c r="H32" s="84">
        <v>4071.5629940000003</v>
      </c>
      <c r="I32" s="86">
        <v>9602</v>
      </c>
      <c r="J32" s="74"/>
      <c r="K32" s="84">
        <v>1355.037824943</v>
      </c>
      <c r="L32" s="85">
        <v>9.2091505490176975E-5</v>
      </c>
      <c r="M32" s="85">
        <f t="shared" si="1"/>
        <v>0.26112226742763006</v>
      </c>
      <c r="N32" s="85">
        <f>K32/'סכום נכסי הקרן'!$C$42</f>
        <v>4.7457180425577485E-3</v>
      </c>
    </row>
    <row r="33" spans="2:14">
      <c r="B33" s="77" t="s">
        <v>1188</v>
      </c>
      <c r="C33" s="74" t="s">
        <v>1189</v>
      </c>
      <c r="D33" s="87" t="s">
        <v>114</v>
      </c>
      <c r="E33" s="74"/>
      <c r="F33" s="87" t="s">
        <v>1154</v>
      </c>
      <c r="G33" s="87" t="s">
        <v>157</v>
      </c>
      <c r="H33" s="84">
        <v>32100.277667999999</v>
      </c>
      <c r="I33" s="86">
        <v>125</v>
      </c>
      <c r="J33" s="74"/>
      <c r="K33" s="84">
        <v>170.69723902599998</v>
      </c>
      <c r="L33" s="85">
        <v>1.3997266304339152E-4</v>
      </c>
      <c r="M33" s="85">
        <f t="shared" si="1"/>
        <v>3.2894174079590895E-2</v>
      </c>
      <c r="N33" s="85">
        <f>K33/'סכום נכסי הקרן'!$C$42</f>
        <v>5.9782904369813953E-4</v>
      </c>
    </row>
    <row r="34" spans="2:14">
      <c r="B34" s="77" t="s">
        <v>1190</v>
      </c>
      <c r="C34" s="74" t="s">
        <v>1191</v>
      </c>
      <c r="D34" s="87" t="s">
        <v>114</v>
      </c>
      <c r="E34" s="74"/>
      <c r="F34" s="87" t="s">
        <v>1154</v>
      </c>
      <c r="G34" s="87" t="s">
        <v>154</v>
      </c>
      <c r="H34" s="84">
        <v>1157.0920440000002</v>
      </c>
      <c r="I34" s="86">
        <v>6814</v>
      </c>
      <c r="J34" s="74"/>
      <c r="K34" s="84">
        <v>273.27417654299995</v>
      </c>
      <c r="L34" s="85">
        <v>2.6924659092170396E-5</v>
      </c>
      <c r="M34" s="85">
        <f t="shared" si="1"/>
        <v>5.2661240368938274E-2</v>
      </c>
      <c r="N34" s="85">
        <f>K34/'סכום נכסי הקרן'!$C$42</f>
        <v>9.5708191041809479E-4</v>
      </c>
    </row>
    <row r="35" spans="2:14">
      <c r="B35" s="73"/>
      <c r="C35" s="74"/>
      <c r="D35" s="74"/>
      <c r="E35" s="74"/>
      <c r="F35" s="74"/>
      <c r="G35" s="74"/>
      <c r="H35" s="84"/>
      <c r="I35" s="86"/>
      <c r="J35" s="74"/>
      <c r="K35" s="74"/>
      <c r="L35" s="74"/>
      <c r="M35" s="85"/>
      <c r="N35" s="74"/>
    </row>
    <row r="36" spans="2:14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2:14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2:14">
      <c r="B38" s="89" t="s">
        <v>241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2:14">
      <c r="B39" s="89" t="s">
        <v>103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2:14">
      <c r="B40" s="89" t="s">
        <v>223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>
      <c r="B41" s="89" t="s">
        <v>231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>
      <c r="B42" s="89" t="s">
        <v>239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2:14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2:14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2:14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2:14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2:14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2:1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2:14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2:14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D135" s="1"/>
      <c r="E135" s="1"/>
      <c r="F135" s="1"/>
      <c r="G135" s="1"/>
    </row>
    <row r="136" spans="2:14">
      <c r="D136" s="1"/>
      <c r="E136" s="1"/>
      <c r="F136" s="1"/>
      <c r="G136" s="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45:B1048576 D1:I1048576 K1:AF1048576 AH1:XFD1048576 AG1:AG43 B1:B37 B39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0" workbookViewId="0">
      <selection activeCell="O26" sqref="O26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170</v>
      </c>
      <c r="C1" s="68" t="s" vm="1">
        <v>248</v>
      </c>
    </row>
    <row r="2" spans="2:65">
      <c r="B2" s="47" t="s">
        <v>169</v>
      </c>
      <c r="C2" s="68" t="s">
        <v>249</v>
      </c>
    </row>
    <row r="3" spans="2:65">
      <c r="B3" s="47" t="s">
        <v>171</v>
      </c>
      <c r="C3" s="68" t="s">
        <v>250</v>
      </c>
    </row>
    <row r="4" spans="2:65">
      <c r="B4" s="47" t="s">
        <v>172</v>
      </c>
      <c r="C4" s="68">
        <v>2144</v>
      </c>
    </row>
    <row r="6" spans="2:65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65" ht="26.25" customHeight="1">
      <c r="B7" s="134" t="s">
        <v>84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BM7" s="3"/>
    </row>
    <row r="8" spans="2:65" s="3" customFormat="1" ht="78.75">
      <c r="B8" s="22" t="s">
        <v>106</v>
      </c>
      <c r="C8" s="30" t="s">
        <v>41</v>
      </c>
      <c r="D8" s="30" t="s">
        <v>110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94</v>
      </c>
      <c r="J8" s="30" t="s">
        <v>225</v>
      </c>
      <c r="K8" s="30" t="s">
        <v>224</v>
      </c>
      <c r="L8" s="30" t="s">
        <v>56</v>
      </c>
      <c r="M8" s="30" t="s">
        <v>53</v>
      </c>
      <c r="N8" s="30" t="s">
        <v>173</v>
      </c>
      <c r="O8" s="20" t="s">
        <v>175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232</v>
      </c>
      <c r="K9" s="32"/>
      <c r="L9" s="32" t="s">
        <v>228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124" t="s">
        <v>28</v>
      </c>
      <c r="C11" s="72"/>
      <c r="D11" s="72"/>
      <c r="E11" s="72"/>
      <c r="F11" s="72"/>
      <c r="G11" s="72"/>
      <c r="H11" s="72"/>
      <c r="I11" s="72"/>
      <c r="J11" s="81"/>
      <c r="K11" s="83"/>
      <c r="L11" s="81">
        <v>11280.624258760001</v>
      </c>
      <c r="M11" s="72"/>
      <c r="N11" s="82">
        <f>L11/$L$11</f>
        <v>1</v>
      </c>
      <c r="O11" s="82">
        <f>L11/'סכום נכסי הקרן'!$C$42</f>
        <v>3.9507872836216887E-2</v>
      </c>
      <c r="P11" s="5"/>
      <c r="BG11" s="90"/>
      <c r="BH11" s="3"/>
      <c r="BI11" s="90"/>
      <c r="BM11" s="90"/>
    </row>
    <row r="12" spans="2:65" s="4" customFormat="1" ht="18" customHeight="1">
      <c r="B12" s="71" t="s">
        <v>220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11280.624258760001</v>
      </c>
      <c r="M12" s="72"/>
      <c r="N12" s="82">
        <f t="shared" ref="N12:N31" si="0">L12/$L$11</f>
        <v>1</v>
      </c>
      <c r="O12" s="82">
        <f>L12/'סכום נכסי הקרן'!$C$42</f>
        <v>3.9507872836216887E-2</v>
      </c>
      <c r="P12" s="5"/>
      <c r="BG12" s="90"/>
      <c r="BH12" s="3"/>
      <c r="BI12" s="90"/>
      <c r="BM12" s="90"/>
    </row>
    <row r="13" spans="2:65">
      <c r="B13" s="92" t="s">
        <v>46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11037.635218962003</v>
      </c>
      <c r="M13" s="72"/>
      <c r="N13" s="82">
        <f t="shared" si="0"/>
        <v>0.97845961054776698</v>
      </c>
      <c r="O13" s="82">
        <f>L13/'סכום נכסי הקרן'!$C$42</f>
        <v>3.8656857868895479E-2</v>
      </c>
      <c r="BH13" s="3"/>
    </row>
    <row r="14" spans="2:65" ht="20.25">
      <c r="B14" s="77" t="s">
        <v>1192</v>
      </c>
      <c r="C14" s="74" t="s">
        <v>1193</v>
      </c>
      <c r="D14" s="87" t="s">
        <v>27</v>
      </c>
      <c r="E14" s="74"/>
      <c r="F14" s="87" t="s">
        <v>1154</v>
      </c>
      <c r="G14" s="74" t="s">
        <v>1194</v>
      </c>
      <c r="H14" s="74" t="s">
        <v>916</v>
      </c>
      <c r="I14" s="87" t="s">
        <v>157</v>
      </c>
      <c r="J14" s="84">
        <v>164.56639000000004</v>
      </c>
      <c r="K14" s="86">
        <v>111187</v>
      </c>
      <c r="L14" s="84">
        <v>778.40004171599992</v>
      </c>
      <c r="M14" s="85">
        <v>2.8536428111247014E-4</v>
      </c>
      <c r="N14" s="85">
        <f t="shared" si="0"/>
        <v>6.9003277111329295E-2</v>
      </c>
      <c r="O14" s="85">
        <f>L14/'סכום נכסי הקרן'!$C$42</f>
        <v>2.7261726973966329E-3</v>
      </c>
      <c r="BH14" s="4"/>
    </row>
    <row r="15" spans="2:65">
      <c r="B15" s="77" t="s">
        <v>1195</v>
      </c>
      <c r="C15" s="74" t="s">
        <v>1196</v>
      </c>
      <c r="D15" s="87" t="s">
        <v>27</v>
      </c>
      <c r="E15" s="74"/>
      <c r="F15" s="87" t="s">
        <v>1154</v>
      </c>
      <c r="G15" s="74" t="s">
        <v>915</v>
      </c>
      <c r="H15" s="74" t="s">
        <v>916</v>
      </c>
      <c r="I15" s="87" t="s">
        <v>154</v>
      </c>
      <c r="J15" s="84">
        <v>205.114542</v>
      </c>
      <c r="K15" s="86">
        <v>91233</v>
      </c>
      <c r="L15" s="84">
        <v>648.60000876300001</v>
      </c>
      <c r="M15" s="85">
        <v>2.4885698822870811E-4</v>
      </c>
      <c r="N15" s="85">
        <f t="shared" si="0"/>
        <v>5.7496818782819384E-2</v>
      </c>
      <c r="O15" s="85">
        <f>L15/'סכום נכסי הקרן'!$C$42</f>
        <v>2.2715770049586349E-3</v>
      </c>
    </row>
    <row r="16" spans="2:65">
      <c r="B16" s="77" t="s">
        <v>1197</v>
      </c>
      <c r="C16" s="74" t="s">
        <v>1198</v>
      </c>
      <c r="D16" s="87" t="s">
        <v>27</v>
      </c>
      <c r="E16" s="74"/>
      <c r="F16" s="87" t="s">
        <v>1154</v>
      </c>
      <c r="G16" s="74" t="s">
        <v>1065</v>
      </c>
      <c r="H16" s="74" t="s">
        <v>916</v>
      </c>
      <c r="I16" s="87" t="s">
        <v>154</v>
      </c>
      <c r="J16" s="84">
        <v>9.0665340000000008</v>
      </c>
      <c r="K16" s="86">
        <v>1033892</v>
      </c>
      <c r="L16" s="84">
        <v>324.89635088599999</v>
      </c>
      <c r="M16" s="85">
        <v>6.4818418216558988E-5</v>
      </c>
      <c r="N16" s="85">
        <f t="shared" si="0"/>
        <v>2.8801274063684979E-2</v>
      </c>
      <c r="O16" s="85">
        <f>L16/'סכום נכסי הקרן'!$C$42</f>
        <v>1.1378770732290977E-3</v>
      </c>
    </row>
    <row r="17" spans="2:15">
      <c r="B17" s="77" t="s">
        <v>1199</v>
      </c>
      <c r="C17" s="74" t="s">
        <v>1200</v>
      </c>
      <c r="D17" s="87" t="s">
        <v>27</v>
      </c>
      <c r="E17" s="74"/>
      <c r="F17" s="87" t="s">
        <v>1154</v>
      </c>
      <c r="G17" s="74" t="s">
        <v>1065</v>
      </c>
      <c r="H17" s="74" t="s">
        <v>916</v>
      </c>
      <c r="I17" s="87" t="s">
        <v>156</v>
      </c>
      <c r="J17" s="84">
        <v>119.293384</v>
      </c>
      <c r="K17" s="86">
        <v>91309</v>
      </c>
      <c r="L17" s="84">
        <v>422.93630367899999</v>
      </c>
      <c r="M17" s="85">
        <v>3.8073482364975027E-4</v>
      </c>
      <c r="N17" s="85">
        <f t="shared" si="0"/>
        <v>3.749227826204455E-2</v>
      </c>
      <c r="O17" s="85">
        <f>L17/'סכום נכסי הקרן'!$C$42</f>
        <v>1.4812401619169148E-3</v>
      </c>
    </row>
    <row r="18" spans="2:15">
      <c r="B18" s="77" t="s">
        <v>1201</v>
      </c>
      <c r="C18" s="74" t="s">
        <v>1202</v>
      </c>
      <c r="D18" s="87" t="s">
        <v>27</v>
      </c>
      <c r="E18" s="74"/>
      <c r="F18" s="87" t="s">
        <v>1154</v>
      </c>
      <c r="G18" s="74" t="s">
        <v>1101</v>
      </c>
      <c r="H18" s="74" t="s">
        <v>916</v>
      </c>
      <c r="I18" s="87" t="s">
        <v>156</v>
      </c>
      <c r="J18" s="84">
        <v>103.62844</v>
      </c>
      <c r="K18" s="86">
        <v>181248</v>
      </c>
      <c r="L18" s="84">
        <v>729.28487151399997</v>
      </c>
      <c r="M18" s="85">
        <v>3.5504087968036261E-4</v>
      </c>
      <c r="N18" s="85">
        <f t="shared" si="0"/>
        <v>6.4649336312010544E-2</v>
      </c>
      <c r="O18" s="85">
        <f>L18/'סכום נכסי הקרן'!$C$42</f>
        <v>2.5541577579607315E-3</v>
      </c>
    </row>
    <row r="19" spans="2:15">
      <c r="B19" s="77" t="s">
        <v>1203</v>
      </c>
      <c r="C19" s="74" t="s">
        <v>1204</v>
      </c>
      <c r="D19" s="87" t="s">
        <v>27</v>
      </c>
      <c r="E19" s="74"/>
      <c r="F19" s="87" t="s">
        <v>1154</v>
      </c>
      <c r="G19" s="74" t="s">
        <v>1101</v>
      </c>
      <c r="H19" s="74" t="s">
        <v>916</v>
      </c>
      <c r="I19" s="87" t="s">
        <v>156</v>
      </c>
      <c r="J19" s="84">
        <v>18.350670999999998</v>
      </c>
      <c r="K19" s="86">
        <v>181102</v>
      </c>
      <c r="L19" s="84">
        <v>129.03877179400001</v>
      </c>
      <c r="M19" s="85">
        <v>6.2820498326675943E-5</v>
      </c>
      <c r="N19" s="85">
        <f t="shared" si="0"/>
        <v>1.1438974371812322E-2</v>
      </c>
      <c r="O19" s="85">
        <f>L19/'סכום נכסי הקרן'!$C$42</f>
        <v>4.5192954485830512E-4</v>
      </c>
    </row>
    <row r="20" spans="2:15">
      <c r="B20" s="77" t="s">
        <v>1205</v>
      </c>
      <c r="C20" s="74" t="s">
        <v>1206</v>
      </c>
      <c r="D20" s="87" t="s">
        <v>27</v>
      </c>
      <c r="E20" s="74"/>
      <c r="F20" s="87" t="s">
        <v>1154</v>
      </c>
      <c r="G20" s="74" t="s">
        <v>1101</v>
      </c>
      <c r="H20" s="74" t="s">
        <v>916</v>
      </c>
      <c r="I20" s="87" t="s">
        <v>156</v>
      </c>
      <c r="J20" s="84">
        <v>13.558937</v>
      </c>
      <c r="K20" s="86">
        <v>181102</v>
      </c>
      <c r="L20" s="84">
        <v>95.344119993999996</v>
      </c>
      <c r="M20" s="85">
        <v>4.6416786577163996E-5</v>
      </c>
      <c r="N20" s="85">
        <f t="shared" si="0"/>
        <v>8.4520251545441068E-3</v>
      </c>
      <c r="O20" s="85">
        <f>L20/'סכום נכסי הקרן'!$C$42</f>
        <v>3.3392153501423494E-4</v>
      </c>
    </row>
    <row r="21" spans="2:15">
      <c r="B21" s="77" t="s">
        <v>1207</v>
      </c>
      <c r="C21" s="74" t="s">
        <v>1208</v>
      </c>
      <c r="D21" s="87" t="s">
        <v>27</v>
      </c>
      <c r="E21" s="74"/>
      <c r="F21" s="87" t="s">
        <v>1154</v>
      </c>
      <c r="G21" s="74" t="s">
        <v>1101</v>
      </c>
      <c r="H21" s="74" t="s">
        <v>916</v>
      </c>
      <c r="I21" s="87" t="s">
        <v>154</v>
      </c>
      <c r="J21" s="84">
        <v>89.073801000000003</v>
      </c>
      <c r="K21" s="86">
        <v>187905</v>
      </c>
      <c r="L21" s="84">
        <v>580.11872261000008</v>
      </c>
      <c r="M21" s="85">
        <v>3.5561435192959373E-4</v>
      </c>
      <c r="N21" s="85">
        <f t="shared" si="0"/>
        <v>5.1426118741567627E-2</v>
      </c>
      <c r="O21" s="85">
        <f>L21/'סכום נכסי הקרן'!$C$42</f>
        <v>2.0317365597020435E-3</v>
      </c>
    </row>
    <row r="22" spans="2:15">
      <c r="B22" s="77" t="s">
        <v>1209</v>
      </c>
      <c r="C22" s="74" t="s">
        <v>1210</v>
      </c>
      <c r="D22" s="87" t="s">
        <v>27</v>
      </c>
      <c r="E22" s="74"/>
      <c r="F22" s="87" t="s">
        <v>1154</v>
      </c>
      <c r="G22" s="74" t="s">
        <v>925</v>
      </c>
      <c r="H22" s="74" t="s">
        <v>916</v>
      </c>
      <c r="I22" s="87" t="s">
        <v>154</v>
      </c>
      <c r="J22" s="84">
        <v>10209.573418</v>
      </c>
      <c r="K22" s="86">
        <v>1364</v>
      </c>
      <c r="L22" s="84">
        <v>482.670243185</v>
      </c>
      <c r="M22" s="85">
        <v>3.9262807320779785E-5</v>
      </c>
      <c r="N22" s="85">
        <f t="shared" si="0"/>
        <v>4.2787547223743498E-2</v>
      </c>
      <c r="O22" s="85">
        <f>L22/'סכום נכסי הקרן'!$C$42</f>
        <v>1.690444974689283E-3</v>
      </c>
    </row>
    <row r="23" spans="2:15">
      <c r="B23" s="77" t="s">
        <v>1211</v>
      </c>
      <c r="C23" s="74" t="s">
        <v>1212</v>
      </c>
      <c r="D23" s="87" t="s">
        <v>27</v>
      </c>
      <c r="E23" s="74"/>
      <c r="F23" s="87" t="s">
        <v>1154</v>
      </c>
      <c r="G23" s="74" t="s">
        <v>1213</v>
      </c>
      <c r="H23" s="74" t="s">
        <v>916</v>
      </c>
      <c r="I23" s="87" t="s">
        <v>154</v>
      </c>
      <c r="J23" s="84">
        <v>4575.1801320000004</v>
      </c>
      <c r="K23" s="86">
        <v>1644</v>
      </c>
      <c r="L23" s="84">
        <v>260.698522389</v>
      </c>
      <c r="M23" s="85">
        <v>4.3796080584807963E-5</v>
      </c>
      <c r="N23" s="85">
        <f t="shared" si="0"/>
        <v>2.3110292161938984E-2</v>
      </c>
      <c r="O23" s="85">
        <f>L23/'סכום נכסי הקרן'!$C$42</f>
        <v>9.130384839417052E-4</v>
      </c>
    </row>
    <row r="24" spans="2:15">
      <c r="B24" s="77" t="s">
        <v>1214</v>
      </c>
      <c r="C24" s="74" t="s">
        <v>1215</v>
      </c>
      <c r="D24" s="87" t="s">
        <v>27</v>
      </c>
      <c r="E24" s="74"/>
      <c r="F24" s="87" t="s">
        <v>1154</v>
      </c>
      <c r="G24" s="74" t="s">
        <v>1213</v>
      </c>
      <c r="H24" s="74" t="s">
        <v>916</v>
      </c>
      <c r="I24" s="87" t="s">
        <v>154</v>
      </c>
      <c r="J24" s="84">
        <v>10.519186999999999</v>
      </c>
      <c r="K24" s="86">
        <v>1120498</v>
      </c>
      <c r="L24" s="84">
        <v>408.527988978</v>
      </c>
      <c r="M24" s="85">
        <v>5.7550147251521187E-5</v>
      </c>
      <c r="N24" s="85">
        <f t="shared" si="0"/>
        <v>3.6215016084837362E-2</v>
      </c>
      <c r="O24" s="85">
        <f>L24/'סכום נכסי הקרן'!$C$42</f>
        <v>1.4307782502413038E-3</v>
      </c>
    </row>
    <row r="25" spans="2:15">
      <c r="B25" s="77" t="s">
        <v>1216</v>
      </c>
      <c r="C25" s="74" t="s">
        <v>1217</v>
      </c>
      <c r="D25" s="87" t="s">
        <v>27</v>
      </c>
      <c r="E25" s="74"/>
      <c r="F25" s="87" t="s">
        <v>1154</v>
      </c>
      <c r="G25" s="74" t="s">
        <v>1137</v>
      </c>
      <c r="H25" s="74" t="s">
        <v>916</v>
      </c>
      <c r="I25" s="87" t="s">
        <v>156</v>
      </c>
      <c r="J25" s="84">
        <v>696.03634499999998</v>
      </c>
      <c r="K25" s="86">
        <v>14342</v>
      </c>
      <c r="L25" s="84">
        <v>387.60257892499999</v>
      </c>
      <c r="M25" s="85">
        <v>2.623948759438516E-5</v>
      </c>
      <c r="N25" s="85">
        <f t="shared" si="0"/>
        <v>3.4360029199980317E-2</v>
      </c>
      <c r="O25" s="85">
        <f>L25/'סכום נכסי הקרן'!$C$42</f>
        <v>1.3574916642815214E-3</v>
      </c>
    </row>
    <row r="26" spans="2:15">
      <c r="B26" s="77" t="s">
        <v>1218</v>
      </c>
      <c r="C26" s="74" t="s">
        <v>1219</v>
      </c>
      <c r="D26" s="87" t="s">
        <v>27</v>
      </c>
      <c r="E26" s="74"/>
      <c r="F26" s="87" t="s">
        <v>1154</v>
      </c>
      <c r="G26" s="74" t="s">
        <v>1137</v>
      </c>
      <c r="H26" s="74" t="s">
        <v>916</v>
      </c>
      <c r="I26" s="87" t="s">
        <v>154</v>
      </c>
      <c r="J26" s="84">
        <v>321.78891800000002</v>
      </c>
      <c r="K26" s="86">
        <v>129799</v>
      </c>
      <c r="L26" s="84">
        <v>1447.6746733880002</v>
      </c>
      <c r="M26" s="85">
        <v>7.8456823417504668E-5</v>
      </c>
      <c r="N26" s="85">
        <f t="shared" si="0"/>
        <v>0.12833285110651604</v>
      </c>
      <c r="O26" s="85">
        <f>L26/'סכום נכסי הקרן'!$C$42</f>
        <v>5.0701579622253919E-3</v>
      </c>
    </row>
    <row r="27" spans="2:15">
      <c r="B27" s="77" t="s">
        <v>1220</v>
      </c>
      <c r="C27" s="74" t="s">
        <v>1221</v>
      </c>
      <c r="D27" s="87" t="s">
        <v>27</v>
      </c>
      <c r="E27" s="74"/>
      <c r="F27" s="87" t="s">
        <v>1154</v>
      </c>
      <c r="G27" s="74" t="s">
        <v>1137</v>
      </c>
      <c r="H27" s="74" t="s">
        <v>916</v>
      </c>
      <c r="I27" s="87" t="s">
        <v>154</v>
      </c>
      <c r="J27" s="84">
        <v>1363.053713</v>
      </c>
      <c r="K27" s="86">
        <v>12559</v>
      </c>
      <c r="L27" s="84">
        <v>593.33038650599997</v>
      </c>
      <c r="M27" s="85">
        <v>1.9377941410643766E-4</v>
      </c>
      <c r="N27" s="85">
        <f t="shared" si="0"/>
        <v>5.2597300725201232E-2</v>
      </c>
      <c r="O27" s="85">
        <f>L27/'סכום נכסי הקרן'!$C$42</f>
        <v>2.0780074685795083E-3</v>
      </c>
    </row>
    <row r="28" spans="2:15">
      <c r="B28" s="77" t="s">
        <v>1222</v>
      </c>
      <c r="C28" s="74" t="s">
        <v>1223</v>
      </c>
      <c r="D28" s="87" t="s">
        <v>27</v>
      </c>
      <c r="E28" s="74"/>
      <c r="F28" s="87" t="s">
        <v>1154</v>
      </c>
      <c r="G28" s="74" t="s">
        <v>1137</v>
      </c>
      <c r="H28" s="74" t="s">
        <v>916</v>
      </c>
      <c r="I28" s="87" t="s">
        <v>154</v>
      </c>
      <c r="J28" s="84">
        <v>574.66240400000004</v>
      </c>
      <c r="K28" s="86">
        <v>29775.27</v>
      </c>
      <c r="L28" s="84">
        <v>593.05784101900008</v>
      </c>
      <c r="M28" s="85">
        <v>5.8979155448803263E-5</v>
      </c>
      <c r="N28" s="85">
        <f t="shared" si="0"/>
        <v>5.2573140228339699E-2</v>
      </c>
      <c r="O28" s="85">
        <f>L28/'סכום נכסי הקרן'!$C$42</f>
        <v>2.0770529387418432E-3</v>
      </c>
    </row>
    <row r="29" spans="2:15">
      <c r="B29" s="77" t="s">
        <v>1224</v>
      </c>
      <c r="C29" s="74" t="s">
        <v>1225</v>
      </c>
      <c r="D29" s="87" t="s">
        <v>27</v>
      </c>
      <c r="E29" s="74"/>
      <c r="F29" s="87" t="s">
        <v>1154</v>
      </c>
      <c r="G29" s="74" t="s">
        <v>1137</v>
      </c>
      <c r="H29" s="74" t="s">
        <v>916</v>
      </c>
      <c r="I29" s="87" t="s">
        <v>156</v>
      </c>
      <c r="J29" s="84">
        <v>1078.6341829999999</v>
      </c>
      <c r="K29" s="86">
        <v>9167</v>
      </c>
      <c r="L29" s="84">
        <v>383.92503675299997</v>
      </c>
      <c r="M29" s="85">
        <v>3.1289978182992612E-5</v>
      </c>
      <c r="N29" s="85">
        <f t="shared" si="0"/>
        <v>3.4034023999590442E-2</v>
      </c>
      <c r="O29" s="85">
        <f>L29/'סכום נכסי הקרן'!$C$42</f>
        <v>1.3446118922805727E-3</v>
      </c>
    </row>
    <row r="30" spans="2:15">
      <c r="B30" s="77" t="s">
        <v>1226</v>
      </c>
      <c r="C30" s="74" t="s">
        <v>1227</v>
      </c>
      <c r="D30" s="87" t="s">
        <v>27</v>
      </c>
      <c r="E30" s="74"/>
      <c r="F30" s="87" t="s">
        <v>1154</v>
      </c>
      <c r="G30" s="74" t="s">
        <v>690</v>
      </c>
      <c r="H30" s="74"/>
      <c r="I30" s="87" t="s">
        <v>157</v>
      </c>
      <c r="J30" s="84">
        <v>2373.0180740000001</v>
      </c>
      <c r="K30" s="86">
        <v>13775.13</v>
      </c>
      <c r="L30" s="84">
        <v>1390.6071127120001</v>
      </c>
      <c r="M30" s="85">
        <v>1.2940867950089713E-3</v>
      </c>
      <c r="N30" s="85">
        <f t="shared" si="0"/>
        <v>0.12327395016566749</v>
      </c>
      <c r="O30" s="85">
        <f>L30/'סכום נכסי הקרן'!$C$42</f>
        <v>4.8702915471633291E-3</v>
      </c>
    </row>
    <row r="31" spans="2:15">
      <c r="B31" s="77" t="s">
        <v>1228</v>
      </c>
      <c r="C31" s="74" t="s">
        <v>1229</v>
      </c>
      <c r="D31" s="87" t="s">
        <v>27</v>
      </c>
      <c r="E31" s="74"/>
      <c r="F31" s="87" t="s">
        <v>1154</v>
      </c>
      <c r="G31" s="74" t="s">
        <v>690</v>
      </c>
      <c r="H31" s="74"/>
      <c r="I31" s="87" t="s">
        <v>154</v>
      </c>
      <c r="J31" s="84">
        <v>2949.2886339999995</v>
      </c>
      <c r="K31" s="86">
        <v>13509</v>
      </c>
      <c r="L31" s="84">
        <v>1380.921644151</v>
      </c>
      <c r="M31" s="85">
        <v>1.1371247473623284E-4</v>
      </c>
      <c r="N31" s="85">
        <f t="shared" si="0"/>
        <v>0.12241535685213886</v>
      </c>
      <c r="O31" s="85">
        <f>L31/'סכום נכסי הקרן'!$C$42</f>
        <v>4.8363703517144141E-3</v>
      </c>
    </row>
    <row r="32" spans="2:15">
      <c r="B32" s="73"/>
      <c r="C32" s="74"/>
      <c r="D32" s="74"/>
      <c r="E32" s="74"/>
      <c r="F32" s="74"/>
      <c r="G32" s="74"/>
      <c r="H32" s="74"/>
      <c r="I32" s="74"/>
      <c r="J32" s="84"/>
      <c r="K32" s="86"/>
      <c r="L32" s="74"/>
      <c r="M32" s="74"/>
      <c r="N32" s="85"/>
      <c r="O32" s="74"/>
    </row>
    <row r="33" spans="2:59">
      <c r="B33" s="92" t="s">
        <v>236</v>
      </c>
      <c r="C33" s="72"/>
      <c r="D33" s="72"/>
      <c r="E33" s="72"/>
      <c r="F33" s="72"/>
      <c r="G33" s="72"/>
      <c r="H33" s="72"/>
      <c r="I33" s="72"/>
      <c r="J33" s="81"/>
      <c r="K33" s="83"/>
      <c r="L33" s="81">
        <v>242.98903979800005</v>
      </c>
      <c r="M33" s="72"/>
      <c r="N33" s="82">
        <f t="shared" ref="N33:N34" si="1">L33/$L$11</f>
        <v>2.1540389452233216E-2</v>
      </c>
      <c r="O33" s="82">
        <f>L33/'סכום נכסי הקרן'!$C$42</f>
        <v>8.5101496732141739E-4</v>
      </c>
    </row>
    <row r="34" spans="2:59">
      <c r="B34" s="77" t="s">
        <v>1230</v>
      </c>
      <c r="C34" s="74" t="s">
        <v>1231</v>
      </c>
      <c r="D34" s="87" t="s">
        <v>27</v>
      </c>
      <c r="E34" s="74"/>
      <c r="F34" s="87" t="s">
        <v>1154</v>
      </c>
      <c r="G34" s="74" t="s">
        <v>978</v>
      </c>
      <c r="H34" s="74" t="s">
        <v>323</v>
      </c>
      <c r="I34" s="87" t="s">
        <v>154</v>
      </c>
      <c r="J34" s="84">
        <v>7579.0783089999995</v>
      </c>
      <c r="K34" s="86">
        <v>925</v>
      </c>
      <c r="L34" s="84">
        <v>242.98903979800005</v>
      </c>
      <c r="M34" s="85">
        <v>2.648797846386352E-5</v>
      </c>
      <c r="N34" s="85">
        <f t="shared" si="1"/>
        <v>2.1540389452233216E-2</v>
      </c>
      <c r="O34" s="85">
        <f>L34/'סכום נכסי הקרן'!$C$42</f>
        <v>8.5101496732141739E-4</v>
      </c>
    </row>
    <row r="35" spans="2:59">
      <c r="B35" s="73"/>
      <c r="C35" s="74"/>
      <c r="D35" s="74"/>
      <c r="E35" s="74"/>
      <c r="F35" s="74"/>
      <c r="G35" s="74"/>
      <c r="H35" s="74"/>
      <c r="I35" s="74"/>
      <c r="J35" s="84"/>
      <c r="K35" s="86"/>
      <c r="L35" s="74"/>
      <c r="M35" s="74"/>
      <c r="N35" s="85"/>
      <c r="O35" s="74"/>
    </row>
    <row r="36" spans="2:5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89" t="s">
        <v>241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89" t="s">
        <v>103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89" t="s">
        <v>223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89" t="s">
        <v>231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7 C5:C1048576 D1:AF1048576 AH1:XFD1048576 AG1:AG37 B39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248</v>
      </c>
    </row>
    <row r="2" spans="2:60">
      <c r="B2" s="47" t="s">
        <v>169</v>
      </c>
      <c r="C2" s="68" t="s">
        <v>249</v>
      </c>
    </row>
    <row r="3" spans="2:60">
      <c r="B3" s="47" t="s">
        <v>171</v>
      </c>
      <c r="C3" s="68" t="s">
        <v>250</v>
      </c>
    </row>
    <row r="4" spans="2:60">
      <c r="B4" s="47" t="s">
        <v>172</v>
      </c>
      <c r="C4" s="68">
        <v>2144</v>
      </c>
    </row>
    <row r="6" spans="2:60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60" ht="26.25" customHeight="1">
      <c r="B7" s="134" t="s">
        <v>85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BH7" s="3"/>
    </row>
    <row r="8" spans="2:60" s="3" customFormat="1" ht="78.75"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225</v>
      </c>
      <c r="H8" s="30" t="s">
        <v>224</v>
      </c>
      <c r="I8" s="30" t="s">
        <v>56</v>
      </c>
      <c r="J8" s="30" t="s">
        <v>53</v>
      </c>
      <c r="K8" s="30" t="s">
        <v>173</v>
      </c>
      <c r="L8" s="66" t="s">
        <v>175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232</v>
      </c>
      <c r="H9" s="16"/>
      <c r="I9" s="16" t="s">
        <v>228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/>
      <c r="C11" s="91"/>
      <c r="D11" s="91"/>
      <c r="E11" s="91"/>
      <c r="F11" s="91"/>
      <c r="G11" s="91"/>
      <c r="H11" s="91"/>
      <c r="I11" s="115">
        <v>0</v>
      </c>
      <c r="J11" s="91"/>
      <c r="K11" s="91"/>
      <c r="L11" s="91"/>
      <c r="BC11" s="1"/>
      <c r="BD11" s="3"/>
      <c r="BE11" s="1"/>
      <c r="BG11" s="1"/>
    </row>
    <row r="12" spans="2:60" s="4" customFormat="1" ht="18" customHeight="1">
      <c r="B12" s="89" t="s">
        <v>241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C12" s="1"/>
      <c r="BD12" s="3"/>
      <c r="BE12" s="1"/>
      <c r="BG12" s="1"/>
    </row>
    <row r="13" spans="2:60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D13" s="3"/>
    </row>
    <row r="14" spans="2:60" ht="20.25">
      <c r="B14" s="89" t="s">
        <v>223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BD14" s="4"/>
    </row>
    <row r="15" spans="2:60">
      <c r="B15" s="89" t="s">
        <v>231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21:B1048576 C5:C1048576 AG24:AG1048576 AH1:XFD1048576 AG1:AG19 B1:B11 B13:B19 D1:H1048576 J1:AF1048576 I1:I10 I12:I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a46656d4-8850-49b3-aebd-68bd05f7f43d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