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מניות" sheetId="62" r:id="rId5"/>
    <sheet name="אג&quot;ח קונצרני" sheetId="61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1" hidden="1">הלוואות!$B$244:$T$394</definedName>
    <definedName name="_xlnm._FilterDatabase" localSheetId="12" hidden="1">'לא סחיר- תעודות התחייבות ממשלתי'!$A$14:$BL$142</definedName>
    <definedName name="_xlnm._FilterDatabase" localSheetId="4" hidden="1">מניות!$B$159:$AF$228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5">'אג"ח קונצרני'!$B$6:$U$31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4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0" i="58" l="1"/>
  <c r="J11" i="58"/>
  <c r="J63" i="58"/>
  <c r="J12" i="58" l="1"/>
  <c r="J21" i="58"/>
  <c r="J59" i="58"/>
  <c r="J62" i="58" l="1"/>
  <c r="P37" i="78"/>
  <c r="P11" i="78"/>
  <c r="P16" i="78"/>
  <c r="K60" i="58" l="1"/>
  <c r="K59" i="58"/>
  <c r="K57" i="58"/>
  <c r="K55" i="58"/>
  <c r="K53" i="58"/>
  <c r="K51" i="58"/>
  <c r="K49" i="58"/>
  <c r="K47" i="58"/>
  <c r="K45" i="58"/>
  <c r="K43" i="58"/>
  <c r="K41" i="58"/>
  <c r="K39" i="58"/>
  <c r="K37" i="58"/>
  <c r="K35" i="58"/>
  <c r="K33" i="58"/>
  <c r="K31" i="58"/>
  <c r="K29" i="58"/>
  <c r="K27" i="58"/>
  <c r="K25" i="58"/>
  <c r="K23" i="58"/>
  <c r="K16" i="58"/>
  <c r="K12" i="58"/>
  <c r="K69" i="58"/>
  <c r="K67" i="58"/>
  <c r="K65" i="58"/>
  <c r="K18" i="58"/>
  <c r="K14" i="58"/>
  <c r="K56" i="58"/>
  <c r="K54" i="58"/>
  <c r="K52" i="58"/>
  <c r="K50" i="58"/>
  <c r="K48" i="58"/>
  <c r="K46" i="58"/>
  <c r="K44" i="58"/>
  <c r="K42" i="58"/>
  <c r="K40" i="58"/>
  <c r="K38" i="58"/>
  <c r="K36" i="58"/>
  <c r="K34" i="58"/>
  <c r="K32" i="58"/>
  <c r="K30" i="58"/>
  <c r="K28" i="58"/>
  <c r="K26" i="58"/>
  <c r="K24" i="58"/>
  <c r="K22" i="58"/>
  <c r="K15" i="58"/>
  <c r="K68" i="58"/>
  <c r="K66" i="58"/>
  <c r="K64" i="58"/>
  <c r="K19" i="58"/>
  <c r="K17" i="58"/>
  <c r="K13" i="58"/>
  <c r="K10" i="58"/>
  <c r="K63" i="58"/>
  <c r="K21" i="58"/>
  <c r="K62" i="58"/>
  <c r="K11" i="58"/>
  <c r="R274" i="61"/>
  <c r="R13" i="61" l="1"/>
  <c r="R167" i="61"/>
  <c r="R257" i="61"/>
  <c r="R266" i="61"/>
  <c r="R265" i="61" l="1"/>
  <c r="P244" i="78"/>
  <c r="O13" i="78" l="1"/>
  <c r="C10" i="84"/>
  <c r="P35" i="78" l="1"/>
  <c r="P31" i="78"/>
  <c r="P24" i="78"/>
  <c r="P243" i="78" l="1"/>
  <c r="O14" i="78" l="1"/>
  <c r="H49" i="80"/>
  <c r="H48" i="80"/>
  <c r="H47" i="80"/>
  <c r="H46" i="80"/>
  <c r="H45" i="80"/>
  <c r="H44" i="80"/>
  <c r="H43" i="80"/>
  <c r="H41" i="80"/>
  <c r="H40" i="80"/>
  <c r="H39" i="80"/>
  <c r="H38" i="80"/>
  <c r="H37" i="80"/>
  <c r="H36" i="80"/>
  <c r="H35" i="80"/>
  <c r="H34" i="80"/>
  <c r="H33" i="80"/>
  <c r="H32" i="80"/>
  <c r="H31" i="80"/>
  <c r="H30" i="80"/>
  <c r="H29" i="80"/>
  <c r="H28" i="80"/>
  <c r="H27" i="80"/>
  <c r="H26" i="80"/>
  <c r="H25" i="80"/>
  <c r="H24" i="80"/>
  <c r="H23" i="80"/>
  <c r="H22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N27" i="79"/>
  <c r="N26" i="79"/>
  <c r="N25" i="79"/>
  <c r="N24" i="79"/>
  <c r="N23" i="79"/>
  <c r="N22" i="79"/>
  <c r="N21" i="79"/>
  <c r="N20" i="79"/>
  <c r="N19" i="79"/>
  <c r="N18" i="79"/>
  <c r="N17" i="79"/>
  <c r="N16" i="79"/>
  <c r="N15" i="79"/>
  <c r="N14" i="79"/>
  <c r="N13" i="79"/>
  <c r="N12" i="79"/>
  <c r="N11" i="79"/>
  <c r="N10" i="79"/>
  <c r="J12" i="81"/>
  <c r="J11" i="81"/>
  <c r="J10" i="81"/>
  <c r="C43" i="88"/>
  <c r="P10" i="78" l="1"/>
  <c r="O14" i="92"/>
  <c r="O13" i="92"/>
  <c r="O12" i="92"/>
  <c r="O11" i="92"/>
  <c r="O10" i="92"/>
  <c r="O13" i="93"/>
  <c r="O12" i="93"/>
  <c r="O11" i="93"/>
  <c r="O10" i="93"/>
  <c r="Q11" i="78" l="1"/>
  <c r="Q383" i="78"/>
  <c r="Q375" i="78"/>
  <c r="Q367" i="78"/>
  <c r="Q359" i="78"/>
  <c r="Q351" i="78"/>
  <c r="Q343" i="78"/>
  <c r="Q335" i="78"/>
  <c r="Q327" i="78"/>
  <c r="Q319" i="78"/>
  <c r="Q311" i="78"/>
  <c r="Q303" i="78"/>
  <c r="Q295" i="78"/>
  <c r="Q287" i="78"/>
  <c r="Q279" i="78"/>
  <c r="Q271" i="78"/>
  <c r="Q263" i="78"/>
  <c r="Q255" i="78"/>
  <c r="Q247" i="78"/>
  <c r="Q389" i="78"/>
  <c r="Q237" i="78"/>
  <c r="Q229" i="78"/>
  <c r="Q221" i="78"/>
  <c r="Q213" i="78"/>
  <c r="Q205" i="78"/>
  <c r="Q199" i="78"/>
  <c r="Q191" i="78"/>
  <c r="Q181" i="78"/>
  <c r="Q173" i="78"/>
  <c r="Q167" i="78"/>
  <c r="Q162" i="78"/>
  <c r="Q157" i="78"/>
  <c r="Q151" i="78"/>
  <c r="Q146" i="78"/>
  <c r="Q141" i="78"/>
  <c r="Q135" i="78"/>
  <c r="Q130" i="78"/>
  <c r="Q125" i="78"/>
  <c r="Q119" i="78"/>
  <c r="Q114" i="78"/>
  <c r="Q109" i="78"/>
  <c r="Q103" i="78"/>
  <c r="Q98" i="78"/>
  <c r="Q93" i="78"/>
  <c r="Q87" i="78"/>
  <c r="Q82" i="78"/>
  <c r="Q77" i="78"/>
  <c r="Q72" i="78"/>
  <c r="Q68" i="78"/>
  <c r="Q64" i="78"/>
  <c r="Q60" i="78"/>
  <c r="Q56" i="78"/>
  <c r="Q52" i="78"/>
  <c r="Q48" i="78"/>
  <c r="Q44" i="78"/>
  <c r="Q40" i="78"/>
  <c r="Q34" i="78"/>
  <c r="Q30" i="78"/>
  <c r="Q26" i="78"/>
  <c r="Q22" i="78"/>
  <c r="Q18" i="78"/>
  <c r="Q13" i="78"/>
  <c r="Q387" i="78"/>
  <c r="Q379" i="78"/>
  <c r="Q371" i="78"/>
  <c r="Q363" i="78"/>
  <c r="Q347" i="78"/>
  <c r="Q331" i="78"/>
  <c r="Q323" i="78"/>
  <c r="Q307" i="78"/>
  <c r="Q291" i="78"/>
  <c r="Q275" i="78"/>
  <c r="Q251" i="78"/>
  <c r="Q241" i="78"/>
  <c r="Q233" i="78"/>
  <c r="Q217" i="78"/>
  <c r="Q201" i="78"/>
  <c r="Q187" i="78"/>
  <c r="Q177" i="78"/>
  <c r="Q165" i="78"/>
  <c r="Q154" i="78"/>
  <c r="Q381" i="78"/>
  <c r="Q373" i="78"/>
  <c r="Q365" i="78"/>
  <c r="Q357" i="78"/>
  <c r="Q349" i="78"/>
  <c r="Q341" i="78"/>
  <c r="Q333" i="78"/>
  <c r="Q325" i="78"/>
  <c r="Q317" i="78"/>
  <c r="Q309" i="78"/>
  <c r="Q301" i="78"/>
  <c r="Q293" i="78"/>
  <c r="Q285" i="78"/>
  <c r="Q277" i="78"/>
  <c r="Q269" i="78"/>
  <c r="Q261" i="78"/>
  <c r="Q253" i="78"/>
  <c r="Q245" i="78"/>
  <c r="Q244" i="78"/>
  <c r="Q235" i="78"/>
  <c r="Q227" i="78"/>
  <c r="Q219" i="78"/>
  <c r="Q211" i="78"/>
  <c r="Q203" i="78"/>
  <c r="Q197" i="78"/>
  <c r="Q189" i="78"/>
  <c r="Q179" i="78"/>
  <c r="Q171" i="78"/>
  <c r="Q166" i="78"/>
  <c r="Q161" i="78"/>
  <c r="Q155" i="78"/>
  <c r="Q150" i="78"/>
  <c r="Q145" i="78"/>
  <c r="Q139" i="78"/>
  <c r="Q134" i="78"/>
  <c r="Q129" i="78"/>
  <c r="Q123" i="78"/>
  <c r="Q118" i="78"/>
  <c r="Q113" i="78"/>
  <c r="Q107" i="78"/>
  <c r="Q102" i="78"/>
  <c r="Q97" i="78"/>
  <c r="Q91" i="78"/>
  <c r="Q86" i="78"/>
  <c r="Q81" i="78"/>
  <c r="Q75" i="78"/>
  <c r="Q71" i="78"/>
  <c r="Q67" i="78"/>
  <c r="Q63" i="78"/>
  <c r="Q59" i="78"/>
  <c r="Q55" i="78"/>
  <c r="Q51" i="78"/>
  <c r="Q47" i="78"/>
  <c r="Q43" i="78"/>
  <c r="Q39" i="78"/>
  <c r="Q33" i="78"/>
  <c r="Q29" i="78"/>
  <c r="Q25" i="78"/>
  <c r="Q21" i="78"/>
  <c r="Q17" i="78"/>
  <c r="Q355" i="78"/>
  <c r="Q339" i="78"/>
  <c r="Q315" i="78"/>
  <c r="Q299" i="78"/>
  <c r="Q283" i="78"/>
  <c r="Q267" i="78"/>
  <c r="Q259" i="78"/>
  <c r="Q393" i="78"/>
  <c r="Q225" i="78"/>
  <c r="Q209" i="78"/>
  <c r="Q195" i="78"/>
  <c r="Q170" i="78"/>
  <c r="Q159" i="78"/>
  <c r="Q149" i="78"/>
  <c r="Q377" i="78"/>
  <c r="Q345" i="78"/>
  <c r="Q313" i="78"/>
  <c r="Q281" i="78"/>
  <c r="Q249" i="78"/>
  <c r="Q231" i="78"/>
  <c r="Q183" i="78"/>
  <c r="Q169" i="78"/>
  <c r="Q147" i="78"/>
  <c r="Q137" i="78"/>
  <c r="Q126" i="78"/>
  <c r="Q115" i="78"/>
  <c r="Q105" i="78"/>
  <c r="Q94" i="78"/>
  <c r="Q83" i="78"/>
  <c r="Q73" i="78"/>
  <c r="Q65" i="78"/>
  <c r="Q57" i="78"/>
  <c r="Q49" i="78"/>
  <c r="Q41" i="78"/>
  <c r="Q31" i="78"/>
  <c r="Q23" i="78"/>
  <c r="Q14" i="78"/>
  <c r="Q185" i="78"/>
  <c r="Q131" i="78"/>
  <c r="Q110" i="78"/>
  <c r="Q78" i="78"/>
  <c r="Q61" i="78"/>
  <c r="Q45" i="78"/>
  <c r="Q35" i="78"/>
  <c r="Q19" i="78"/>
  <c r="Q385" i="78"/>
  <c r="Q239" i="78"/>
  <c r="Q153" i="78"/>
  <c r="Q127" i="78"/>
  <c r="Q106" i="78"/>
  <c r="Q74" i="78"/>
  <c r="Q58" i="78"/>
  <c r="Q42" i="78"/>
  <c r="Q16" i="78"/>
  <c r="Q369" i="78"/>
  <c r="Q337" i="78"/>
  <c r="Q305" i="78"/>
  <c r="Q273" i="78"/>
  <c r="Q391" i="78"/>
  <c r="Q223" i="78"/>
  <c r="Q193" i="78"/>
  <c r="Q163" i="78"/>
  <c r="Q143" i="78"/>
  <c r="Q133" i="78"/>
  <c r="Q122" i="78"/>
  <c r="Q111" i="78"/>
  <c r="Q101" i="78"/>
  <c r="Q90" i="78"/>
  <c r="Q79" i="78"/>
  <c r="Q70" i="78"/>
  <c r="Q62" i="78"/>
  <c r="Q54" i="78"/>
  <c r="Q46" i="78"/>
  <c r="Q38" i="78"/>
  <c r="Q28" i="78"/>
  <c r="Q20" i="78"/>
  <c r="Q361" i="78"/>
  <c r="Q329" i="78"/>
  <c r="Q297" i="78"/>
  <c r="Q265" i="78"/>
  <c r="Q215" i="78"/>
  <c r="Q158" i="78"/>
  <c r="Q142" i="78"/>
  <c r="Q121" i="78"/>
  <c r="Q99" i="78"/>
  <c r="Q89" i="78"/>
  <c r="Q69" i="78"/>
  <c r="Q53" i="78"/>
  <c r="Q27" i="78"/>
  <c r="Q10" i="78"/>
  <c r="Q353" i="78"/>
  <c r="Q321" i="78"/>
  <c r="Q289" i="78"/>
  <c r="Q257" i="78"/>
  <c r="Q207" i="78"/>
  <c r="Q175" i="78"/>
  <c r="Q138" i="78"/>
  <c r="Q117" i="78"/>
  <c r="Q95" i="78"/>
  <c r="Q85" i="78"/>
  <c r="Q66" i="78"/>
  <c r="Q50" i="78"/>
  <c r="Q32" i="78"/>
  <c r="Q24" i="78"/>
  <c r="Q386" i="78"/>
  <c r="Q370" i="78"/>
  <c r="Q354" i="78"/>
  <c r="Q338" i="78"/>
  <c r="Q322" i="78"/>
  <c r="Q306" i="78"/>
  <c r="Q290" i="78"/>
  <c r="Q274" i="78"/>
  <c r="Q258" i="78"/>
  <c r="Q392" i="78"/>
  <c r="Q240" i="78"/>
  <c r="Q224" i="78"/>
  <c r="Q208" i="78"/>
  <c r="Q194" i="78"/>
  <c r="Q176" i="78"/>
  <c r="Q160" i="78"/>
  <c r="Q144" i="78"/>
  <c r="Q128" i="78"/>
  <c r="Q112" i="78"/>
  <c r="Q96" i="78"/>
  <c r="Q80" i="78"/>
  <c r="Q376" i="78"/>
  <c r="Q360" i="78"/>
  <c r="Q344" i="78"/>
  <c r="Q328" i="78"/>
  <c r="Q312" i="78"/>
  <c r="Q296" i="78"/>
  <c r="Q280" i="78"/>
  <c r="Q264" i="78"/>
  <c r="Q248" i="78"/>
  <c r="Q234" i="78"/>
  <c r="Q218" i="78"/>
  <c r="Q202" i="78"/>
  <c r="Q188" i="78"/>
  <c r="Q37" i="78"/>
  <c r="Q12" i="78"/>
  <c r="Q382" i="78"/>
  <c r="Q366" i="78"/>
  <c r="Q350" i="78"/>
  <c r="Q334" i="78"/>
  <c r="Q318" i="78"/>
  <c r="Q302" i="78"/>
  <c r="Q286" i="78"/>
  <c r="Q270" i="78"/>
  <c r="Q254" i="78"/>
  <c r="Q388" i="78"/>
  <c r="Q236" i="78"/>
  <c r="Q220" i="78"/>
  <c r="Q204" i="78"/>
  <c r="Q190" i="78"/>
  <c r="Q172" i="78"/>
  <c r="Q156" i="78"/>
  <c r="Q140" i="78"/>
  <c r="Q124" i="78"/>
  <c r="Q108" i="78"/>
  <c r="Q92" i="78"/>
  <c r="Q76" i="78"/>
  <c r="Q372" i="78"/>
  <c r="Q356" i="78"/>
  <c r="Q340" i="78"/>
  <c r="Q324" i="78"/>
  <c r="Q308" i="78"/>
  <c r="Q292" i="78"/>
  <c r="Q276" i="78"/>
  <c r="Q260" i="78"/>
  <c r="Q394" i="78"/>
  <c r="Q230" i="78"/>
  <c r="Q214" i="78"/>
  <c r="Q200" i="78"/>
  <c r="Q182" i="78"/>
  <c r="Q378" i="78"/>
  <c r="Q362" i="78"/>
  <c r="Q346" i="78"/>
  <c r="Q330" i="78"/>
  <c r="Q314" i="78"/>
  <c r="Q298" i="78"/>
  <c r="Q282" i="78"/>
  <c r="Q266" i="78"/>
  <c r="Q250" i="78"/>
  <c r="Q232" i="78"/>
  <c r="Q216" i="78"/>
  <c r="Q184" i="78"/>
  <c r="Q186" i="78"/>
  <c r="Q168" i="78"/>
  <c r="Q152" i="78"/>
  <c r="Q136" i="78"/>
  <c r="Q120" i="78"/>
  <c r="Q104" i="78"/>
  <c r="Q88" i="78"/>
  <c r="Q384" i="78"/>
  <c r="Q368" i="78"/>
  <c r="Q352" i="78"/>
  <c r="Q336" i="78"/>
  <c r="Q320" i="78"/>
  <c r="Q304" i="78"/>
  <c r="Q288" i="78"/>
  <c r="Q272" i="78"/>
  <c r="Q256" i="78"/>
  <c r="Q390" i="78"/>
  <c r="Q226" i="78"/>
  <c r="Q210" i="78"/>
  <c r="Q196" i="78"/>
  <c r="Q178" i="78"/>
  <c r="Q374" i="78"/>
  <c r="Q358" i="78"/>
  <c r="Q342" i="78"/>
  <c r="Q326" i="78"/>
  <c r="Q310" i="78"/>
  <c r="Q294" i="78"/>
  <c r="Q278" i="78"/>
  <c r="Q262" i="78"/>
  <c r="Q246" i="78"/>
  <c r="Q228" i="78"/>
  <c r="Q212" i="78"/>
  <c r="Q198" i="78"/>
  <c r="Q180" i="78"/>
  <c r="Q164" i="78"/>
  <c r="Q148" i="78"/>
  <c r="Q132" i="78"/>
  <c r="Q116" i="78"/>
  <c r="Q100" i="78"/>
  <c r="Q84" i="78"/>
  <c r="Q380" i="78"/>
  <c r="Q364" i="78"/>
  <c r="Q348" i="78"/>
  <c r="Q332" i="78"/>
  <c r="Q316" i="78"/>
  <c r="Q300" i="78"/>
  <c r="Q284" i="78"/>
  <c r="Q268" i="78"/>
  <c r="Q252" i="78"/>
  <c r="Q243" i="78"/>
  <c r="Q238" i="78"/>
  <c r="Q222" i="78"/>
  <c r="Q206" i="78"/>
  <c r="Q192" i="78"/>
  <c r="Q174" i="78"/>
  <c r="Q167" i="61" l="1"/>
  <c r="K13" i="74" l="1"/>
  <c r="K14" i="74"/>
  <c r="K12" i="74"/>
  <c r="K11" i="74"/>
  <c r="G152" i="73"/>
  <c r="J199" i="73"/>
  <c r="J198" i="73"/>
  <c r="J197" i="73"/>
  <c r="J196" i="73"/>
  <c r="J195" i="73"/>
  <c r="J194" i="73"/>
  <c r="J193" i="73"/>
  <c r="J192" i="73"/>
  <c r="J191" i="73"/>
  <c r="J190" i="73"/>
  <c r="J189" i="73"/>
  <c r="J188" i="73"/>
  <c r="J187" i="73"/>
  <c r="J186" i="73"/>
  <c r="J185" i="73"/>
  <c r="J184" i="73"/>
  <c r="J183" i="73"/>
  <c r="J182" i="73"/>
  <c r="J181" i="73"/>
  <c r="J180" i="73"/>
  <c r="J179" i="73"/>
  <c r="J178" i="73"/>
  <c r="J177" i="73"/>
  <c r="J176" i="73"/>
  <c r="J175" i="73"/>
  <c r="J174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5" i="73"/>
  <c r="J84" i="73"/>
  <c r="J83" i="73"/>
  <c r="J82" i="73"/>
  <c r="J81" i="73"/>
  <c r="J80" i="73"/>
  <c r="J79" i="73"/>
  <c r="J78" i="73"/>
  <c r="J77" i="73"/>
  <c r="J76" i="73"/>
  <c r="J74" i="73"/>
  <c r="J73" i="73"/>
  <c r="J72" i="73"/>
  <c r="J70" i="73"/>
  <c r="J69" i="73"/>
  <c r="J68" i="73"/>
  <c r="J67" i="73"/>
  <c r="J66" i="73"/>
  <c r="J65" i="73"/>
  <c r="J64" i="73"/>
  <c r="J63" i="73"/>
  <c r="J62" i="73"/>
  <c r="J61" i="73"/>
  <c r="J60" i="73"/>
  <c r="J59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7" i="73"/>
  <c r="J26" i="73"/>
  <c r="J25" i="73"/>
  <c r="J23" i="73"/>
  <c r="J22" i="73"/>
  <c r="J21" i="73"/>
  <c r="J20" i="73"/>
  <c r="J19" i="73"/>
  <c r="J18" i="73"/>
  <c r="J17" i="73"/>
  <c r="J16" i="73"/>
  <c r="J15" i="73"/>
  <c r="J14" i="73"/>
  <c r="J13" i="73"/>
  <c r="J12" i="73"/>
  <c r="J11" i="73"/>
  <c r="L51" i="72" l="1"/>
  <c r="L50" i="72"/>
  <c r="L49" i="72"/>
  <c r="L48" i="72"/>
  <c r="L47" i="72"/>
  <c r="L46" i="72"/>
  <c r="L45" i="72"/>
  <c r="L44" i="72"/>
  <c r="L43" i="72"/>
  <c r="L42" i="72"/>
  <c r="L41" i="72"/>
  <c r="L40" i="72"/>
  <c r="L39" i="72"/>
  <c r="L38" i="72"/>
  <c r="L37" i="72"/>
  <c r="L36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7" i="72"/>
  <c r="L16" i="72"/>
  <c r="L15" i="72"/>
  <c r="L14" i="72"/>
  <c r="L13" i="72"/>
  <c r="L12" i="72"/>
  <c r="L11" i="72"/>
  <c r="R45" i="71"/>
  <c r="R44" i="71"/>
  <c r="R43" i="71"/>
  <c r="R42" i="71"/>
  <c r="R41" i="71"/>
  <c r="R39" i="71"/>
  <c r="R38" i="71"/>
  <c r="R37" i="71"/>
  <c r="R36" i="71"/>
  <c r="R35" i="71"/>
  <c r="R33" i="71"/>
  <c r="R32" i="71"/>
  <c r="R31" i="71"/>
  <c r="R30" i="71"/>
  <c r="R29" i="71"/>
  <c r="R28" i="71"/>
  <c r="R27" i="71"/>
  <c r="R25" i="71"/>
  <c r="R24" i="71"/>
  <c r="R23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O142" i="69" l="1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5" i="67"/>
  <c r="J14" i="67"/>
  <c r="J13" i="67"/>
  <c r="J12" i="67"/>
  <c r="J11" i="67"/>
  <c r="K27" i="66"/>
  <c r="K26" i="66"/>
  <c r="K25" i="66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14" i="65"/>
  <c r="K13" i="65"/>
  <c r="K12" i="65"/>
  <c r="K11" i="65"/>
  <c r="N39" i="64"/>
  <c r="N38" i="64"/>
  <c r="N37" i="64"/>
  <c r="N36" i="64"/>
  <c r="N35" i="64"/>
  <c r="N34" i="64"/>
  <c r="N32" i="64"/>
  <c r="N31" i="64"/>
  <c r="N29" i="64"/>
  <c r="N28" i="64"/>
  <c r="N27" i="64"/>
  <c r="N18" i="64"/>
  <c r="N26" i="64"/>
  <c r="N25" i="64"/>
  <c r="N24" i="64"/>
  <c r="N22" i="64"/>
  <c r="N19" i="64"/>
  <c r="N23" i="64"/>
  <c r="N21" i="64"/>
  <c r="N20" i="64"/>
  <c r="N17" i="64"/>
  <c r="N16" i="64"/>
  <c r="N15" i="64"/>
  <c r="N14" i="64"/>
  <c r="N13" i="64"/>
  <c r="N12" i="64"/>
  <c r="N11" i="64"/>
  <c r="M87" i="63"/>
  <c r="M86" i="63"/>
  <c r="M85" i="63"/>
  <c r="M84" i="63"/>
  <c r="M83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43" i="63"/>
  <c r="M54" i="63"/>
  <c r="M53" i="63"/>
  <c r="M52" i="63"/>
  <c r="M51" i="63"/>
  <c r="M50" i="63"/>
  <c r="M49" i="63"/>
  <c r="M48" i="63"/>
  <c r="M47" i="63"/>
  <c r="M46" i="63"/>
  <c r="M45" i="63"/>
  <c r="M44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L130" i="62"/>
  <c r="L159" i="62"/>
  <c r="N228" i="62"/>
  <c r="N227" i="62"/>
  <c r="N226" i="62"/>
  <c r="N225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09" i="62"/>
  <c r="N208" i="62"/>
  <c r="N207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7" i="62"/>
  <c r="N156" i="62"/>
  <c r="N155" i="62"/>
  <c r="N154" i="62"/>
  <c r="N153" i="62"/>
  <c r="N152" i="62"/>
  <c r="N151" i="62"/>
  <c r="N150" i="62"/>
  <c r="N149" i="62"/>
  <c r="N210" i="62"/>
  <c r="N148" i="62"/>
  <c r="N206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O197" i="61"/>
  <c r="S197" i="61"/>
  <c r="O190" i="61"/>
  <c r="S190" i="61"/>
  <c r="S132" i="61"/>
  <c r="S131" i="61"/>
  <c r="S130" i="61"/>
  <c r="O132" i="61"/>
  <c r="O131" i="61"/>
  <c r="O130" i="61"/>
  <c r="S121" i="61"/>
  <c r="S120" i="61"/>
  <c r="S119" i="61"/>
  <c r="O121" i="61"/>
  <c r="O120" i="61"/>
  <c r="O119" i="61"/>
  <c r="O107" i="61"/>
  <c r="O103" i="61"/>
  <c r="O102" i="61"/>
  <c r="O101" i="61"/>
  <c r="S107" i="61"/>
  <c r="S103" i="61"/>
  <c r="S102" i="61"/>
  <c r="S101" i="61"/>
  <c r="R12" i="61" l="1"/>
  <c r="O77" i="61"/>
  <c r="O76" i="61"/>
  <c r="O75" i="61"/>
  <c r="O74" i="61"/>
  <c r="S77" i="61"/>
  <c r="S76" i="61"/>
  <c r="S75" i="61"/>
  <c r="S74" i="61"/>
  <c r="R11" i="61" l="1"/>
  <c r="T231" i="61" s="1"/>
  <c r="Q12" i="61"/>
  <c r="Q11" i="61" s="1"/>
  <c r="T209" i="61" l="1"/>
  <c r="T301" i="61"/>
  <c r="T156" i="61"/>
  <c r="T120" i="61"/>
  <c r="T276" i="61"/>
  <c r="T21" i="61"/>
  <c r="T85" i="61"/>
  <c r="T51" i="61"/>
  <c r="T328" i="61"/>
  <c r="T95" i="61"/>
  <c r="T173" i="61"/>
  <c r="T346" i="61"/>
  <c r="T344" i="61"/>
  <c r="T175" i="61"/>
  <c r="T259" i="61"/>
  <c r="T145" i="61"/>
  <c r="T343" i="61"/>
  <c r="T347" i="61"/>
  <c r="T311" i="61"/>
  <c r="T278" i="61"/>
  <c r="T247" i="61"/>
  <c r="T227" i="61"/>
  <c r="T203" i="61"/>
  <c r="T180" i="61"/>
  <c r="T158" i="61"/>
  <c r="T134" i="61"/>
  <c r="T114" i="61"/>
  <c r="T94" i="61"/>
  <c r="T70" i="61"/>
  <c r="T342" i="61"/>
  <c r="T322" i="61"/>
  <c r="T298" i="61"/>
  <c r="T284" i="61"/>
  <c r="T254" i="61"/>
  <c r="T230" i="61"/>
  <c r="T210" i="61"/>
  <c r="T191" i="61"/>
  <c r="T167" i="61"/>
  <c r="T137" i="61"/>
  <c r="T125" i="61"/>
  <c r="T101" i="61"/>
  <c r="T81" i="61"/>
  <c r="T61" i="61"/>
  <c r="T37" i="61"/>
  <c r="T18" i="61"/>
  <c r="T321" i="61"/>
  <c r="T272" i="61"/>
  <c r="T229" i="61"/>
  <c r="T190" i="61"/>
  <c r="T143" i="61"/>
  <c r="T100" i="61"/>
  <c r="T60" i="61"/>
  <c r="T28" i="61"/>
  <c r="T335" i="61"/>
  <c r="T296" i="61"/>
  <c r="T244" i="61"/>
  <c r="T204" i="61"/>
  <c r="T163" i="61"/>
  <c r="T115" i="61"/>
  <c r="T75" i="61"/>
  <c r="T42" i="61"/>
  <c r="T11" i="61"/>
  <c r="T56" i="61"/>
  <c r="T136" i="61"/>
  <c r="T233" i="61"/>
  <c r="T317" i="61"/>
  <c r="T39" i="61"/>
  <c r="T127" i="61"/>
  <c r="T208" i="61"/>
  <c r="T293" i="61"/>
  <c r="T348" i="61"/>
  <c r="T64" i="61"/>
  <c r="T138" i="61"/>
  <c r="T241" i="61"/>
  <c r="T325" i="61"/>
  <c r="T288" i="61"/>
  <c r="T168" i="61"/>
  <c r="T102" i="61"/>
  <c r="T82" i="61"/>
  <c r="T329" i="61"/>
  <c r="T291" i="61"/>
  <c r="T263" i="61"/>
  <c r="T157" i="61"/>
  <c r="T69" i="61"/>
  <c r="T30" i="61"/>
  <c r="T297" i="61"/>
  <c r="T205" i="61"/>
  <c r="T76" i="61"/>
  <c r="T312" i="61"/>
  <c r="T228" i="61"/>
  <c r="T142" i="61"/>
  <c r="T27" i="61"/>
  <c r="T330" i="61"/>
  <c r="T299" i="61"/>
  <c r="T266" i="61"/>
  <c r="T243" i="61"/>
  <c r="T219" i="61"/>
  <c r="T199" i="61"/>
  <c r="T176" i="61"/>
  <c r="T150" i="61"/>
  <c r="T130" i="61"/>
  <c r="T110" i="61"/>
  <c r="T86" i="61"/>
  <c r="T66" i="61"/>
  <c r="T338" i="61"/>
  <c r="T314" i="61"/>
  <c r="T295" i="61"/>
  <c r="T274" i="61"/>
  <c r="T246" i="61"/>
  <c r="T226" i="61"/>
  <c r="T206" i="61"/>
  <c r="T183" i="61"/>
  <c r="T161" i="61"/>
  <c r="T144" i="61"/>
  <c r="T117" i="61"/>
  <c r="T97" i="61"/>
  <c r="T77" i="61"/>
  <c r="T53" i="61"/>
  <c r="T33" i="61"/>
  <c r="T14" i="61"/>
  <c r="T305" i="61"/>
  <c r="T262" i="61"/>
  <c r="T221" i="61"/>
  <c r="T174" i="61"/>
  <c r="T132" i="61"/>
  <c r="T92" i="61"/>
  <c r="T48" i="61"/>
  <c r="T23" i="61"/>
  <c r="T327" i="61"/>
  <c r="T279" i="61"/>
  <c r="T236" i="61"/>
  <c r="T187" i="61"/>
  <c r="T147" i="61"/>
  <c r="T107" i="61"/>
  <c r="T67" i="61"/>
  <c r="T31" i="61"/>
  <c r="T15" i="61"/>
  <c r="T72" i="61"/>
  <c r="T170" i="61"/>
  <c r="T249" i="61"/>
  <c r="T332" i="61"/>
  <c r="T63" i="61"/>
  <c r="T146" i="61"/>
  <c r="T224" i="61"/>
  <c r="T324" i="61"/>
  <c r="T20" i="61"/>
  <c r="T80" i="61"/>
  <c r="T178" i="61"/>
  <c r="T258" i="61"/>
  <c r="T341" i="61"/>
  <c r="T326" i="61"/>
  <c r="T260" i="61"/>
  <c r="T235" i="61"/>
  <c r="T215" i="61"/>
  <c r="T196" i="61"/>
  <c r="T139" i="61"/>
  <c r="T126" i="61"/>
  <c r="T62" i="61"/>
  <c r="T310" i="61"/>
  <c r="T242" i="61"/>
  <c r="T222" i="61"/>
  <c r="T198" i="61"/>
  <c r="T179" i="61"/>
  <c r="T133" i="61"/>
  <c r="T113" i="61"/>
  <c r="T93" i="61"/>
  <c r="T49" i="61"/>
  <c r="T337" i="61"/>
  <c r="T253" i="61"/>
  <c r="T164" i="61"/>
  <c r="T124" i="61"/>
  <c r="T43" i="61"/>
  <c r="T17" i="61"/>
  <c r="T271" i="61"/>
  <c r="T181" i="61"/>
  <c r="T99" i="61"/>
  <c r="T52" i="61"/>
  <c r="T194" i="61"/>
  <c r="T165" i="61"/>
  <c r="T257" i="61"/>
  <c r="T79" i="61"/>
  <c r="T268" i="61"/>
  <c r="T104" i="61"/>
  <c r="T47" i="61"/>
  <c r="T212" i="61"/>
  <c r="T38" i="61"/>
  <c r="T197" i="61"/>
  <c r="T22" i="61"/>
  <c r="T109" i="61"/>
  <c r="T195" i="61"/>
  <c r="T281" i="61"/>
  <c r="T78" i="61"/>
  <c r="T162" i="61"/>
  <c r="T251" i="61"/>
  <c r="T309" i="61"/>
  <c r="T128" i="61"/>
  <c r="T316" i="61"/>
  <c r="T193" i="61"/>
  <c r="T29" i="61"/>
  <c r="T201" i="61"/>
  <c r="T46" i="61"/>
  <c r="T83" i="61"/>
  <c r="T261" i="61"/>
  <c r="T68" i="61"/>
  <c r="T237" i="61"/>
  <c r="T45" i="61"/>
  <c r="T129" i="61"/>
  <c r="T214" i="61"/>
  <c r="T306" i="61"/>
  <c r="T98" i="61"/>
  <c r="T188" i="61"/>
  <c r="T287" i="61"/>
  <c r="T277" i="61"/>
  <c r="T112" i="61"/>
  <c r="T340" i="61"/>
  <c r="T159" i="61"/>
  <c r="T19" i="61"/>
  <c r="T185" i="61"/>
  <c r="T25" i="61"/>
  <c r="T131" i="61"/>
  <c r="T304" i="61"/>
  <c r="T108" i="61"/>
  <c r="T290" i="61"/>
  <c r="T65" i="61"/>
  <c r="T149" i="61"/>
  <c r="T238" i="61"/>
  <c r="T336" i="61"/>
  <c r="T118" i="61"/>
  <c r="T211" i="61"/>
  <c r="T315" i="61"/>
  <c r="T282" i="61"/>
  <c r="T216" i="61"/>
  <c r="T151" i="61"/>
  <c r="T87" i="61"/>
  <c r="T34" i="61"/>
  <c r="T267" i="61"/>
  <c r="T200" i="61"/>
  <c r="T135" i="61"/>
  <c r="T71" i="61"/>
  <c r="T24" i="61"/>
  <c r="T248" i="61"/>
  <c r="T184" i="61"/>
  <c r="T119" i="61"/>
  <c r="T55" i="61"/>
  <c r="T13" i="61"/>
  <c r="T300" i="61"/>
  <c r="T232" i="61"/>
  <c r="T169" i="61"/>
  <c r="T103" i="61"/>
  <c r="T44" i="61"/>
  <c r="T339" i="61"/>
  <c r="T323" i="61"/>
  <c r="T307" i="61"/>
  <c r="T292" i="61"/>
  <c r="T275" i="61"/>
  <c r="T255" i="61"/>
  <c r="T239" i="61"/>
  <c r="T223" i="61"/>
  <c r="T207" i="61"/>
  <c r="T192" i="61"/>
  <c r="T172" i="61"/>
  <c r="T154" i="61"/>
  <c r="T141" i="61"/>
  <c r="T122" i="61"/>
  <c r="T106" i="61"/>
  <c r="T90" i="61"/>
  <c r="T74" i="61"/>
  <c r="T58" i="61"/>
  <c r="T333" i="61"/>
  <c r="T318" i="61"/>
  <c r="T302" i="61"/>
  <c r="T285" i="61"/>
  <c r="T269" i="61"/>
  <c r="T250" i="61"/>
  <c r="T234" i="61"/>
  <c r="T218" i="61"/>
  <c r="T202" i="61"/>
  <c r="T186" i="61"/>
  <c r="T171" i="61"/>
  <c r="T153" i="61"/>
  <c r="T140" i="61"/>
  <c r="T121" i="61"/>
  <c r="T105" i="61"/>
  <c r="T89" i="61"/>
  <c r="T73" i="61"/>
  <c r="T57" i="61"/>
  <c r="T41" i="61"/>
  <c r="T26" i="61"/>
  <c r="T345" i="61"/>
  <c r="T313" i="61"/>
  <c r="T280" i="61"/>
  <c r="T245" i="61"/>
  <c r="T213" i="61"/>
  <c r="T182" i="61"/>
  <c r="T148" i="61"/>
  <c r="T116" i="61"/>
  <c r="T84" i="61"/>
  <c r="T54" i="61"/>
  <c r="T32" i="61"/>
  <c r="T12" i="61"/>
  <c r="T320" i="61"/>
  <c r="T289" i="61"/>
  <c r="T252" i="61"/>
  <c r="T220" i="61"/>
  <c r="T189" i="61"/>
  <c r="T155" i="61"/>
  <c r="T123" i="61"/>
  <c r="T91" i="61"/>
  <c r="T59" i="61"/>
  <c r="T36" i="61"/>
  <c r="T16" i="61"/>
  <c r="T35" i="61"/>
  <c r="T88" i="61"/>
  <c r="T152" i="61"/>
  <c r="T217" i="61"/>
  <c r="T283" i="61"/>
  <c r="T349" i="61"/>
  <c r="T50" i="61"/>
  <c r="T111" i="61"/>
  <c r="T177" i="61"/>
  <c r="T240" i="61"/>
  <c r="T308" i="61"/>
  <c r="T331" i="61"/>
  <c r="T40" i="61"/>
  <c r="T96" i="61"/>
  <c r="T160" i="61"/>
  <c r="T225" i="61"/>
  <c r="T294" i="61"/>
  <c r="T334" i="61"/>
  <c r="T319" i="61"/>
  <c r="T303" i="61"/>
  <c r="T286" i="61"/>
  <c r="T270" i="61"/>
  <c r="T265" i="61"/>
  <c r="S284" i="61"/>
  <c r="S287" i="61"/>
  <c r="S278" i="61"/>
  <c r="S313" i="61"/>
  <c r="S303" i="61"/>
  <c r="S281" i="61"/>
  <c r="Q59" i="59" l="1"/>
  <c r="Q58" i="59"/>
  <c r="Q57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31" i="88" l="1"/>
  <c r="C41" i="88" l="1"/>
  <c r="C40" i="88"/>
  <c r="C37" i="88"/>
  <c r="C35" i="88"/>
  <c r="C34" i="88"/>
  <c r="C33" i="88"/>
  <c r="C29" i="88"/>
  <c r="C28" i="88"/>
  <c r="C27" i="88"/>
  <c r="C26" i="88"/>
  <c r="C24" i="88"/>
  <c r="C21" i="88"/>
  <c r="C20" i="88"/>
  <c r="C19" i="88"/>
  <c r="C18" i="88"/>
  <c r="C17" i="88"/>
  <c r="C16" i="88"/>
  <c r="C15" i="88"/>
  <c r="C13" i="88"/>
  <c r="C38" i="88" l="1"/>
  <c r="C23" i="88"/>
  <c r="C11" i="88"/>
  <c r="C12" i="88"/>
  <c r="C10" i="88" l="1"/>
  <c r="C42" i="88" s="1"/>
  <c r="L68" i="58" l="1"/>
  <c r="L64" i="58"/>
  <c r="L59" i="58"/>
  <c r="L54" i="58"/>
  <c r="L50" i="58"/>
  <c r="L46" i="58"/>
  <c r="L42" i="58"/>
  <c r="L38" i="58"/>
  <c r="L34" i="58"/>
  <c r="L30" i="58"/>
  <c r="L26" i="58"/>
  <c r="L22" i="58"/>
  <c r="L17" i="58"/>
  <c r="L13" i="58"/>
  <c r="L53" i="58"/>
  <c r="L45" i="58"/>
  <c r="L41" i="58"/>
  <c r="L33" i="58"/>
  <c r="L29" i="58"/>
  <c r="L21" i="58"/>
  <c r="L16" i="58"/>
  <c r="L66" i="58"/>
  <c r="L56" i="58"/>
  <c r="L48" i="58"/>
  <c r="L40" i="58"/>
  <c r="L32" i="58"/>
  <c r="L28" i="58"/>
  <c r="L15" i="58"/>
  <c r="L67" i="58"/>
  <c r="L63" i="58"/>
  <c r="L57" i="58"/>
  <c r="L49" i="58"/>
  <c r="L37" i="58"/>
  <c r="L25" i="58"/>
  <c r="L12" i="58"/>
  <c r="L44" i="58"/>
  <c r="L36" i="58"/>
  <c r="L24" i="58"/>
  <c r="L19" i="58"/>
  <c r="L11" i="58"/>
  <c r="L52" i="58"/>
  <c r="L69" i="58"/>
  <c r="L65" i="58"/>
  <c r="L60" i="58"/>
  <c r="L55" i="58"/>
  <c r="L51" i="58"/>
  <c r="L47" i="58"/>
  <c r="L43" i="58"/>
  <c r="L39" i="58"/>
  <c r="L35" i="58"/>
  <c r="L31" i="58"/>
  <c r="L27" i="58"/>
  <c r="L23" i="58"/>
  <c r="L18" i="58"/>
  <c r="L14" i="58"/>
  <c r="L10" i="58"/>
  <c r="L62" i="58"/>
  <c r="R387" i="78"/>
  <c r="R383" i="78"/>
  <c r="R379" i="78"/>
  <c r="R375" i="78"/>
  <c r="R371" i="78"/>
  <c r="R367" i="78"/>
  <c r="R363" i="78"/>
  <c r="R359" i="78"/>
  <c r="R355" i="78"/>
  <c r="R351" i="78"/>
  <c r="R347" i="78"/>
  <c r="R343" i="78"/>
  <c r="R339" i="78"/>
  <c r="R335" i="78"/>
  <c r="R331" i="78"/>
  <c r="R327" i="78"/>
  <c r="R323" i="78"/>
  <c r="R319" i="78"/>
  <c r="R315" i="78"/>
  <c r="R311" i="78"/>
  <c r="R307" i="78"/>
  <c r="R303" i="78"/>
  <c r="R299" i="78"/>
  <c r="R295" i="78"/>
  <c r="R291" i="78"/>
  <c r="R287" i="78"/>
  <c r="R283" i="78"/>
  <c r="R279" i="78"/>
  <c r="R275" i="78"/>
  <c r="R271" i="78"/>
  <c r="R267" i="78"/>
  <c r="R263" i="78"/>
  <c r="R259" i="78"/>
  <c r="R255" i="78"/>
  <c r="R251" i="78"/>
  <c r="R247" i="78"/>
  <c r="R393" i="78"/>
  <c r="R389" i="78"/>
  <c r="R241" i="78"/>
  <c r="R237" i="78"/>
  <c r="R233" i="78"/>
  <c r="R229" i="78"/>
  <c r="R225" i="78"/>
  <c r="R221" i="78"/>
  <c r="R217" i="78"/>
  <c r="R213" i="78"/>
  <c r="R209" i="78"/>
  <c r="R205" i="78"/>
  <c r="R201" i="78"/>
  <c r="R199" i="78"/>
  <c r="R195" i="78"/>
  <c r="R191" i="78"/>
  <c r="R187" i="78"/>
  <c r="R181" i="78"/>
  <c r="R177" i="78"/>
  <c r="R173" i="78"/>
  <c r="R169" i="78"/>
  <c r="R165" i="78"/>
  <c r="R161" i="78"/>
  <c r="R157" i="78"/>
  <c r="R153" i="78"/>
  <c r="R149" i="78"/>
  <c r="R145" i="78"/>
  <c r="R141" i="78"/>
  <c r="R137" i="78"/>
  <c r="R133" i="78"/>
  <c r="R129" i="78"/>
  <c r="R125" i="78"/>
  <c r="R121" i="78"/>
  <c r="R117" i="78"/>
  <c r="R113" i="78"/>
  <c r="R109" i="78"/>
  <c r="R105" i="78"/>
  <c r="R101" i="78"/>
  <c r="R97" i="78"/>
  <c r="R93" i="78"/>
  <c r="R89" i="78"/>
  <c r="R85" i="78"/>
  <c r="R81" i="78"/>
  <c r="R77" i="78"/>
  <c r="R382" i="78"/>
  <c r="R377" i="78"/>
  <c r="R372" i="78"/>
  <c r="R366" i="78"/>
  <c r="R361" i="78"/>
  <c r="R356" i="78"/>
  <c r="R350" i="78"/>
  <c r="R345" i="78"/>
  <c r="R340" i="78"/>
  <c r="R334" i="78"/>
  <c r="R329" i="78"/>
  <c r="R324" i="78"/>
  <c r="R318" i="78"/>
  <c r="R313" i="78"/>
  <c r="R308" i="78"/>
  <c r="R302" i="78"/>
  <c r="R297" i="78"/>
  <c r="R292" i="78"/>
  <c r="R286" i="78"/>
  <c r="R281" i="78"/>
  <c r="R276" i="78"/>
  <c r="R270" i="78"/>
  <c r="R265" i="78"/>
  <c r="R260" i="78"/>
  <c r="R254" i="78"/>
  <c r="R249" i="78"/>
  <c r="R394" i="78"/>
  <c r="R388" i="78"/>
  <c r="R239" i="78"/>
  <c r="R234" i="78"/>
  <c r="R228" i="78"/>
  <c r="R223" i="78"/>
  <c r="R218" i="78"/>
  <c r="R212" i="78"/>
  <c r="R207" i="78"/>
  <c r="R202" i="78"/>
  <c r="R198" i="78"/>
  <c r="R193" i="78"/>
  <c r="R188" i="78"/>
  <c r="R180" i="78"/>
  <c r="R175" i="78"/>
  <c r="R170" i="78"/>
  <c r="R164" i="78"/>
  <c r="R159" i="78"/>
  <c r="R154" i="78"/>
  <c r="R148" i="78"/>
  <c r="R143" i="78"/>
  <c r="R138" i="78"/>
  <c r="R132" i="78"/>
  <c r="R127" i="78"/>
  <c r="R122" i="78"/>
  <c r="R116" i="78"/>
  <c r="R111" i="78"/>
  <c r="R106" i="78"/>
  <c r="R100" i="78"/>
  <c r="R95" i="78"/>
  <c r="R90" i="78"/>
  <c r="R84" i="78"/>
  <c r="R79" i="78"/>
  <c r="R74" i="78"/>
  <c r="R70" i="78"/>
  <c r="R66" i="78"/>
  <c r="R62" i="78"/>
  <c r="R58" i="78"/>
  <c r="R54" i="78"/>
  <c r="R50" i="78"/>
  <c r="R46" i="78"/>
  <c r="R42" i="78"/>
  <c r="R38" i="78"/>
  <c r="R32" i="78"/>
  <c r="R28" i="78"/>
  <c r="R24" i="78"/>
  <c r="R20" i="78"/>
  <c r="R16" i="78"/>
  <c r="R11" i="78"/>
  <c r="R386" i="78"/>
  <c r="R381" i="78"/>
  <c r="R376" i="78"/>
  <c r="R370" i="78"/>
  <c r="R365" i="78"/>
  <c r="R360" i="78"/>
  <c r="R354" i="78"/>
  <c r="R385" i="78"/>
  <c r="R374" i="78"/>
  <c r="R364" i="78"/>
  <c r="R353" i="78"/>
  <c r="R346" i="78"/>
  <c r="R338" i="78"/>
  <c r="R332" i="78"/>
  <c r="R325" i="78"/>
  <c r="R317" i="78"/>
  <c r="R310" i="78"/>
  <c r="R304" i="78"/>
  <c r="R296" i="78"/>
  <c r="R289" i="78"/>
  <c r="R282" i="78"/>
  <c r="R274" i="78"/>
  <c r="R268" i="78"/>
  <c r="R261" i="78"/>
  <c r="R253" i="78"/>
  <c r="R246" i="78"/>
  <c r="R390" i="78"/>
  <c r="R240" i="78"/>
  <c r="R232" i="78"/>
  <c r="R226" i="78"/>
  <c r="R219" i="78"/>
  <c r="R211" i="78"/>
  <c r="R204" i="78"/>
  <c r="R200" i="78"/>
  <c r="R192" i="78"/>
  <c r="R185" i="78"/>
  <c r="R176" i="78"/>
  <c r="R168" i="78"/>
  <c r="R162" i="78"/>
  <c r="R155" i="78"/>
  <c r="R147" i="78"/>
  <c r="R140" i="78"/>
  <c r="R134" i="78"/>
  <c r="R126" i="78"/>
  <c r="R119" i="78"/>
  <c r="R112" i="78"/>
  <c r="R104" i="78"/>
  <c r="R98" i="78"/>
  <c r="R91" i="78"/>
  <c r="R83" i="78"/>
  <c r="R76" i="78"/>
  <c r="R71" i="78"/>
  <c r="R65" i="78"/>
  <c r="R60" i="78"/>
  <c r="R55" i="78"/>
  <c r="R49" i="78"/>
  <c r="R44" i="78"/>
  <c r="R39" i="78"/>
  <c r="R31" i="78"/>
  <c r="R26" i="78"/>
  <c r="R21" i="78"/>
  <c r="R14" i="78"/>
  <c r="R380" i="78"/>
  <c r="R369" i="78"/>
  <c r="R358" i="78"/>
  <c r="R349" i="78"/>
  <c r="R342" i="78"/>
  <c r="R336" i="78"/>
  <c r="R328" i="78"/>
  <c r="R321" i="78"/>
  <c r="R314" i="78"/>
  <c r="R306" i="78"/>
  <c r="R300" i="78"/>
  <c r="R293" i="78"/>
  <c r="R285" i="78"/>
  <c r="R278" i="78"/>
  <c r="R272" i="78"/>
  <c r="R264" i="78"/>
  <c r="R257" i="78"/>
  <c r="R250" i="78"/>
  <c r="R392" i="78"/>
  <c r="R243" i="78"/>
  <c r="R236" i="78"/>
  <c r="R230" i="78"/>
  <c r="R222" i="78"/>
  <c r="R215" i="78"/>
  <c r="R208" i="78"/>
  <c r="R184" i="78"/>
  <c r="R196" i="78"/>
  <c r="R189" i="78"/>
  <c r="R179" i="78"/>
  <c r="R172" i="78"/>
  <c r="R166" i="78"/>
  <c r="R158" i="78"/>
  <c r="R151" i="78"/>
  <c r="R144" i="78"/>
  <c r="R136" i="78"/>
  <c r="R130" i="78"/>
  <c r="R123" i="78"/>
  <c r="R115" i="78"/>
  <c r="R108" i="78"/>
  <c r="R102" i="78"/>
  <c r="R94" i="78"/>
  <c r="R87" i="78"/>
  <c r="R80" i="78"/>
  <c r="R73" i="78"/>
  <c r="R68" i="78"/>
  <c r="R63" i="78"/>
  <c r="R57" i="78"/>
  <c r="R52" i="78"/>
  <c r="R47" i="78"/>
  <c r="R41" i="78"/>
  <c r="R34" i="78"/>
  <c r="R29" i="78"/>
  <c r="R23" i="78"/>
  <c r="R18" i="78"/>
  <c r="R12" i="78"/>
  <c r="R378" i="78"/>
  <c r="R368" i="78"/>
  <c r="R357" i="78"/>
  <c r="R348" i="78"/>
  <c r="R341" i="78"/>
  <c r="R333" i="78"/>
  <c r="R326" i="78"/>
  <c r="R320" i="78"/>
  <c r="R312" i="78"/>
  <c r="R305" i="78"/>
  <c r="R298" i="78"/>
  <c r="R290" i="78"/>
  <c r="R284" i="78"/>
  <c r="R277" i="78"/>
  <c r="R269" i="78"/>
  <c r="R262" i="78"/>
  <c r="R256" i="78"/>
  <c r="R248" i="78"/>
  <c r="R391" i="78"/>
  <c r="R235" i="78"/>
  <c r="R227" i="78"/>
  <c r="R220" i="78"/>
  <c r="R214" i="78"/>
  <c r="R206" i="78"/>
  <c r="R183" i="78"/>
  <c r="R384" i="78"/>
  <c r="R344" i="78"/>
  <c r="R316" i="78"/>
  <c r="R288" i="78"/>
  <c r="R258" i="78"/>
  <c r="R224" i="78"/>
  <c r="R197" i="78"/>
  <c r="R182" i="78"/>
  <c r="R167" i="78"/>
  <c r="R152" i="78"/>
  <c r="R139" i="78"/>
  <c r="R124" i="78"/>
  <c r="R110" i="78"/>
  <c r="R96" i="78"/>
  <c r="R82" i="78"/>
  <c r="R69" i="78"/>
  <c r="R59" i="78"/>
  <c r="R48" i="78"/>
  <c r="R35" i="78"/>
  <c r="R25" i="78"/>
  <c r="R13" i="78"/>
  <c r="R373" i="78"/>
  <c r="R309" i="78"/>
  <c r="R280" i="78"/>
  <c r="R252" i="78"/>
  <c r="R216" i="78"/>
  <c r="R178" i="78"/>
  <c r="R150" i="78"/>
  <c r="R135" i="78"/>
  <c r="R107" i="78"/>
  <c r="R92" i="78"/>
  <c r="R67" i="78"/>
  <c r="R45" i="78"/>
  <c r="R33" i="78"/>
  <c r="R362" i="78"/>
  <c r="R273" i="78"/>
  <c r="R238" i="78"/>
  <c r="R190" i="78"/>
  <c r="R160" i="78"/>
  <c r="R131" i="78"/>
  <c r="R103" i="78"/>
  <c r="R75" i="78"/>
  <c r="R53" i="78"/>
  <c r="R30" i="78"/>
  <c r="R322" i="78"/>
  <c r="R266" i="78"/>
  <c r="R231" i="78"/>
  <c r="R186" i="78"/>
  <c r="R142" i="78"/>
  <c r="R114" i="78"/>
  <c r="R86" i="78"/>
  <c r="R61" i="78"/>
  <c r="R51" i="78"/>
  <c r="R27" i="78"/>
  <c r="R337" i="78"/>
  <c r="R194" i="78"/>
  <c r="R163" i="78"/>
  <c r="R120" i="78"/>
  <c r="R78" i="78"/>
  <c r="R56" i="78"/>
  <c r="R22" i="78"/>
  <c r="R10" i="78"/>
  <c r="R330" i="78"/>
  <c r="R301" i="78"/>
  <c r="R245" i="78"/>
  <c r="R210" i="78"/>
  <c r="R174" i="78"/>
  <c r="R146" i="78"/>
  <c r="R118" i="78"/>
  <c r="R88" i="78"/>
  <c r="R64" i="78"/>
  <c r="R43" i="78"/>
  <c r="R19" i="78"/>
  <c r="R352" i="78"/>
  <c r="R294" i="78"/>
  <c r="R244" i="78"/>
  <c r="R203" i="78"/>
  <c r="R171" i="78"/>
  <c r="R156" i="78"/>
  <c r="R128" i="78"/>
  <c r="R99" i="78"/>
  <c r="R72" i="78"/>
  <c r="R40" i="78"/>
  <c r="R17" i="78"/>
  <c r="R37" i="78"/>
  <c r="I48" i="80"/>
  <c r="I44" i="80"/>
  <c r="I39" i="80"/>
  <c r="I35" i="80"/>
  <c r="I31" i="80"/>
  <c r="I27" i="80"/>
  <c r="I23" i="80"/>
  <c r="I19" i="80"/>
  <c r="I15" i="80"/>
  <c r="I11" i="80"/>
  <c r="O27" i="79"/>
  <c r="O23" i="79"/>
  <c r="O19" i="79"/>
  <c r="O15" i="79"/>
  <c r="O11" i="79"/>
  <c r="I47" i="80"/>
  <c r="I43" i="80"/>
  <c r="I38" i="80"/>
  <c r="I34" i="80"/>
  <c r="I30" i="80"/>
  <c r="I26" i="80"/>
  <c r="I22" i="80"/>
  <c r="I18" i="80"/>
  <c r="I14" i="80"/>
  <c r="I10" i="80"/>
  <c r="O26" i="79"/>
  <c r="O22" i="79"/>
  <c r="O18" i="79"/>
  <c r="O14" i="79"/>
  <c r="O10" i="79"/>
  <c r="K12" i="81"/>
  <c r="I46" i="80"/>
  <c r="I41" i="80"/>
  <c r="I37" i="80"/>
  <c r="I33" i="80"/>
  <c r="I29" i="80"/>
  <c r="I25" i="80"/>
  <c r="I21" i="80"/>
  <c r="I17" i="80"/>
  <c r="I13" i="80"/>
  <c r="O25" i="79"/>
  <c r="O21" i="79"/>
  <c r="O17" i="79"/>
  <c r="O13" i="79"/>
  <c r="K11" i="81"/>
  <c r="I49" i="80"/>
  <c r="I45" i="80"/>
  <c r="I40" i="80"/>
  <c r="I36" i="80"/>
  <c r="I32" i="80"/>
  <c r="I28" i="80"/>
  <c r="I24" i="80"/>
  <c r="I20" i="80"/>
  <c r="I16" i="80"/>
  <c r="I12" i="80"/>
  <c r="O24" i="79"/>
  <c r="O20" i="79"/>
  <c r="O16" i="79"/>
  <c r="O12" i="79"/>
  <c r="K10" i="81"/>
  <c r="P11" i="92"/>
  <c r="P11" i="93"/>
  <c r="P14" i="92"/>
  <c r="P10" i="92"/>
  <c r="P10" i="93"/>
  <c r="P13" i="92"/>
  <c r="P13" i="93"/>
  <c r="P12" i="92"/>
  <c r="P12" i="93"/>
  <c r="L12" i="74"/>
  <c r="L11" i="74"/>
  <c r="L14" i="74"/>
  <c r="L13" i="74"/>
  <c r="K197" i="73"/>
  <c r="K193" i="73"/>
  <c r="K189" i="73"/>
  <c r="K185" i="73"/>
  <c r="K181" i="73"/>
  <c r="K177" i="73"/>
  <c r="K173" i="73"/>
  <c r="K169" i="73"/>
  <c r="K165" i="73"/>
  <c r="K161" i="73"/>
  <c r="K157" i="73"/>
  <c r="K153" i="73"/>
  <c r="K149" i="73"/>
  <c r="K145" i="73"/>
  <c r="K141" i="73"/>
  <c r="K137" i="73"/>
  <c r="K133" i="73"/>
  <c r="K129" i="73"/>
  <c r="K125" i="73"/>
  <c r="K121" i="73"/>
  <c r="K117" i="73"/>
  <c r="K113" i="73"/>
  <c r="K109" i="73"/>
  <c r="K105" i="73"/>
  <c r="K101" i="73"/>
  <c r="K97" i="73"/>
  <c r="K93" i="73"/>
  <c r="K89" i="73"/>
  <c r="K84" i="73"/>
  <c r="K80" i="73"/>
  <c r="K76" i="73"/>
  <c r="K70" i="73"/>
  <c r="K66" i="73"/>
  <c r="K62" i="73"/>
  <c r="K57" i="73"/>
  <c r="K53" i="73"/>
  <c r="K49" i="73"/>
  <c r="K45" i="73"/>
  <c r="K37" i="73"/>
  <c r="K23" i="73"/>
  <c r="K196" i="73"/>
  <c r="K192" i="73"/>
  <c r="K188" i="73"/>
  <c r="K184" i="73"/>
  <c r="K180" i="73"/>
  <c r="K176" i="73"/>
  <c r="K172" i="73"/>
  <c r="K168" i="73"/>
  <c r="K164" i="73"/>
  <c r="K160" i="73"/>
  <c r="K156" i="73"/>
  <c r="K152" i="73"/>
  <c r="K148" i="73"/>
  <c r="K144" i="73"/>
  <c r="K140" i="73"/>
  <c r="K136" i="73"/>
  <c r="K132" i="73"/>
  <c r="K128" i="73"/>
  <c r="K124" i="73"/>
  <c r="K120" i="73"/>
  <c r="K116" i="73"/>
  <c r="K112" i="73"/>
  <c r="K108" i="73"/>
  <c r="K104" i="73"/>
  <c r="K100" i="73"/>
  <c r="K96" i="73"/>
  <c r="K92" i="73"/>
  <c r="K88" i="73"/>
  <c r="K83" i="73"/>
  <c r="K79" i="73"/>
  <c r="K74" i="73"/>
  <c r="K69" i="73"/>
  <c r="K65" i="73"/>
  <c r="K61" i="73"/>
  <c r="K56" i="73"/>
  <c r="K52" i="73"/>
  <c r="K48" i="73"/>
  <c r="K44" i="73"/>
  <c r="K40" i="73"/>
  <c r="K36" i="73"/>
  <c r="K32" i="73"/>
  <c r="K27" i="73"/>
  <c r="K22" i="73"/>
  <c r="K18" i="73"/>
  <c r="K14" i="73"/>
  <c r="K15" i="73"/>
  <c r="K199" i="73"/>
  <c r="K195" i="73"/>
  <c r="K191" i="73"/>
  <c r="K187" i="73"/>
  <c r="K183" i="73"/>
  <c r="K179" i="73"/>
  <c r="K175" i="73"/>
  <c r="K171" i="73"/>
  <c r="K167" i="73"/>
  <c r="K163" i="73"/>
  <c r="K159" i="73"/>
  <c r="K155" i="73"/>
  <c r="K151" i="73"/>
  <c r="K147" i="73"/>
  <c r="K143" i="73"/>
  <c r="K139" i="73"/>
  <c r="K135" i="73"/>
  <c r="K131" i="73"/>
  <c r="K127" i="73"/>
  <c r="K123" i="73"/>
  <c r="K119" i="73"/>
  <c r="K115" i="73"/>
  <c r="K111" i="73"/>
  <c r="K107" i="73"/>
  <c r="K103" i="73"/>
  <c r="K99" i="73"/>
  <c r="K95" i="73"/>
  <c r="K91" i="73"/>
  <c r="K87" i="73"/>
  <c r="K82" i="73"/>
  <c r="K78" i="73"/>
  <c r="K73" i="73"/>
  <c r="K68" i="73"/>
  <c r="K64" i="73"/>
  <c r="K60" i="73"/>
  <c r="K55" i="73"/>
  <c r="K51" i="73"/>
  <c r="K47" i="73"/>
  <c r="K43" i="73"/>
  <c r="K39" i="73"/>
  <c r="K35" i="73"/>
  <c r="K31" i="73"/>
  <c r="K26" i="73"/>
  <c r="K21" i="73"/>
  <c r="K17" i="73"/>
  <c r="K13" i="73"/>
  <c r="K30" i="73"/>
  <c r="K20" i="73"/>
  <c r="K16" i="73"/>
  <c r="K33" i="73"/>
  <c r="K19" i="73"/>
  <c r="K198" i="73"/>
  <c r="K194" i="73"/>
  <c r="K190" i="73"/>
  <c r="K186" i="73"/>
  <c r="K182" i="73"/>
  <c r="K178" i="73"/>
  <c r="K174" i="73"/>
  <c r="K170" i="73"/>
  <c r="K166" i="73"/>
  <c r="K162" i="73"/>
  <c r="K158" i="73"/>
  <c r="K154" i="73"/>
  <c r="K150" i="73"/>
  <c r="K146" i="73"/>
  <c r="K142" i="73"/>
  <c r="K138" i="73"/>
  <c r="K134" i="73"/>
  <c r="K130" i="73"/>
  <c r="K126" i="73"/>
  <c r="K122" i="73"/>
  <c r="K118" i="73"/>
  <c r="K114" i="73"/>
  <c r="K110" i="73"/>
  <c r="K106" i="73"/>
  <c r="K102" i="73"/>
  <c r="K98" i="73"/>
  <c r="K94" i="73"/>
  <c r="K90" i="73"/>
  <c r="K85" i="73"/>
  <c r="K81" i="73"/>
  <c r="K77" i="73"/>
  <c r="K72" i="73"/>
  <c r="K67" i="73"/>
  <c r="K63" i="73"/>
  <c r="K59" i="73"/>
  <c r="K54" i="73"/>
  <c r="K50" i="73"/>
  <c r="K46" i="73"/>
  <c r="K42" i="73"/>
  <c r="K38" i="73"/>
  <c r="K34" i="73"/>
  <c r="K25" i="73"/>
  <c r="K12" i="73"/>
  <c r="K41" i="73"/>
  <c r="K29" i="73"/>
  <c r="K11" i="73"/>
  <c r="M51" i="72"/>
  <c r="M47" i="72"/>
  <c r="M43" i="72"/>
  <c r="M39" i="72"/>
  <c r="M35" i="72"/>
  <c r="M31" i="72"/>
  <c r="M27" i="72"/>
  <c r="M23" i="72"/>
  <c r="M19" i="72"/>
  <c r="M14" i="72"/>
  <c r="M13" i="72"/>
  <c r="M50" i="72"/>
  <c r="M46" i="72"/>
  <c r="M42" i="72"/>
  <c r="M38" i="72"/>
  <c r="M34" i="72"/>
  <c r="M30" i="72"/>
  <c r="M26" i="72"/>
  <c r="M22" i="72"/>
  <c r="M17" i="72"/>
  <c r="M49" i="72"/>
  <c r="M45" i="72"/>
  <c r="M41" i="72"/>
  <c r="M37" i="72"/>
  <c r="M33" i="72"/>
  <c r="M29" i="72"/>
  <c r="M25" i="72"/>
  <c r="M21" i="72"/>
  <c r="M16" i="72"/>
  <c r="M12" i="72"/>
  <c r="M48" i="72"/>
  <c r="M44" i="72"/>
  <c r="M40" i="72"/>
  <c r="M36" i="72"/>
  <c r="M32" i="72"/>
  <c r="M28" i="72"/>
  <c r="M24" i="72"/>
  <c r="M20" i="72"/>
  <c r="M15" i="72"/>
  <c r="M11" i="72"/>
  <c r="S45" i="71"/>
  <c r="S41" i="71"/>
  <c r="S36" i="71"/>
  <c r="S31" i="71"/>
  <c r="S27" i="71"/>
  <c r="S22" i="71"/>
  <c r="S18" i="71"/>
  <c r="S14" i="71"/>
  <c r="S39" i="71"/>
  <c r="S35" i="71"/>
  <c r="S30" i="71"/>
  <c r="S25" i="71"/>
  <c r="S21" i="71"/>
  <c r="S17" i="71"/>
  <c r="S13" i="71"/>
  <c r="S32" i="71"/>
  <c r="S23" i="71"/>
  <c r="S15" i="71"/>
  <c r="S44" i="71"/>
  <c r="S43" i="71"/>
  <c r="S38" i="71"/>
  <c r="S33" i="71"/>
  <c r="S29" i="71"/>
  <c r="S24" i="71"/>
  <c r="S20" i="71"/>
  <c r="S16" i="71"/>
  <c r="S12" i="71"/>
  <c r="S42" i="71"/>
  <c r="S37" i="71"/>
  <c r="S28" i="71"/>
  <c r="S19" i="71"/>
  <c r="S11" i="71"/>
  <c r="P139" i="69"/>
  <c r="P135" i="69"/>
  <c r="P131" i="69"/>
  <c r="P127" i="69"/>
  <c r="P123" i="69"/>
  <c r="P119" i="69"/>
  <c r="P115" i="69"/>
  <c r="P111" i="69"/>
  <c r="P107" i="69"/>
  <c r="P103" i="69"/>
  <c r="P99" i="69"/>
  <c r="P95" i="69"/>
  <c r="P91" i="69"/>
  <c r="P87" i="69"/>
  <c r="P83" i="69"/>
  <c r="P79" i="69"/>
  <c r="P75" i="69"/>
  <c r="P71" i="69"/>
  <c r="P67" i="69"/>
  <c r="P63" i="69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K14" i="67"/>
  <c r="L27" i="66"/>
  <c r="L24" i="66"/>
  <c r="L20" i="66"/>
  <c r="L14" i="66"/>
  <c r="L12" i="65"/>
  <c r="P132" i="69"/>
  <c r="P112" i="69"/>
  <c r="P96" i="69"/>
  <c r="P84" i="69"/>
  <c r="P60" i="69"/>
  <c r="P48" i="69"/>
  <c r="P36" i="69"/>
  <c r="P24" i="69"/>
  <c r="K11" i="67"/>
  <c r="L15" i="66"/>
  <c r="P142" i="69"/>
  <c r="P138" i="69"/>
  <c r="P134" i="69"/>
  <c r="P130" i="69"/>
  <c r="P126" i="69"/>
  <c r="P122" i="69"/>
  <c r="P118" i="69"/>
  <c r="P114" i="69"/>
  <c r="P110" i="69"/>
  <c r="P106" i="69"/>
  <c r="P102" i="69"/>
  <c r="P98" i="69"/>
  <c r="P94" i="69"/>
  <c r="P90" i="69"/>
  <c r="P86" i="69"/>
  <c r="P82" i="69"/>
  <c r="P78" i="69"/>
  <c r="P74" i="69"/>
  <c r="P70" i="69"/>
  <c r="P66" i="69"/>
  <c r="P62" i="69"/>
  <c r="P58" i="69"/>
  <c r="P54" i="69"/>
  <c r="P50" i="69"/>
  <c r="P46" i="69"/>
  <c r="P42" i="69"/>
  <c r="P38" i="69"/>
  <c r="P34" i="69"/>
  <c r="P30" i="69"/>
  <c r="P26" i="69"/>
  <c r="P22" i="69"/>
  <c r="P18" i="69"/>
  <c r="P14" i="69"/>
  <c r="K13" i="67"/>
  <c r="L19" i="66"/>
  <c r="L23" i="66"/>
  <c r="L17" i="66"/>
  <c r="L13" i="66"/>
  <c r="L11" i="65"/>
  <c r="P136" i="69"/>
  <c r="P116" i="69"/>
  <c r="P104" i="69"/>
  <c r="P92" i="69"/>
  <c r="P76" i="69"/>
  <c r="P68" i="69"/>
  <c r="P56" i="69"/>
  <c r="P40" i="69"/>
  <c r="P28" i="69"/>
  <c r="P12" i="69"/>
  <c r="L25" i="66"/>
  <c r="L11" i="66"/>
  <c r="P141" i="69"/>
  <c r="P137" i="69"/>
  <c r="P133" i="69"/>
  <c r="P129" i="69"/>
  <c r="P125" i="69"/>
  <c r="P121" i="69"/>
  <c r="P117" i="69"/>
  <c r="P113" i="69"/>
  <c r="P109" i="69"/>
  <c r="P105" i="69"/>
  <c r="P101" i="69"/>
  <c r="P97" i="69"/>
  <c r="P93" i="69"/>
  <c r="P89" i="69"/>
  <c r="P85" i="69"/>
  <c r="P81" i="69"/>
  <c r="P77" i="69"/>
  <c r="P73" i="69"/>
  <c r="P69" i="69"/>
  <c r="P65" i="69"/>
  <c r="P61" i="69"/>
  <c r="P57" i="69"/>
  <c r="P53" i="69"/>
  <c r="P49" i="69"/>
  <c r="P45" i="69"/>
  <c r="P41" i="69"/>
  <c r="P37" i="69"/>
  <c r="P33" i="69"/>
  <c r="P29" i="69"/>
  <c r="P25" i="69"/>
  <c r="P21" i="69"/>
  <c r="P17" i="69"/>
  <c r="P13" i="69"/>
  <c r="K12" i="67"/>
  <c r="L26" i="66"/>
  <c r="L22" i="66"/>
  <c r="L16" i="66"/>
  <c r="L12" i="66"/>
  <c r="L14" i="65"/>
  <c r="P140" i="69"/>
  <c r="P128" i="69"/>
  <c r="P124" i="69"/>
  <c r="P120" i="69"/>
  <c r="P108" i="69"/>
  <c r="P100" i="69"/>
  <c r="P88" i="69"/>
  <c r="P80" i="69"/>
  <c r="P72" i="69"/>
  <c r="P64" i="69"/>
  <c r="P52" i="69"/>
  <c r="P44" i="69"/>
  <c r="P32" i="69"/>
  <c r="P20" i="69"/>
  <c r="P16" i="69"/>
  <c r="K15" i="67"/>
  <c r="L21" i="66"/>
  <c r="L13" i="65"/>
  <c r="O39" i="64"/>
  <c r="O35" i="64"/>
  <c r="O29" i="64"/>
  <c r="O26" i="64"/>
  <c r="O19" i="64"/>
  <c r="O17" i="64"/>
  <c r="O13" i="64"/>
  <c r="N87" i="63"/>
  <c r="N83" i="63"/>
  <c r="N78" i="63"/>
  <c r="N74" i="63"/>
  <c r="N70" i="63"/>
  <c r="N66" i="63"/>
  <c r="N62" i="63"/>
  <c r="N58" i="63"/>
  <c r="N54" i="63"/>
  <c r="N50" i="63"/>
  <c r="N46" i="63"/>
  <c r="N41" i="63"/>
  <c r="N37" i="63"/>
  <c r="N33" i="63"/>
  <c r="N29" i="63"/>
  <c r="N25" i="63"/>
  <c r="N20" i="63"/>
  <c r="N16" i="63"/>
  <c r="N12" i="63"/>
  <c r="O38" i="64"/>
  <c r="O34" i="64"/>
  <c r="O28" i="64"/>
  <c r="O25" i="64"/>
  <c r="O23" i="64"/>
  <c r="O16" i="64"/>
  <c r="O12" i="64"/>
  <c r="N86" i="63"/>
  <c r="N81" i="63"/>
  <c r="N77" i="63"/>
  <c r="N73" i="63"/>
  <c r="N69" i="63"/>
  <c r="N65" i="63"/>
  <c r="N61" i="63"/>
  <c r="N57" i="63"/>
  <c r="N53" i="63"/>
  <c r="N49" i="63"/>
  <c r="N45" i="63"/>
  <c r="N40" i="63"/>
  <c r="N36" i="63"/>
  <c r="N32" i="63"/>
  <c r="N28" i="63"/>
  <c r="N23" i="63"/>
  <c r="N19" i="63"/>
  <c r="N15" i="63"/>
  <c r="N11" i="63"/>
  <c r="O37" i="64"/>
  <c r="O32" i="64"/>
  <c r="O27" i="64"/>
  <c r="O24" i="64"/>
  <c r="O21" i="64"/>
  <c r="O15" i="64"/>
  <c r="O11" i="64"/>
  <c r="N85" i="63"/>
  <c r="N80" i="63"/>
  <c r="N76" i="63"/>
  <c r="N72" i="63"/>
  <c r="N68" i="63"/>
  <c r="N64" i="63"/>
  <c r="N60" i="63"/>
  <c r="N56" i="63"/>
  <c r="N52" i="63"/>
  <c r="N48" i="63"/>
  <c r="N44" i="63"/>
  <c r="N39" i="63"/>
  <c r="N35" i="63"/>
  <c r="N31" i="63"/>
  <c r="N27" i="63"/>
  <c r="N22" i="63"/>
  <c r="N18" i="63"/>
  <c r="N14" i="63"/>
  <c r="O36" i="64"/>
  <c r="O31" i="64"/>
  <c r="O18" i="64"/>
  <c r="O22" i="64"/>
  <c r="O20" i="64"/>
  <c r="O14" i="64"/>
  <c r="N84" i="63"/>
  <c r="N79" i="63"/>
  <c r="N75" i="63"/>
  <c r="N71" i="63"/>
  <c r="N67" i="63"/>
  <c r="N63" i="63"/>
  <c r="N59" i="63"/>
  <c r="N55" i="63"/>
  <c r="N51" i="63"/>
  <c r="N47" i="63"/>
  <c r="N43" i="63"/>
  <c r="N38" i="63"/>
  <c r="N34" i="63"/>
  <c r="N30" i="63"/>
  <c r="N26" i="63"/>
  <c r="N21" i="63"/>
  <c r="N17" i="63"/>
  <c r="N13" i="63"/>
  <c r="O226" i="62"/>
  <c r="O222" i="62"/>
  <c r="O218" i="62"/>
  <c r="O214" i="62"/>
  <c r="O209" i="62"/>
  <c r="O204" i="62"/>
  <c r="O200" i="62"/>
  <c r="O196" i="62"/>
  <c r="O192" i="62"/>
  <c r="O188" i="62"/>
  <c r="O184" i="62"/>
  <c r="O180" i="62"/>
  <c r="O176" i="62"/>
  <c r="O172" i="62"/>
  <c r="O168" i="62"/>
  <c r="O164" i="62"/>
  <c r="O160" i="62"/>
  <c r="O155" i="62"/>
  <c r="O151" i="62"/>
  <c r="O148" i="62"/>
  <c r="O145" i="62"/>
  <c r="O141" i="62"/>
  <c r="O137" i="62"/>
  <c r="O133" i="62"/>
  <c r="O129" i="62"/>
  <c r="O124" i="62"/>
  <c r="O120" i="62"/>
  <c r="O116" i="62"/>
  <c r="O112" i="62"/>
  <c r="O108" i="62"/>
  <c r="O104" i="62"/>
  <c r="O100" i="62"/>
  <c r="O96" i="62"/>
  <c r="O88" i="62"/>
  <c r="O75" i="62"/>
  <c r="O63" i="62"/>
  <c r="O47" i="62"/>
  <c r="O26" i="62"/>
  <c r="O18" i="62"/>
  <c r="O11" i="62"/>
  <c r="O225" i="62"/>
  <c r="O203" i="62"/>
  <c r="O195" i="62"/>
  <c r="O187" i="62"/>
  <c r="O175" i="62"/>
  <c r="O163" i="62"/>
  <c r="O150" i="62"/>
  <c r="O132" i="62"/>
  <c r="O115" i="62"/>
  <c r="O99" i="62"/>
  <c r="O82" i="62"/>
  <c r="O217" i="62"/>
  <c r="O171" i="62"/>
  <c r="O154" i="62"/>
  <c r="O144" i="62"/>
  <c r="O136" i="62"/>
  <c r="O119" i="62"/>
  <c r="O107" i="62"/>
  <c r="O91" i="62"/>
  <c r="O74" i="62"/>
  <c r="O228" i="62"/>
  <c r="O227" i="62"/>
  <c r="O223" i="62"/>
  <c r="O219" i="62"/>
  <c r="O215" i="62"/>
  <c r="O211" i="62"/>
  <c r="O205" i="62"/>
  <c r="O201" i="62"/>
  <c r="O197" i="62"/>
  <c r="O193" i="62"/>
  <c r="O189" i="62"/>
  <c r="O185" i="62"/>
  <c r="O181" i="62"/>
  <c r="O177" i="62"/>
  <c r="O173" i="62"/>
  <c r="O169" i="62"/>
  <c r="O165" i="62"/>
  <c r="O161" i="62"/>
  <c r="O156" i="62"/>
  <c r="O152" i="62"/>
  <c r="O210" i="62"/>
  <c r="O146" i="62"/>
  <c r="O142" i="62"/>
  <c r="O138" i="62"/>
  <c r="O134" i="62"/>
  <c r="O130" i="62"/>
  <c r="O125" i="62"/>
  <c r="O121" i="62"/>
  <c r="O117" i="62"/>
  <c r="O113" i="62"/>
  <c r="O109" i="62"/>
  <c r="O105" i="62"/>
  <c r="O101" i="62"/>
  <c r="O97" i="62"/>
  <c r="O93" i="62"/>
  <c r="O89" i="62"/>
  <c r="O85" i="62"/>
  <c r="O80" i="62"/>
  <c r="O76" i="62"/>
  <c r="O72" i="62"/>
  <c r="O68" i="62"/>
  <c r="O64" i="62"/>
  <c r="O60" i="62"/>
  <c r="O56" i="62"/>
  <c r="O52" i="62"/>
  <c r="O48" i="62"/>
  <c r="O44" i="62"/>
  <c r="O39" i="62"/>
  <c r="O35" i="62"/>
  <c r="O31" i="62"/>
  <c r="O27" i="62"/>
  <c r="O23" i="62"/>
  <c r="O19" i="62"/>
  <c r="O15" i="62"/>
  <c r="O92" i="62"/>
  <c r="O83" i="62"/>
  <c r="O79" i="62"/>
  <c r="O71" i="62"/>
  <c r="O67" i="62"/>
  <c r="O59" i="62"/>
  <c r="O55" i="62"/>
  <c r="O51" i="62"/>
  <c r="O43" i="62"/>
  <c r="O38" i="62"/>
  <c r="O34" i="62"/>
  <c r="O30" i="62"/>
  <c r="O22" i="62"/>
  <c r="O14" i="62"/>
  <c r="O221" i="62"/>
  <c r="O213" i="62"/>
  <c r="O208" i="62"/>
  <c r="O199" i="62"/>
  <c r="O191" i="62"/>
  <c r="O183" i="62"/>
  <c r="O179" i="62"/>
  <c r="O167" i="62"/>
  <c r="O159" i="62"/>
  <c r="O206" i="62"/>
  <c r="O140" i="62"/>
  <c r="O127" i="62"/>
  <c r="O123" i="62"/>
  <c r="O111" i="62"/>
  <c r="O103" i="62"/>
  <c r="O95" i="62"/>
  <c r="O87" i="62"/>
  <c r="O78" i="62"/>
  <c r="O220" i="62"/>
  <c r="O202" i="62"/>
  <c r="O186" i="62"/>
  <c r="O170" i="62"/>
  <c r="O153" i="62"/>
  <c r="O139" i="62"/>
  <c r="O122" i="62"/>
  <c r="O106" i="62"/>
  <c r="O90" i="62"/>
  <c r="O73" i="62"/>
  <c r="O65" i="62"/>
  <c r="O57" i="62"/>
  <c r="O49" i="62"/>
  <c r="O40" i="62"/>
  <c r="O32" i="62"/>
  <c r="O24" i="62"/>
  <c r="O16" i="62"/>
  <c r="O216" i="62"/>
  <c r="O182" i="62"/>
  <c r="O166" i="62"/>
  <c r="O149" i="62"/>
  <c r="O135" i="62"/>
  <c r="O118" i="62"/>
  <c r="O102" i="62"/>
  <c r="O86" i="62"/>
  <c r="O62" i="62"/>
  <c r="O54" i="62"/>
  <c r="O46" i="62"/>
  <c r="O37" i="62"/>
  <c r="O21" i="62"/>
  <c r="O13" i="62"/>
  <c r="O194" i="62"/>
  <c r="O162" i="62"/>
  <c r="O114" i="62"/>
  <c r="O81" i="62"/>
  <c r="O45" i="62"/>
  <c r="O28" i="62"/>
  <c r="O198" i="62"/>
  <c r="O70" i="62"/>
  <c r="O29" i="62"/>
  <c r="O178" i="62"/>
  <c r="O131" i="62"/>
  <c r="O98" i="62"/>
  <c r="O53" i="62"/>
  <c r="O20" i="62"/>
  <c r="O212" i="62"/>
  <c r="O147" i="62"/>
  <c r="O61" i="62"/>
  <c r="O224" i="62"/>
  <c r="O207" i="62"/>
  <c r="O190" i="62"/>
  <c r="O174" i="62"/>
  <c r="O157" i="62"/>
  <c r="O143" i="62"/>
  <c r="O126" i="62"/>
  <c r="O110" i="62"/>
  <c r="O94" i="62"/>
  <c r="O77" i="62"/>
  <c r="O66" i="62"/>
  <c r="O58" i="62"/>
  <c r="O50" i="62"/>
  <c r="O41" i="62"/>
  <c r="O33" i="62"/>
  <c r="O25" i="62"/>
  <c r="O17" i="62"/>
  <c r="O69" i="62"/>
  <c r="O36" i="62"/>
  <c r="O12" i="62"/>
  <c r="D13" i="88"/>
  <c r="U349" i="61"/>
  <c r="U345" i="61"/>
  <c r="U346" i="61"/>
  <c r="U341" i="61"/>
  <c r="U337" i="61"/>
  <c r="U332" i="61"/>
  <c r="U328" i="61"/>
  <c r="U325" i="61"/>
  <c r="U321" i="61"/>
  <c r="U317" i="61"/>
  <c r="U313" i="61"/>
  <c r="U309" i="61"/>
  <c r="U305" i="61"/>
  <c r="U301" i="61"/>
  <c r="U297" i="61"/>
  <c r="U294" i="61"/>
  <c r="U290" i="61"/>
  <c r="U283" i="61"/>
  <c r="U280" i="61"/>
  <c r="U277" i="61"/>
  <c r="U272" i="61"/>
  <c r="U268" i="61"/>
  <c r="U262" i="61"/>
  <c r="U258" i="61"/>
  <c r="U253" i="61"/>
  <c r="U249" i="61"/>
  <c r="U245" i="61"/>
  <c r="U241" i="61"/>
  <c r="U237" i="61"/>
  <c r="U233" i="61"/>
  <c r="U229" i="61"/>
  <c r="U225" i="61"/>
  <c r="U221" i="61"/>
  <c r="U217" i="61"/>
  <c r="U213" i="61"/>
  <c r="U209" i="61"/>
  <c r="U205" i="61"/>
  <c r="U201" i="61"/>
  <c r="U197" i="61"/>
  <c r="U194" i="61"/>
  <c r="U190" i="61"/>
  <c r="U185" i="61"/>
  <c r="U344" i="61"/>
  <c r="U340" i="61"/>
  <c r="U335" i="61"/>
  <c r="U331" i="61"/>
  <c r="U327" i="61"/>
  <c r="U324" i="61"/>
  <c r="U320" i="61"/>
  <c r="U316" i="61"/>
  <c r="U312" i="61"/>
  <c r="U308" i="61"/>
  <c r="U304" i="61"/>
  <c r="U300" i="61"/>
  <c r="U296" i="61"/>
  <c r="U293" i="61"/>
  <c r="U289" i="61"/>
  <c r="U282" i="61"/>
  <c r="U279" i="61"/>
  <c r="U276" i="61"/>
  <c r="U271" i="61"/>
  <c r="U267" i="61"/>
  <c r="U261" i="61"/>
  <c r="U257" i="61"/>
  <c r="U252" i="61"/>
  <c r="U248" i="61"/>
  <c r="U244" i="61"/>
  <c r="U240" i="61"/>
  <c r="U236" i="61"/>
  <c r="U232" i="61"/>
  <c r="U228" i="61"/>
  <c r="U224" i="61"/>
  <c r="U220" i="61"/>
  <c r="U216" i="61"/>
  <c r="U212" i="61"/>
  <c r="U208" i="61"/>
  <c r="U204" i="61"/>
  <c r="U200" i="61"/>
  <c r="U187" i="61"/>
  <c r="U193" i="61"/>
  <c r="U189" i="61"/>
  <c r="U184" i="61"/>
  <c r="U181" i="61"/>
  <c r="U177" i="61"/>
  <c r="U173" i="61"/>
  <c r="U169" i="61"/>
  <c r="U163" i="61"/>
  <c r="U159" i="61"/>
  <c r="U155" i="61"/>
  <c r="U151" i="61"/>
  <c r="U147" i="61"/>
  <c r="U146" i="61"/>
  <c r="U142" i="61"/>
  <c r="U135" i="61"/>
  <c r="U131" i="61"/>
  <c r="U127" i="61"/>
  <c r="U123" i="61"/>
  <c r="U119" i="61"/>
  <c r="U115" i="61"/>
  <c r="U111" i="61"/>
  <c r="U107" i="61"/>
  <c r="U103" i="61"/>
  <c r="U99" i="61"/>
  <c r="U95" i="61"/>
  <c r="U91" i="61"/>
  <c r="U87" i="61"/>
  <c r="U83" i="61"/>
  <c r="U79" i="61"/>
  <c r="U75" i="61"/>
  <c r="U71" i="61"/>
  <c r="U67" i="61"/>
  <c r="U63" i="61"/>
  <c r="U59" i="61"/>
  <c r="U55" i="61"/>
  <c r="U51" i="61"/>
  <c r="U47" i="61"/>
  <c r="U348" i="61"/>
  <c r="U339" i="61"/>
  <c r="U330" i="61"/>
  <c r="U323" i="61"/>
  <c r="U315" i="61"/>
  <c r="U307" i="61"/>
  <c r="U299" i="61"/>
  <c r="U292" i="61"/>
  <c r="U287" i="61"/>
  <c r="U275" i="61"/>
  <c r="U266" i="61"/>
  <c r="U255" i="61"/>
  <c r="U247" i="61"/>
  <c r="U239" i="61"/>
  <c r="U231" i="61"/>
  <c r="U223" i="61"/>
  <c r="U215" i="61"/>
  <c r="U207" i="61"/>
  <c r="U199" i="61"/>
  <c r="U192" i="61"/>
  <c r="U179" i="61"/>
  <c r="U174" i="61"/>
  <c r="U168" i="61"/>
  <c r="U161" i="61"/>
  <c r="U156" i="61"/>
  <c r="U150" i="61"/>
  <c r="U137" i="61"/>
  <c r="U143" i="61"/>
  <c r="U134" i="61"/>
  <c r="U129" i="61"/>
  <c r="U124" i="61"/>
  <c r="U118" i="61"/>
  <c r="U113" i="61"/>
  <c r="U108" i="61"/>
  <c r="U102" i="61"/>
  <c r="U97" i="61"/>
  <c r="U92" i="61"/>
  <c r="U86" i="61"/>
  <c r="U81" i="61"/>
  <c r="U76" i="61"/>
  <c r="U70" i="61"/>
  <c r="U65" i="61"/>
  <c r="U60" i="61"/>
  <c r="U54" i="61"/>
  <c r="U49" i="61"/>
  <c r="U44" i="61"/>
  <c r="U40" i="61"/>
  <c r="U36" i="61"/>
  <c r="U32" i="61"/>
  <c r="U29" i="61"/>
  <c r="U25" i="61"/>
  <c r="U21" i="61"/>
  <c r="U17" i="61"/>
  <c r="U13" i="61"/>
  <c r="U132" i="61"/>
  <c r="U110" i="61"/>
  <c r="U100" i="61"/>
  <c r="U89" i="61"/>
  <c r="U68" i="61"/>
  <c r="U52" i="61"/>
  <c r="U46" i="61"/>
  <c r="U38" i="61"/>
  <c r="U165" i="61"/>
  <c r="U27" i="61"/>
  <c r="U19" i="61"/>
  <c r="U342" i="61"/>
  <c r="U336" i="61"/>
  <c r="U310" i="61"/>
  <c r="U295" i="61"/>
  <c r="U269" i="61"/>
  <c r="U242" i="61"/>
  <c r="U226" i="61"/>
  <c r="U210" i="61"/>
  <c r="U195" i="61"/>
  <c r="U175" i="61"/>
  <c r="U157" i="61"/>
  <c r="U139" i="61"/>
  <c r="U136" i="61"/>
  <c r="U125" i="61"/>
  <c r="U114" i="61"/>
  <c r="U98" i="61"/>
  <c r="U88" i="61"/>
  <c r="U72" i="61"/>
  <c r="U61" i="61"/>
  <c r="U50" i="61"/>
  <c r="U41" i="61"/>
  <c r="U347" i="61"/>
  <c r="U338" i="61"/>
  <c r="U329" i="61"/>
  <c r="U322" i="61"/>
  <c r="U314" i="61"/>
  <c r="U306" i="61"/>
  <c r="U298" i="61"/>
  <c r="U291" i="61"/>
  <c r="U281" i="61"/>
  <c r="U274" i="61"/>
  <c r="U263" i="61"/>
  <c r="U254" i="61"/>
  <c r="U246" i="61"/>
  <c r="U238" i="61"/>
  <c r="U230" i="61"/>
  <c r="U222" i="61"/>
  <c r="U214" i="61"/>
  <c r="U206" i="61"/>
  <c r="U198" i="61"/>
  <c r="U191" i="61"/>
  <c r="U183" i="61"/>
  <c r="U178" i="61"/>
  <c r="U172" i="61"/>
  <c r="U167" i="61"/>
  <c r="U160" i="61"/>
  <c r="U154" i="61"/>
  <c r="U149" i="61"/>
  <c r="U138" i="61"/>
  <c r="U141" i="61"/>
  <c r="U133" i="61"/>
  <c r="U128" i="61"/>
  <c r="U122" i="61"/>
  <c r="U117" i="61"/>
  <c r="U112" i="61"/>
  <c r="U106" i="61"/>
  <c r="U101" i="61"/>
  <c r="U96" i="61"/>
  <c r="U90" i="61"/>
  <c r="U85" i="61"/>
  <c r="U80" i="61"/>
  <c r="U74" i="61"/>
  <c r="U69" i="61"/>
  <c r="U64" i="61"/>
  <c r="U58" i="61"/>
  <c r="U53" i="61"/>
  <c r="U48" i="61"/>
  <c r="U43" i="61"/>
  <c r="U39" i="61"/>
  <c r="U35" i="61"/>
  <c r="U31" i="61"/>
  <c r="U28" i="61"/>
  <c r="U24" i="61"/>
  <c r="U20" i="61"/>
  <c r="U16" i="61"/>
  <c r="U12" i="61"/>
  <c r="U343" i="61"/>
  <c r="U334" i="61"/>
  <c r="U326" i="61"/>
  <c r="U319" i="61"/>
  <c r="U311" i="61"/>
  <c r="U303" i="61"/>
  <c r="U288" i="61"/>
  <c r="U286" i="61"/>
  <c r="U278" i="61"/>
  <c r="U270" i="61"/>
  <c r="U260" i="61"/>
  <c r="U251" i="61"/>
  <c r="U243" i="61"/>
  <c r="U235" i="61"/>
  <c r="U227" i="61"/>
  <c r="U219" i="61"/>
  <c r="U211" i="61"/>
  <c r="U203" i="61"/>
  <c r="U196" i="61"/>
  <c r="U188" i="61"/>
  <c r="U182" i="61"/>
  <c r="U176" i="61"/>
  <c r="U171" i="61"/>
  <c r="U164" i="61"/>
  <c r="U158" i="61"/>
  <c r="U153" i="61"/>
  <c r="U148" i="61"/>
  <c r="U145" i="61"/>
  <c r="U140" i="61"/>
  <c r="U126" i="61"/>
  <c r="U121" i="61"/>
  <c r="U116" i="61"/>
  <c r="U105" i="61"/>
  <c r="U94" i="61"/>
  <c r="U84" i="61"/>
  <c r="U78" i="61"/>
  <c r="U73" i="61"/>
  <c r="U62" i="61"/>
  <c r="U57" i="61"/>
  <c r="U42" i="61"/>
  <c r="U34" i="61"/>
  <c r="U23" i="61"/>
  <c r="U15" i="61"/>
  <c r="U333" i="61"/>
  <c r="U318" i="61"/>
  <c r="U302" i="61"/>
  <c r="U285" i="61"/>
  <c r="U284" i="61"/>
  <c r="U259" i="61"/>
  <c r="U250" i="61"/>
  <c r="U234" i="61"/>
  <c r="U218" i="61"/>
  <c r="U202" i="61"/>
  <c r="U186" i="61"/>
  <c r="U180" i="61"/>
  <c r="U170" i="61"/>
  <c r="U162" i="61"/>
  <c r="U152" i="61"/>
  <c r="U144" i="61"/>
  <c r="U130" i="61"/>
  <c r="U120" i="61"/>
  <c r="U109" i="61"/>
  <c r="U104" i="61"/>
  <c r="U93" i="61"/>
  <c r="U82" i="61"/>
  <c r="U77" i="61"/>
  <c r="U66" i="61"/>
  <c r="U56" i="61"/>
  <c r="U45" i="61"/>
  <c r="U37" i="61"/>
  <c r="U26" i="61"/>
  <c r="U22" i="61"/>
  <c r="U33" i="61"/>
  <c r="U18" i="61"/>
  <c r="U30" i="61"/>
  <c r="U14" i="61"/>
  <c r="U11" i="61"/>
  <c r="U265" i="61"/>
  <c r="D19" i="88"/>
  <c r="D21" i="88"/>
  <c r="D26" i="88"/>
  <c r="D28" i="88"/>
  <c r="D12" i="88"/>
  <c r="D18" i="88"/>
  <c r="D20" i="88"/>
  <c r="D33" i="88"/>
  <c r="D41" i="88"/>
  <c r="R58" i="59"/>
  <c r="R53" i="59"/>
  <c r="R49" i="59"/>
  <c r="R45" i="59"/>
  <c r="R41" i="59"/>
  <c r="R36" i="59"/>
  <c r="R32" i="59"/>
  <c r="R28" i="59"/>
  <c r="R23" i="59"/>
  <c r="R19" i="59"/>
  <c r="R15" i="59"/>
  <c r="R11" i="59"/>
  <c r="R48" i="59"/>
  <c r="R40" i="59"/>
  <c r="R31" i="59"/>
  <c r="R22" i="59"/>
  <c r="R18" i="59"/>
  <c r="R51" i="59"/>
  <c r="R47" i="59"/>
  <c r="R43" i="59"/>
  <c r="R34" i="59"/>
  <c r="R30" i="59"/>
  <c r="R21" i="59"/>
  <c r="R13" i="59"/>
  <c r="R54" i="59"/>
  <c r="R50" i="59"/>
  <c r="R42" i="59"/>
  <c r="R33" i="59"/>
  <c r="R24" i="59"/>
  <c r="R20" i="59"/>
  <c r="R12" i="59"/>
  <c r="R57" i="59"/>
  <c r="R52" i="59"/>
  <c r="R44" i="59"/>
  <c r="R35" i="59"/>
  <c r="R27" i="59"/>
  <c r="R14" i="59"/>
  <c r="R55" i="59"/>
  <c r="R38" i="59"/>
  <c r="R25" i="59"/>
  <c r="R17" i="59"/>
  <c r="R59" i="59"/>
  <c r="R46" i="59"/>
  <c r="R37" i="59"/>
  <c r="R29" i="59"/>
  <c r="R16" i="59"/>
  <c r="D40" i="88"/>
  <c r="D31" i="88"/>
  <c r="D42" i="88"/>
  <c r="D16" i="88"/>
  <c r="D35" i="88"/>
  <c r="D23" i="88"/>
  <c r="D27" i="88"/>
  <c r="D29" i="88"/>
  <c r="D10" i="88"/>
  <c r="D37" i="88"/>
  <c r="D11" i="88"/>
  <c r="D24" i="88"/>
  <c r="D34" i="88"/>
  <c r="D15" i="88"/>
  <c r="D17" i="88"/>
  <c r="D38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4">
    <s v="Migdal Hashkaot Neches Boded"/>
    <s v="{[Time].[Hie Time].[Yom].&amp;[20200331]}"/>
    <s v="{[Medida].[Medida].&amp;[2]}"/>
    <s v="{[Keren].[Keren].[All]}"/>
    <s v="{[Cheshbon KM].[Hie Peilut].[Peilut 7].&amp;[Kod_Peilut_L7_306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Neches].&amp;[9999939]&amp;[-1]"/>
    <s v="[Measures].[c_Shaar_Acharon]"/>
    <s v="#,#.0000"/>
    <s v="[Neches].[Neches].&amp;[9999814]&amp;[-1]"/>
    <s v="[Neches].[Neches].&amp;[9999855]&amp;[-1]"/>
    <s v="[Neches].[Neches].&amp;[9999756]&amp;[-1]"/>
    <s v="[Neches].[Neches].&amp;[9999921]&amp;[-1]"/>
    <s v="[Neches].[Neches].&amp;[9999715]&amp;[-1]"/>
    <s v="[Neches].[Neches].&amp;[9999749]&amp;[-1]"/>
  </metadataStrings>
  <mdxMetadata count="2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3" si="17">
        <n x="1" s="1"/>
        <n x="15"/>
        <n x="16"/>
      </t>
    </mdx>
    <mdx n="0" f="v">
      <t c="3" si="17">
        <n x="1" s="1"/>
        <n x="18"/>
        <n x="16"/>
      </t>
    </mdx>
    <mdx n="0" f="v">
      <t c="3" si="17">
        <n x="1" s="1"/>
        <n x="19"/>
        <n x="16"/>
      </t>
    </mdx>
    <mdx n="0" f="v">
      <t c="3" si="17">
        <n x="1" s="1"/>
        <n x="20"/>
        <n x="16"/>
      </t>
    </mdx>
    <mdx n="0" f="v">
      <t c="3" si="17">
        <n x="1" s="1"/>
        <n x="21"/>
        <n x="16"/>
      </t>
    </mdx>
    <mdx n="0" f="v">
      <t c="3" si="17">
        <n x="1" s="1"/>
        <n x="22"/>
        <n x="16"/>
      </t>
    </mdx>
    <mdx n="0" f="v">
      <t c="3" si="17">
        <n x="1" s="1"/>
        <n x="23"/>
        <n x="16"/>
      </t>
    </mdx>
  </mdxMetadata>
  <valueMetadata count="2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</valueMetadata>
</metadata>
</file>

<file path=xl/sharedStrings.xml><?xml version="1.0" encoding="utf-8"?>
<sst xmlns="http://schemas.openxmlformats.org/spreadsheetml/2006/main" count="11724" uniqueCount="3497">
  <si>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</si>
  <si>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</si>
  <si>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</si>
  <si>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</si>
  <si>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</si>
  <si>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</si>
  <si>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</si>
  <si>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</si>
  <si>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</si>
  <si>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</si>
  <si>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</si>
  <si>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</si>
  <si>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</si>
  <si>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</si>
  <si>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</si>
  <si>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</si>
  <si>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</si>
  <si>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</si>
  <si>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</si>
  <si>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</si>
  <si>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</si>
  <si>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</si>
  <si>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</si>
  <si>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</si>
  <si>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</si>
  <si>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</si>
  <si>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</si>
  <si>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</si>
  <si>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</si>
  <si>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</si>
  <si>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</si>
  <si>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</si>
  <si>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</si>
  <si>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</si>
  <si>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</si>
  <si>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</si>
  <si>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</si>
  <si>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</si>
  <si>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</si>
  <si>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</si>
  <si>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</si>
  <si>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</si>
  <si>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</si>
  <si>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</si>
  <si>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</si>
  <si>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</si>
  <si>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</si>
  <si>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</si>
  <si>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</si>
  <si>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</si>
  <si>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</si>
  <si>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</si>
  <si>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</si>
  <si>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</si>
  <si>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</si>
  <si>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</si>
  <si>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</si>
  <si>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</si>
  <si>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</si>
  <si>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</si>
  <si>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</si>
  <si>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</si>
  <si>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</si>
  <si>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</si>
  <si>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</si>
  <si>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</si>
  <si>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</si>
  <si>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</si>
  <si>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</si>
  <si>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</si>
  <si>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</si>
  <si>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</si>
  <si>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</si>
  <si>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</si>
  <si>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</si>
  <si>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</si>
  <si>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</si>
  <si>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</si>
  <si>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</si>
  <si>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</si>
  <si>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</si>
  <si>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</si>
  <si>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</si>
  <si>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</si>
  <si>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</si>
  <si>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</si>
  <si>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</si>
  <si>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</si>
  <si>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</si>
  <si>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</si>
  <si>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</si>
  <si>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</si>
  <si>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</si>
  <si>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</si>
  <si>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</si>
  <si>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</si>
  <si>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</si>
  <si>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</si>
  <si>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</si>
  <si>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</si>
  <si>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</si>
  <si>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</si>
  <si>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</si>
  <si>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</si>
  <si>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</si>
  <si>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</si>
  <si>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</si>
  <si>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</si>
  <si>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</si>
  <si>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</si>
  <si>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</si>
  <si>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</si>
  <si>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</si>
  <si>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</si>
  <si>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</si>
  <si>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</si>
  <si>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</si>
  <si>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</si>
  <si>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</si>
  <si>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</si>
  <si>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</si>
  <si>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</si>
  <si>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</si>
  <si>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</si>
  <si>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</si>
  <si>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</si>
  <si>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</si>
  <si>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</si>
  <si>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</si>
  <si>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</si>
  <si>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</si>
  <si>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</si>
  <si>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</si>
  <si>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</si>
  <si>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</si>
  <si>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</si>
  <si>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</si>
  <si>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</si>
  <si>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</si>
  <si>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</si>
  <si>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</si>
  <si>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</si>
  <si>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</si>
  <si>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</si>
  <si>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</si>
  <si>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</si>
  <si>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</si>
  <si>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</si>
  <si>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</si>
  <si>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</si>
  <si>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</si>
  <si>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</si>
  <si>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</si>
  <si>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</si>
  <si>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</si>
  <si>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</si>
  <si>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</si>
  <si>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</si>
  <si>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</si>
  <si>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</si>
  <si>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</si>
  <si>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</si>
  <si>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</si>
  <si>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</si>
  <si>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</si>
  <si>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</si>
  <si>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</si>
  <si>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</si>
  <si>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</si>
  <si>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</si>
  <si>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</si>
  <si>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</si>
  <si>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</si>
  <si>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</si>
  <si>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</si>
  <si>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</si>
  <si>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</si>
  <si>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</si>
  <si>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</si>
  <si>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</si>
  <si>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</si>
  <si>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</si>
  <si>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</si>
  <si>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</si>
  <si>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</si>
  <si>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</si>
  <si>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</si>
  <si>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</si>
  <si>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</si>
  <si>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</si>
  <si>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</si>
  <si>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</si>
  <si>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</si>
  <si>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</si>
  <si>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</si>
  <si>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</si>
  <si>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</si>
  <si>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</si>
  <si>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</si>
  <si>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</si>
  <si>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</si>
  <si>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</si>
  <si>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</si>
  <si>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</si>
  <si>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</si>
  <si>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</si>
  <si>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</si>
  <si>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</si>
  <si>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</si>
  <si>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</si>
  <si>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</si>
  <si>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</si>
  <si>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</si>
  <si>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</si>
  <si>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</si>
  <si>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</si>
  <si>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</si>
  <si>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</si>
  <si>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</si>
  <si>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</si>
  <si>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</si>
  <si>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</si>
  <si>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</si>
  <si>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</si>
  <si>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</si>
  <si>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</si>
  <si>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</si>
  <si>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</si>
  <si>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</si>
  <si>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</si>
  <si>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</si>
  <si>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</si>
  <si>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</si>
  <si>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</si>
  <si>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</si>
  <si>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</si>
  <si>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</si>
  <si>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</si>
  <si>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</si>
  <si>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</si>
  <si>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</si>
  <si>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</si>
  <si>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</si>
  <si>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</si>
  <si>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</si>
  <si>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</si>
  <si>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</si>
  <si>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</si>
  <si>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</si>
  <si>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</si>
  <si>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</si>
  <si>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</si>
  <si>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</si>
  <si>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</si>
  <si>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</si>
  <si>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</si>
  <si>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</si>
  <si>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</si>
  <si>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</si>
  <si>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</si>
  <si>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</si>
  <si>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</si>
  <si>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</si>
  <si>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</si>
  <si>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</si>
  <si>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</si>
  <si>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</si>
  <si>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</si>
  <si>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</si>
  <si>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</si>
  <si>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31/03/2020</t>
  </si>
  <si>
    <t>מגדל מקפת קרנות פנסיה וקופות גמל בע"מ</t>
  </si>
  <si>
    <t>מגדל מקפת אישית (מספר אוצר 162) - מסלול כללי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</si>
  <si>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</si>
  <si>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</si>
  <si>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</si>
  <si>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</si>
  <si>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</si>
  <si>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</si>
  <si>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</si>
  <si>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</si>
  <si>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</si>
  <si>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</si>
  <si>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</si>
  <si>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</si>
  <si>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</si>
  <si>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</si>
  <si>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</si>
  <si>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</si>
  <si>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</si>
  <si>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</si>
  <si>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</si>
  <si>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</si>
  <si>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</si>
  <si>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</si>
  <si>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</si>
  <si>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</si>
  <si>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</si>
  <si>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</si>
  <si>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</si>
  <si>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</si>
  <si>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</si>
  <si>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</si>
  <si>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</si>
  <si>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</si>
  <si>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</si>
  <si>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420</t>
  </si>
  <si>
    <t>8200420</t>
  </si>
  <si>
    <t>מקמ 510</t>
  </si>
  <si>
    <t>8200511</t>
  </si>
  <si>
    <t>מקמ 610</t>
  </si>
  <si>
    <t>8200610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</si>
  <si>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</si>
  <si>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</si>
  <si>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</si>
  <si>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</si>
  <si>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</si>
  <si>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</si>
  <si>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</si>
  <si>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</si>
  <si>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</si>
  <si>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</si>
  <si>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</si>
  <si>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</si>
  <si>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</si>
  <si>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</si>
  <si>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</si>
  <si>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</si>
  <si>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</si>
  <si>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</si>
  <si>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</si>
  <si>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</si>
  <si>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</si>
  <si>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</si>
  <si>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</si>
  <si>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</si>
  <si>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</si>
  <si>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</si>
  <si>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</si>
  <si>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</si>
  <si>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</si>
  <si>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</si>
  <si>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</si>
  <si>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</si>
  <si>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</si>
  <si>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</si>
  <si>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</si>
  <si>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</si>
  <si>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</si>
  <si>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</si>
  <si>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</si>
  <si>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</si>
  <si>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</si>
  <si>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</si>
  <si>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</si>
  <si>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</si>
  <si>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</si>
  <si>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</si>
  <si>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</si>
  <si>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</si>
  <si>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</si>
  <si>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</si>
  <si>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</si>
  <si>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</si>
  <si>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</si>
  <si>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</si>
  <si>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</si>
  <si>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</si>
  <si>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</si>
  <si>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</si>
  <si>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</si>
  <si>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</si>
  <si>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</si>
  <si>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</si>
  <si>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</si>
  <si>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</si>
  <si>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</si>
  <si>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</si>
  <si>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</si>
  <si>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</si>
  <si>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</si>
  <si>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</si>
  <si>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</si>
  <si>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</si>
  <si>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</si>
  <si>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</si>
  <si>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</si>
  <si>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</si>
  <si>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</si>
  <si>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</si>
  <si>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</si>
  <si>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</si>
  <si>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</si>
  <si>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</si>
  <si>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</si>
  <si>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מניבים ריט אגח ב</t>
  </si>
  <si>
    <t>1155928</t>
  </si>
  <si>
    <t>515327120</t>
  </si>
  <si>
    <t>מקורות אגח 10</t>
  </si>
  <si>
    <t>1158468</t>
  </si>
  <si>
    <t>520010869</t>
  </si>
  <si>
    <t>מקורות אגח 11</t>
  </si>
  <si>
    <t>1158476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</si>
  <si>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</si>
  <si>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</si>
  <si>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</si>
  <si>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</si>
  <si>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</si>
  <si>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</si>
  <si>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</si>
  <si>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</si>
  <si>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</si>
  <si>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</si>
  <si>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</si>
  <si>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</si>
  <si>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</si>
  <si>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</si>
  <si>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</si>
  <si>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</si>
  <si>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</si>
  <si>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</si>
  <si>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</si>
  <si>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</si>
  <si>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</si>
  <si>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</si>
  <si>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</si>
  <si>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</si>
  <si>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</si>
  <si>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</si>
  <si>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</si>
  <si>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</si>
  <si>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</si>
  <si>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</si>
  <si>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</si>
  <si>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</si>
  <si>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</si>
  <si>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</si>
  <si>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</si>
  <si>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</si>
  <si>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</si>
  <si>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</si>
  <si>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</si>
  <si>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</si>
  <si>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</si>
  <si>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</si>
  <si>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</si>
  <si>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</si>
  <si>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</si>
  <si>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</si>
  <si>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</si>
  <si>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</si>
  <si>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</si>
  <si>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</si>
  <si>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</si>
  <si>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</si>
  <si>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</si>
  <si>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</si>
  <si>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</si>
  <si>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</si>
  <si>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</si>
  <si>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</si>
  <si>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</si>
  <si>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</si>
  <si>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</si>
  <si>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</si>
  <si>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</si>
  <si>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</si>
  <si>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</si>
  <si>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</si>
  <si>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</si>
  <si>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</si>
  <si>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</si>
  <si>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</si>
  <si>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</si>
  <si>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</si>
  <si>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</si>
  <si>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</si>
  <si>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</si>
  <si>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</si>
  <si>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</si>
  <si>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</si>
  <si>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</si>
  <si>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</si>
  <si>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</si>
  <si>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</si>
  <si>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</si>
  <si>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</si>
  <si>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</si>
  <si>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</si>
  <si>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</si>
  <si>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</si>
  <si>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</si>
  <si>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</si>
  <si>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</si>
  <si>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</si>
  <si>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</si>
  <si>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</si>
  <si>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</si>
  <si>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</si>
  <si>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</si>
  <si>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</si>
  <si>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</si>
  <si>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</si>
  <si>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</si>
  <si>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</si>
  <si>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</si>
  <si>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</si>
  <si>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</si>
  <si>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</si>
  <si>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</si>
  <si>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</si>
  <si>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</si>
  <si>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</si>
  <si>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</si>
  <si>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</si>
  <si>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</si>
  <si>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</si>
  <si>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</si>
  <si>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</si>
  <si>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</si>
  <si>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</si>
  <si>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</si>
  <si>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</si>
  <si>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</si>
  <si>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</si>
  <si>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</si>
  <si>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</si>
  <si>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</si>
  <si>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</si>
  <si>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</si>
  <si>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</si>
  <si>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</si>
  <si>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</si>
  <si>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</si>
  <si>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</si>
  <si>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</si>
  <si>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</si>
  <si>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</si>
  <si>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</si>
  <si>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</si>
  <si>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ד*</t>
  </si>
  <si>
    <t>7770191</t>
  </si>
  <si>
    <t>520022732</t>
  </si>
  <si>
    <t>שופרסל אגח ו*</t>
  </si>
  <si>
    <t>7770217</t>
  </si>
  <si>
    <t>אדמה לשעבר מכתשים אגן ב</t>
  </si>
  <si>
    <t>1110915</t>
  </si>
  <si>
    <t>520043605</t>
  </si>
  <si>
    <t>כימיה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</si>
  <si>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</si>
  <si>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</si>
  <si>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</si>
  <si>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</si>
  <si>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</si>
  <si>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</si>
  <si>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</si>
  <si>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</si>
  <si>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</si>
  <si>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</si>
  <si>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</si>
  <si>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</si>
  <si>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</si>
  <si>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</si>
  <si>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</si>
  <si>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</si>
  <si>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</si>
  <si>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</si>
  <si>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</si>
  <si>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</si>
  <si>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</si>
  <si>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</si>
  <si>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</si>
  <si>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</si>
  <si>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</si>
  <si>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</si>
  <si>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</si>
  <si>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</si>
  <si>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</si>
  <si>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</si>
  <si>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</si>
  <si>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</si>
  <si>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</si>
  <si>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</si>
  <si>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</si>
  <si>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</si>
  <si>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</si>
  <si>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</si>
  <si>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</si>
  <si>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</si>
  <si>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</si>
  <si>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</si>
  <si>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</si>
  <si>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</si>
  <si>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</si>
  <si>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</si>
  <si>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</si>
  <si>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</si>
  <si>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</si>
  <si>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</si>
  <si>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</si>
  <si>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</si>
  <si>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</si>
  <si>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</si>
  <si>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</si>
  <si>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</si>
  <si>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</si>
  <si>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</si>
  <si>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</si>
  <si>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</si>
  <si>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</si>
  <si>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</si>
  <si>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</si>
  <si>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</si>
  <si>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</si>
  <si>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</si>
  <si>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</si>
  <si>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</si>
  <si>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</si>
  <si>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</si>
  <si>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</si>
  <si>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</si>
  <si>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</si>
  <si>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</si>
  <si>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</si>
  <si>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</si>
  <si>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</si>
  <si>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</si>
  <si>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</si>
  <si>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</si>
  <si>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</si>
  <si>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</si>
  <si>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</si>
  <si>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</si>
  <si>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</si>
  <si>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</si>
  <si>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</si>
  <si>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</si>
  <si>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</si>
  <si>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</si>
  <si>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</si>
  <si>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</si>
  <si>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</si>
  <si>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</si>
  <si>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</si>
  <si>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</si>
  <si>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</si>
  <si>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</si>
  <si>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</si>
  <si>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</si>
  <si>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</si>
  <si>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</si>
  <si>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</si>
  <si>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</si>
  <si>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</si>
  <si>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</si>
  <si>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</si>
  <si>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</si>
  <si>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</si>
  <si>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</si>
  <si>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</si>
  <si>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</si>
  <si>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</si>
  <si>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</si>
  <si>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</si>
  <si>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</si>
  <si>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</si>
  <si>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</si>
  <si>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</si>
  <si>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</si>
  <si>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</si>
  <si>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</si>
  <si>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</si>
  <si>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</si>
  <si>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</si>
  <si>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</si>
  <si>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</si>
  <si>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</si>
  <si>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</si>
  <si>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</si>
  <si>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</si>
  <si>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</si>
  <si>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</si>
  <si>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</si>
  <si>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</si>
  <si>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</si>
  <si>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</si>
  <si>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</si>
  <si>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</si>
  <si>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</si>
  <si>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</si>
  <si>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</si>
  <si>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</si>
  <si>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</si>
  <si>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</si>
  <si>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</si>
  <si>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</si>
  <si>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</si>
  <si>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</si>
  <si>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</si>
  <si>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</t>
  </si>
  <si>
    <t>1132828</t>
  </si>
  <si>
    <t>511930125</t>
  </si>
  <si>
    <t>אדגר אגח ט</t>
  </si>
  <si>
    <t>1820190</t>
  </si>
  <si>
    <t>520035171</t>
  </si>
  <si>
    <t>A3.il</t>
  </si>
  <si>
    <t>אפריקה נכסים 6</t>
  </si>
  <si>
    <t>1129550</t>
  </si>
  <si>
    <t>510560188</t>
  </si>
  <si>
    <t>בזן.ק1</t>
  </si>
  <si>
    <t>2590255</t>
  </si>
  <si>
    <t>520036658</t>
  </si>
  <si>
    <t>ilA-</t>
  </si>
  <si>
    <t>דה לסר אגח 3</t>
  </si>
  <si>
    <t>1127299</t>
  </si>
  <si>
    <t>1427976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</si>
  <si>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</si>
  <si>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</si>
  <si>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</si>
  <si>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</si>
  <si>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</si>
  <si>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</si>
  <si>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</si>
  <si>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מניבים ריט אגח א</t>
  </si>
  <si>
    <t>1140581</t>
  </si>
  <si>
    <t>NR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</si>
  <si>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</si>
  <si>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</si>
  <si>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</si>
  <si>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</si>
  <si>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</si>
  <si>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</si>
  <si>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</si>
  <si>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</si>
  <si>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</si>
  <si>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</si>
  <si>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</si>
  <si>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</si>
  <si>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</si>
  <si>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</si>
  <si>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</si>
  <si>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</si>
  <si>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</si>
  <si>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</si>
  <si>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</si>
  <si>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</si>
  <si>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</si>
  <si>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</si>
  <si>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</si>
  <si>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</si>
  <si>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</si>
  <si>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</si>
  <si>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</si>
  <si>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</si>
  <si>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</si>
  <si>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</si>
  <si>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</si>
  <si>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</si>
  <si>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</si>
  <si>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</si>
  <si>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</si>
  <si>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</si>
  <si>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</si>
  <si>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</si>
  <si>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</si>
  <si>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</si>
  <si>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</si>
  <si>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</si>
  <si>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</si>
  <si>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</si>
  <si>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</si>
  <si>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</si>
  <si>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כיל אגח ז</t>
  </si>
  <si>
    <t>2810372</t>
  </si>
  <si>
    <t>520027830</t>
  </si>
  <si>
    <t>כיל ה</t>
  </si>
  <si>
    <t>2810299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</si>
  <si>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</si>
  <si>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</si>
  <si>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</si>
  <si>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</si>
  <si>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</si>
  <si>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</si>
  <si>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</si>
  <si>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</si>
  <si>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</si>
  <si>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</si>
  <si>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</si>
  <si>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</si>
  <si>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</si>
  <si>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</si>
  <si>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</si>
  <si>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</si>
  <si>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</si>
  <si>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</si>
  <si>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</si>
  <si>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</si>
  <si>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</si>
  <si>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</si>
  <si>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</si>
  <si>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</si>
  <si>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</si>
  <si>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</si>
  <si>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</si>
  <si>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</si>
  <si>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</si>
  <si>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</si>
  <si>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</si>
  <si>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</si>
  <si>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</si>
  <si>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</si>
  <si>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</si>
  <si>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</si>
  <si>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</si>
  <si>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</si>
  <si>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</si>
  <si>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</si>
  <si>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</si>
  <si>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</si>
  <si>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</si>
  <si>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</si>
  <si>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</si>
  <si>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</si>
  <si>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</si>
  <si>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</si>
  <si>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</si>
  <si>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</si>
  <si>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</si>
  <si>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</si>
  <si>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</si>
  <si>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</si>
  <si>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</si>
  <si>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</si>
  <si>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</si>
  <si>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</si>
  <si>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</si>
  <si>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</si>
  <si>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</si>
  <si>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</si>
  <si>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</si>
  <si>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</si>
  <si>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</si>
  <si>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</si>
  <si>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</si>
  <si>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</si>
  <si>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</si>
  <si>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</si>
  <si>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</si>
  <si>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</si>
  <si>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</si>
  <si>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</si>
  <si>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</si>
  <si>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</si>
  <si>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</si>
  <si>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</si>
  <si>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</si>
  <si>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</si>
  <si>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</si>
  <si>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</si>
  <si>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</si>
  <si>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</si>
  <si>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</si>
  <si>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</si>
  <si>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</si>
  <si>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</si>
  <si>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</si>
  <si>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</si>
  <si>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</si>
  <si>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</si>
  <si>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</si>
  <si>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</si>
  <si>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</si>
  <si>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</si>
  <si>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</si>
  <si>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</si>
  <si>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</si>
  <si>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</si>
  <si>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</si>
  <si>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</si>
  <si>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</si>
  <si>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</si>
  <si>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</si>
  <si>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</si>
  <si>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</si>
  <si>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</si>
  <si>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</si>
  <si>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</si>
  <si>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</si>
  <si>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</si>
  <si>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</si>
  <si>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</si>
  <si>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</si>
  <si>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</si>
  <si>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</si>
  <si>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</si>
  <si>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</si>
  <si>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איי די איי הנפקות 4</t>
  </si>
  <si>
    <t>1133099</t>
  </si>
  <si>
    <t>513910703</t>
  </si>
  <si>
    <t>איי די איי הנפקות 5</t>
  </si>
  <si>
    <t>1155878</t>
  </si>
  <si>
    <t>אנרג'יקס אגח א*</t>
  </si>
  <si>
    <t>1161751</t>
  </si>
  <si>
    <t>513901371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</si>
  <si>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</si>
  <si>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</si>
  <si>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</si>
  <si>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</si>
  <si>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</si>
  <si>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</si>
  <si>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</si>
  <si>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</si>
  <si>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</si>
  <si>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אנלייט אגח ו*</t>
  </si>
  <si>
    <t>7200173</t>
  </si>
  <si>
    <t>520041146</t>
  </si>
  <si>
    <t>בזן אגח 4</t>
  </si>
  <si>
    <t>2590362</t>
  </si>
  <si>
    <t>בזן אגח ה</t>
  </si>
  <si>
    <t>2590388</t>
  </si>
  <si>
    <t>בזן אגח י</t>
  </si>
  <si>
    <t>2590511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</si>
  <si>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</si>
  <si>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</si>
  <si>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</si>
  <si>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</si>
  <si>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</si>
  <si>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</si>
  <si>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</si>
  <si>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LUMIIT 3.275 01/31 01/26</t>
  </si>
  <si>
    <t>Baa2</t>
  </si>
  <si>
    <t>Moodys</t>
  </si>
  <si>
    <t>רילייטד אגח א</t>
  </si>
  <si>
    <t>1134923</t>
  </si>
  <si>
    <t>1849766</t>
  </si>
  <si>
    <t>ilBBB</t>
  </si>
  <si>
    <t>אנלייט אגח ה*</t>
  </si>
  <si>
    <t>7200116</t>
  </si>
  <si>
    <t>ישראמקו א*</t>
  </si>
  <si>
    <t>2320174</t>
  </si>
  <si>
    <t>550010003</t>
  </si>
  <si>
    <t>דלק קידוחים אגח א*</t>
  </si>
  <si>
    <t>4750089</t>
  </si>
  <si>
    <t>550013098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</si>
  <si>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</si>
  <si>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</si>
  <si>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</si>
  <si>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</si>
  <si>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</si>
  <si>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</si>
  <si>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</si>
  <si>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בזן אגח ט</t>
  </si>
  <si>
    <t>2590461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</si>
  <si>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</si>
  <si>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</si>
  <si>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</si>
  <si>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</si>
  <si>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</si>
  <si>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</si>
  <si>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</si>
  <si>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</si>
  <si>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</si>
  <si>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</si>
  <si>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</si>
  <si>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</si>
  <si>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</si>
  <si>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</si>
  <si>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</si>
  <si>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</si>
  <si>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</si>
  <si>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</si>
  <si>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</si>
  <si>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</si>
  <si>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INTEL 4.75 03/50</t>
  </si>
  <si>
    <t>US458140BM12</t>
  </si>
  <si>
    <t>Semiconductors &amp; Semiconductor Equipment</t>
  </si>
  <si>
    <t>INTEL 4.95 03/60</t>
  </si>
  <si>
    <t>US458140BN94</t>
  </si>
  <si>
    <t>Coca Cola 4.2 03/50</t>
  </si>
  <si>
    <t>US191216CQ13</t>
  </si>
  <si>
    <t>Food Beverage &amp; Tobacco</t>
  </si>
  <si>
    <t>A</t>
  </si>
  <si>
    <t>Walt Disney 4.7 03/2050</t>
  </si>
  <si>
    <t>US254687FS06</t>
  </si>
  <si>
    <t>Media</t>
  </si>
  <si>
    <t>BAXTER INTER 3.95 04/30</t>
  </si>
  <si>
    <t>US071813BW82</t>
  </si>
  <si>
    <t>Health Care Equipment &amp; Services</t>
  </si>
  <si>
    <t>A-</t>
  </si>
  <si>
    <t>COSCAST 3.75 04/40</t>
  </si>
  <si>
    <t>US20030NDH17</t>
  </si>
  <si>
    <t>SRENVX 4.5 24/44</t>
  </si>
  <si>
    <t>XS1108784510</t>
  </si>
  <si>
    <t>Insurance</t>
  </si>
  <si>
    <t>ZURNVX 5.125 06/48</t>
  </si>
  <si>
    <t>XS1795323952</t>
  </si>
  <si>
    <t>NAB 3.933 08/2034 08/29</t>
  </si>
  <si>
    <t>USG6S94TAB96</t>
  </si>
  <si>
    <t>Banks</t>
  </si>
  <si>
    <t>BBB+</t>
  </si>
  <si>
    <t>WESTPAC BANKING 4.11 07/34 07/29</t>
  </si>
  <si>
    <t>US961214EF61</t>
  </si>
  <si>
    <t>ABBVIE 4.45 05/46 06/46</t>
  </si>
  <si>
    <t>US00287YAW93</t>
  </si>
  <si>
    <t>ABIBB 5.55 01/49</t>
  </si>
  <si>
    <t>US03523TBV98</t>
  </si>
  <si>
    <t>BBB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</si>
  <si>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</si>
  <si>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</si>
  <si>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</si>
  <si>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</si>
  <si>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</si>
  <si>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</si>
  <si>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</si>
  <si>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</si>
  <si>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</si>
  <si>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</si>
  <si>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</si>
  <si>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</si>
  <si>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</si>
  <si>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</si>
  <si>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AFLAC 3.6 04/30</t>
  </si>
  <si>
    <t>US001055BJ00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</si>
  <si>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</si>
  <si>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</si>
  <si>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</si>
  <si>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</si>
  <si>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</si>
  <si>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</si>
  <si>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</si>
  <si>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CROWN CASTLE 3.3 07/30</t>
  </si>
  <si>
    <t>US22822VAR24</t>
  </si>
  <si>
    <t>Real Estate</t>
  </si>
  <si>
    <t>DELL 5.3 01/29</t>
  </si>
  <si>
    <t>US24703DBA81</t>
  </si>
  <si>
    <t>Technology Hardware &amp; Equipment</t>
  </si>
  <si>
    <t>ETP 5.25 04/29</t>
  </si>
  <si>
    <t>US29278NAG88</t>
  </si>
  <si>
    <t>FSK 4.125 02/25</t>
  </si>
  <si>
    <t>US302635AE72</t>
  </si>
  <si>
    <t>Diversified Financials</t>
  </si>
  <si>
    <t>GOLDMAN SACHS 3.75 02/25 01/25</t>
  </si>
  <si>
    <t>US38147UAC18</t>
  </si>
  <si>
    <t>MERCK 2.875 06/29 06/79</t>
  </si>
  <si>
    <t>XS2011260705</t>
  </si>
  <si>
    <t>Pharmaceuticals &amp; Biotechnology</t>
  </si>
  <si>
    <t>Baa3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</si>
  <si>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</si>
  <si>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</si>
  <si>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</si>
  <si>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</si>
  <si>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</si>
  <si>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</si>
  <si>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OWL ROCK 3.75 07/25</t>
  </si>
  <si>
    <t>US69121KAC80</t>
  </si>
  <si>
    <t>SYSCO CORP 5.95 04/30</t>
  </si>
  <si>
    <t>US871829BL07</t>
  </si>
  <si>
    <t>Food &amp; Staples Retailing</t>
  </si>
  <si>
    <t>TRPCN 5.3 03/77</t>
  </si>
  <si>
    <t>US89356BAC28</t>
  </si>
  <si>
    <t>UTILITIES</t>
  </si>
  <si>
    <t>TRPCN 5.875 08/76</t>
  </si>
  <si>
    <t>US89356BAB45</t>
  </si>
  <si>
    <t>VW 4.625 PERP 06/28</t>
  </si>
  <si>
    <t>XS1799939027</t>
  </si>
  <si>
    <t>Automobiles &amp; Components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</si>
  <si>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</si>
  <si>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</si>
  <si>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</si>
  <si>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</si>
  <si>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</si>
  <si>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</si>
  <si>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</si>
  <si>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</si>
  <si>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</si>
  <si>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</si>
  <si>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</si>
  <si>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</si>
  <si>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CTXS 4.5 12/27</t>
  </si>
  <si>
    <t>US177376AE06</t>
  </si>
  <si>
    <t>ENBCN 6 01/27 01/77</t>
  </si>
  <si>
    <t>US29250NAN57</t>
  </si>
  <si>
    <t>HESM 5.125 06/28</t>
  </si>
  <si>
    <t>US428104AA14</t>
  </si>
  <si>
    <t>HOLCIM FIN 3 07/24</t>
  </si>
  <si>
    <t>XS1713466495</t>
  </si>
  <si>
    <t>MATERIALS</t>
  </si>
  <si>
    <t>PETROLEOS MEXICANOS 6.49 1/27 11/26</t>
  </si>
  <si>
    <t>USP78625DW03</t>
  </si>
  <si>
    <t>RBS 3.754 11/01/29 11/24</t>
  </si>
  <si>
    <t>US780097BM20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</si>
  <si>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</si>
  <si>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</si>
  <si>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</si>
  <si>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</si>
  <si>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</si>
  <si>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</si>
  <si>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</si>
  <si>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</si>
  <si>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</si>
  <si>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</si>
  <si>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</si>
  <si>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</si>
  <si>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</si>
  <si>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</si>
  <si>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</si>
  <si>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</si>
  <si>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</si>
  <si>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</si>
  <si>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</si>
  <si>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</si>
  <si>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</si>
  <si>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</si>
  <si>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</si>
  <si>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</si>
  <si>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</si>
  <si>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</si>
  <si>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</si>
  <si>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HCA 5.875 02/29</t>
  </si>
  <si>
    <t>US404119BW86</t>
  </si>
  <si>
    <t>NGLS 6.5 07/27</t>
  </si>
  <si>
    <t>US87612BBL53</t>
  </si>
  <si>
    <t>NGLS 6.875 01/29</t>
  </si>
  <si>
    <t>US87612BBN10</t>
  </si>
  <si>
    <t>SIRIUS 4.625 07/24</t>
  </si>
  <si>
    <t>US82967NBE76</t>
  </si>
  <si>
    <t>Commercial &amp; Professional Services</t>
  </si>
  <si>
    <t>SIRIUS XM 4.625 05/23 05/18</t>
  </si>
  <si>
    <t>US82967NAL29</t>
  </si>
  <si>
    <t>UNITED RENTALS NORTH 4 07/30</t>
  </si>
  <si>
    <t>US911365BN33</t>
  </si>
  <si>
    <t>Capital Goods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</si>
  <si>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</si>
  <si>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</si>
  <si>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</si>
  <si>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</si>
  <si>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</si>
  <si>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</si>
  <si>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</si>
  <si>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</si>
  <si>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AIA GROUP 3.375 04/30</t>
  </si>
  <si>
    <t>US00131LAJ44</t>
  </si>
  <si>
    <t>ANHEUSER BUSCH 3.7 04/40</t>
  </si>
  <si>
    <t>BE6320936287</t>
  </si>
  <si>
    <t>FS KKR CAPITAL 4.25 2/25 01/25</t>
  </si>
  <si>
    <t>US30313RAA77</t>
  </si>
  <si>
    <t>GENERAL DYNAMICS 4.25 04/50</t>
  </si>
  <si>
    <t>US369550BJ68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</si>
  <si>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</si>
  <si>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</si>
  <si>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</si>
  <si>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</si>
  <si>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</si>
  <si>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</si>
  <si>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Oracle 3.85 04/60</t>
  </si>
  <si>
    <t>US68389XBY04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</si>
  <si>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</si>
  <si>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</si>
  <si>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</si>
  <si>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</si>
  <si>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</si>
  <si>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</si>
  <si>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</si>
  <si>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</si>
  <si>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</si>
  <si>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</si>
  <si>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</si>
  <si>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</si>
  <si>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</si>
  <si>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</si>
  <si>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</si>
  <si>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</si>
  <si>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</si>
  <si>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</si>
  <si>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</si>
  <si>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</si>
  <si>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</si>
  <si>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</si>
  <si>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</si>
  <si>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</si>
  <si>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</si>
  <si>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</si>
  <si>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</si>
  <si>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</si>
  <si>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</si>
  <si>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</si>
  <si>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</si>
  <si>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</si>
  <si>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</si>
  <si>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</si>
  <si>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</si>
  <si>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</si>
  <si>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</si>
  <si>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כיל</t>
  </si>
  <si>
    <t>281014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</si>
  <si>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</si>
  <si>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</si>
  <si>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</si>
  <si>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</si>
  <si>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</si>
  <si>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</si>
  <si>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</si>
  <si>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</si>
  <si>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</si>
  <si>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</si>
  <si>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</si>
  <si>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</si>
  <si>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</si>
  <si>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</si>
  <si>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</si>
  <si>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</si>
  <si>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</si>
  <si>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</si>
  <si>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</si>
  <si>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</si>
  <si>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</si>
  <si>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</si>
  <si>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</si>
  <si>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</si>
  <si>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</si>
  <si>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</si>
  <si>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</si>
  <si>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</si>
  <si>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</si>
  <si>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</si>
  <si>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</si>
  <si>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</si>
  <si>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</si>
  <si>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</si>
  <si>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</si>
  <si>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</si>
  <si>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</si>
  <si>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</si>
  <si>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</si>
  <si>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</si>
  <si>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</si>
  <si>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</si>
  <si>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</si>
  <si>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</si>
  <si>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</si>
  <si>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</si>
  <si>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</si>
  <si>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</si>
  <si>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</si>
  <si>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</si>
  <si>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</si>
  <si>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</si>
  <si>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</si>
  <si>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</si>
  <si>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</si>
  <si>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</si>
  <si>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</si>
  <si>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</si>
  <si>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</si>
  <si>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</si>
  <si>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</si>
  <si>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</si>
  <si>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</si>
  <si>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</si>
  <si>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</si>
  <si>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</si>
  <si>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</si>
  <si>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</si>
  <si>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</si>
  <si>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</si>
  <si>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</si>
  <si>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</si>
  <si>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</si>
  <si>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</si>
  <si>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</si>
  <si>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</si>
  <si>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</si>
  <si>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</si>
  <si>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</si>
  <si>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</si>
  <si>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</si>
  <si>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</si>
  <si>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</si>
  <si>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</si>
  <si>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</si>
  <si>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</si>
  <si>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</si>
  <si>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</si>
  <si>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</si>
  <si>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</si>
  <si>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</si>
  <si>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</si>
  <si>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</si>
  <si>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</si>
  <si>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</si>
  <si>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</si>
  <si>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</si>
  <si>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</si>
  <si>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</si>
  <si>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</si>
  <si>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</si>
  <si>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</si>
  <si>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ערד השקעות ופתוח תעשיה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</si>
  <si>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</si>
  <si>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</si>
  <si>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</si>
  <si>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</si>
  <si>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</si>
  <si>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</si>
  <si>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</si>
  <si>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</si>
  <si>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</si>
  <si>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</si>
  <si>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</si>
  <si>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</si>
  <si>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</si>
  <si>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</si>
  <si>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</si>
  <si>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</si>
  <si>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</si>
  <si>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</si>
  <si>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</si>
  <si>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</si>
  <si>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</si>
  <si>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</si>
  <si>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</si>
  <si>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</si>
  <si>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</si>
  <si>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</si>
  <si>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</si>
  <si>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</si>
  <si>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</si>
  <si>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</si>
  <si>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</si>
  <si>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</si>
  <si>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</si>
  <si>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</si>
  <si>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</si>
  <si>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</si>
  <si>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</si>
  <si>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</si>
  <si>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</si>
  <si>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</si>
  <si>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</si>
  <si>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</si>
  <si>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</si>
  <si>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</si>
  <si>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</si>
  <si>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</si>
  <si>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</si>
  <si>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</si>
  <si>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</si>
  <si>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</si>
  <si>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</si>
  <si>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</si>
  <si>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</si>
  <si>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</si>
  <si>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</si>
  <si>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</si>
  <si>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</si>
  <si>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</si>
  <si>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</si>
  <si>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</si>
  <si>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</si>
  <si>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</si>
  <si>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</si>
  <si>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</si>
  <si>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</si>
  <si>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</si>
  <si>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</si>
  <si>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</si>
  <si>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</si>
  <si>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</si>
  <si>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</si>
  <si>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</si>
  <si>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</si>
  <si>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</si>
  <si>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</si>
  <si>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</si>
  <si>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</si>
  <si>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</si>
  <si>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</si>
  <si>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</si>
  <si>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</si>
  <si>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</si>
  <si>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</si>
  <si>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</si>
  <si>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</si>
  <si>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</si>
  <si>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</si>
  <si>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</si>
  <si>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</si>
  <si>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</si>
  <si>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</si>
  <si>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</si>
  <si>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</si>
  <si>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</si>
  <si>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</si>
  <si>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</si>
  <si>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</si>
  <si>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</si>
  <si>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</si>
  <si>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</si>
  <si>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</si>
  <si>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</si>
  <si>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</si>
  <si>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</si>
  <si>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</si>
  <si>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</si>
  <si>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</si>
  <si>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</si>
  <si>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</si>
  <si>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</si>
  <si>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</si>
  <si>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</si>
  <si>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</si>
  <si>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</si>
  <si>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</si>
  <si>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</si>
  <si>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</si>
  <si>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</si>
  <si>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</si>
  <si>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</si>
  <si>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</si>
  <si>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</si>
  <si>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</si>
  <si>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</si>
  <si>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</si>
  <si>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</si>
  <si>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</si>
  <si>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</si>
  <si>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</si>
  <si>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</si>
  <si>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</si>
  <si>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</si>
  <si>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</si>
  <si>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</si>
  <si>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</si>
  <si>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</si>
  <si>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</si>
  <si>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</si>
  <si>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</si>
  <si>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</si>
  <si>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</si>
  <si>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</si>
  <si>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</si>
  <si>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</si>
  <si>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</si>
  <si>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</si>
  <si>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</si>
  <si>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</si>
  <si>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</si>
  <si>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</si>
  <si>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</si>
  <si>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</si>
  <si>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</si>
  <si>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</si>
  <si>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</si>
  <si>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</si>
  <si>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</si>
  <si>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</si>
  <si>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</si>
  <si>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</si>
  <si>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</si>
  <si>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</si>
  <si>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</si>
  <si>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</si>
  <si>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</si>
  <si>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</si>
  <si>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</si>
  <si>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</si>
  <si>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</si>
  <si>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</si>
  <si>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</si>
  <si>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</si>
  <si>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ELLOMAY CAPITAL LTD</t>
  </si>
  <si>
    <t>IL0010826357</t>
  </si>
  <si>
    <t>NYSE</t>
  </si>
  <si>
    <t>520039868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</si>
  <si>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</si>
  <si>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</si>
  <si>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</si>
  <si>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</si>
  <si>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</si>
  <si>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</si>
  <si>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</si>
  <si>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</si>
  <si>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</si>
  <si>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</si>
  <si>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</si>
  <si>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</si>
  <si>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</si>
  <si>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</si>
  <si>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</si>
  <si>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</si>
  <si>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</si>
  <si>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</si>
  <si>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</si>
  <si>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</si>
  <si>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</si>
  <si>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</si>
  <si>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</si>
  <si>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</si>
  <si>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</si>
  <si>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</si>
  <si>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</si>
  <si>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</si>
  <si>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</si>
  <si>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</si>
  <si>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</si>
  <si>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</si>
  <si>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</si>
  <si>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</si>
  <si>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</si>
  <si>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</si>
  <si>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</si>
  <si>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</si>
  <si>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</si>
  <si>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</si>
  <si>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</si>
  <si>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</si>
  <si>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</si>
  <si>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</si>
  <si>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</si>
  <si>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</si>
  <si>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</si>
  <si>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</si>
  <si>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</si>
  <si>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</si>
  <si>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</si>
  <si>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</si>
  <si>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</si>
  <si>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</si>
  <si>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</si>
  <si>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</si>
  <si>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</si>
  <si>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</si>
  <si>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</si>
  <si>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</si>
  <si>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</si>
  <si>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</si>
  <si>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ADO PROPERTIES</t>
  </si>
  <si>
    <t>LU1250154413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</si>
  <si>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</si>
  <si>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</si>
  <si>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</si>
  <si>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</si>
  <si>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</si>
  <si>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</si>
  <si>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</si>
  <si>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</si>
  <si>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</si>
  <si>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</si>
  <si>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</si>
  <si>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</si>
  <si>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</si>
  <si>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</si>
  <si>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</si>
  <si>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</si>
  <si>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</si>
  <si>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</si>
  <si>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CARREFOUR SA</t>
  </si>
  <si>
    <t>FR0000120172</t>
  </si>
  <si>
    <t>CATERPILLAR INC</t>
  </si>
  <si>
    <t>US1491231015</t>
  </si>
  <si>
    <t>CISCO SYSTEMS</t>
  </si>
  <si>
    <t>US17275R1023</t>
  </si>
  <si>
    <t>COSTCO WHOLESALE</t>
  </si>
  <si>
    <t>US22160K1051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</si>
  <si>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</si>
  <si>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</si>
  <si>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</si>
  <si>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</si>
  <si>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</si>
  <si>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</si>
  <si>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DOMINO`S PIZZA INC</t>
  </si>
  <si>
    <t>US25754A2015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</si>
  <si>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</si>
  <si>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</si>
  <si>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</si>
  <si>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</si>
  <si>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</si>
  <si>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</si>
  <si>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</si>
  <si>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</si>
  <si>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</si>
  <si>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</si>
  <si>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</si>
  <si>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FERROVIAL SA</t>
  </si>
  <si>
    <t>ES0118900010</t>
  </si>
  <si>
    <t>BME</t>
  </si>
  <si>
    <t>HENNES &amp; MAURITZ AB B SHS</t>
  </si>
  <si>
    <t>SE0000106270</t>
  </si>
  <si>
    <t>HOME DEPOT INC</t>
  </si>
  <si>
    <t>US4370761029</t>
  </si>
  <si>
    <t>INTEL CORP</t>
  </si>
  <si>
    <t>US4581401001</t>
  </si>
  <si>
    <t>KERING</t>
  </si>
  <si>
    <t>FR0000121485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</si>
  <si>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</si>
  <si>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</si>
  <si>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</si>
  <si>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</si>
  <si>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</si>
  <si>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</si>
  <si>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LULULEMON ATHLETICA INC</t>
  </si>
  <si>
    <t>US5500211090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</si>
  <si>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</si>
  <si>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</si>
  <si>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</si>
  <si>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</si>
  <si>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</si>
  <si>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</si>
  <si>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</si>
  <si>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</si>
  <si>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</si>
  <si>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</si>
  <si>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</si>
  <si>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</si>
  <si>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</si>
  <si>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</si>
  <si>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</si>
  <si>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</si>
  <si>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</si>
  <si>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</si>
  <si>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</si>
  <si>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</si>
  <si>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</si>
  <si>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</si>
  <si>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</si>
  <si>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</si>
  <si>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OWL ROCK CAPITAL</t>
  </si>
  <si>
    <t>US69121K1043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</si>
  <si>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</si>
  <si>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</si>
  <si>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</si>
  <si>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</si>
  <si>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</si>
  <si>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</si>
  <si>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</si>
  <si>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</si>
  <si>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</si>
  <si>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</si>
  <si>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</si>
  <si>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</si>
  <si>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</si>
  <si>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</si>
  <si>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</si>
  <si>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</si>
  <si>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</si>
  <si>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</si>
  <si>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</si>
  <si>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</si>
  <si>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</si>
  <si>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</si>
  <si>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TESCO PLC</t>
  </si>
  <si>
    <t>GB0008847096</t>
  </si>
  <si>
    <t>THALES SA</t>
  </si>
  <si>
    <t>FR0000121329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</si>
  <si>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</si>
  <si>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</si>
  <si>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</si>
  <si>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</si>
  <si>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</si>
  <si>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</si>
  <si>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</si>
  <si>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</si>
  <si>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</si>
  <si>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</si>
  <si>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</si>
  <si>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</si>
  <si>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YUM CHINA HOLDING INC</t>
  </si>
  <si>
    <t>US98850P1093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</si>
  <si>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</si>
  <si>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</si>
  <si>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</si>
  <si>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</si>
  <si>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</si>
  <si>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</si>
  <si>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</si>
  <si>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</si>
  <si>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</si>
  <si>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</si>
  <si>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</si>
  <si>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</si>
  <si>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</si>
  <si>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</si>
  <si>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</si>
  <si>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520041989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</si>
  <si>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</si>
  <si>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</si>
  <si>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</si>
  <si>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</si>
  <si>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</si>
  <si>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</si>
  <si>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</si>
  <si>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</si>
  <si>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</si>
  <si>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</si>
  <si>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</si>
  <si>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</si>
  <si>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</si>
  <si>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</si>
  <si>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</si>
  <si>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</si>
  <si>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</si>
  <si>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</si>
  <si>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</si>
  <si>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</si>
  <si>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</si>
  <si>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</si>
  <si>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</si>
  <si>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</si>
  <si>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</si>
  <si>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</si>
  <si>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</si>
  <si>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</si>
  <si>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</si>
  <si>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</si>
  <si>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</si>
  <si>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</si>
  <si>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</si>
  <si>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</si>
  <si>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</si>
  <si>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</si>
  <si>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</si>
  <si>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</si>
  <si>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</si>
  <si>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</si>
  <si>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</si>
  <si>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</si>
  <si>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</si>
  <si>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</si>
  <si>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</si>
  <si>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</si>
  <si>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COMM SERV SELECT SECTOR SPDR</t>
  </si>
  <si>
    <t>US81369Y8527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</si>
  <si>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</si>
  <si>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</si>
  <si>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</si>
  <si>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</si>
  <si>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</si>
  <si>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</si>
  <si>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</si>
  <si>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</si>
  <si>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</si>
  <si>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</si>
  <si>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</si>
  <si>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</si>
  <si>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</si>
  <si>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</si>
  <si>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</si>
  <si>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</si>
  <si>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</si>
  <si>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</si>
  <si>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</si>
  <si>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</si>
  <si>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</si>
  <si>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</si>
  <si>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</si>
  <si>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</si>
  <si>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</si>
  <si>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</si>
  <si>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</si>
  <si>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</si>
  <si>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</si>
  <si>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</si>
  <si>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</si>
  <si>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</si>
  <si>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</si>
  <si>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</si>
  <si>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</si>
  <si>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</si>
  <si>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</si>
  <si>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</si>
  <si>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</si>
  <si>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</si>
  <si>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</si>
  <si>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</si>
  <si>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</si>
  <si>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</si>
  <si>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</si>
  <si>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</si>
  <si>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</si>
  <si>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</si>
  <si>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</si>
  <si>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</si>
  <si>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</si>
  <si>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</si>
  <si>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</si>
  <si>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</si>
  <si>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</si>
  <si>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</si>
  <si>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</si>
  <si>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</si>
  <si>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</si>
  <si>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</si>
  <si>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</si>
  <si>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</si>
  <si>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</si>
  <si>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</si>
  <si>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</si>
  <si>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</si>
  <si>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</si>
  <si>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</si>
  <si>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</si>
  <si>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</si>
  <si>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</si>
  <si>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</si>
  <si>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</si>
  <si>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</si>
  <si>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</si>
  <si>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</si>
  <si>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</si>
  <si>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</si>
  <si>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</si>
  <si>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</si>
  <si>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</si>
  <si>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</si>
  <si>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</si>
  <si>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</si>
  <si>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</si>
  <si>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</si>
  <si>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</si>
  <si>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</si>
  <si>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Amundi Funds Pioneer US High</t>
  </si>
  <si>
    <t>LU1883863851</t>
  </si>
  <si>
    <t>B+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</si>
  <si>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</si>
  <si>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</si>
  <si>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</si>
  <si>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</si>
  <si>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</si>
  <si>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</si>
  <si>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</si>
  <si>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</si>
  <si>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</si>
  <si>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</si>
  <si>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</si>
  <si>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</si>
  <si>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</si>
  <si>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</si>
  <si>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</si>
  <si>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</si>
  <si>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</si>
  <si>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</si>
  <si>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</si>
  <si>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</si>
  <si>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</si>
  <si>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</si>
  <si>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</si>
  <si>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</si>
  <si>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</si>
  <si>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</si>
  <si>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</si>
  <si>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</si>
  <si>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</si>
  <si>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</si>
  <si>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</si>
  <si>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</si>
  <si>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</si>
  <si>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</si>
  <si>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</si>
  <si>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bC 1880 APR 2020</t>
  </si>
  <si>
    <t>83057869</t>
  </si>
  <si>
    <t>ל.ר.</t>
  </si>
  <si>
    <t>bP 1880 APR 2020</t>
  </si>
  <si>
    <t>83058016</t>
  </si>
  <si>
    <t>plC 2800 APR 2020</t>
  </si>
  <si>
    <t>82997180</t>
  </si>
  <si>
    <t>plP 2800 APR 2020</t>
  </si>
  <si>
    <t>82997404</t>
  </si>
  <si>
    <t>GOOG 04/17/20 C1600</t>
  </si>
  <si>
    <t>GOOG0420C160</t>
  </si>
  <si>
    <t>LMT US 05/15/20 C460</t>
  </si>
  <si>
    <t>LMTU0520C460</t>
  </si>
  <si>
    <t>MSFT 06/20 C180</t>
  </si>
  <si>
    <t>MSFT0620C180</t>
  </si>
  <si>
    <t>MSFT US 04/17/20 C210</t>
  </si>
  <si>
    <t>MSFT0420C210</t>
  </si>
  <si>
    <t>SPX 08/21/20 C3000</t>
  </si>
  <si>
    <t>SPX0820C3000</t>
  </si>
  <si>
    <t>SPXW 06/30/20 C2550</t>
  </si>
  <si>
    <t>SPXW620C2550</t>
  </si>
  <si>
    <t>SPXW 06/30/20 C2850</t>
  </si>
  <si>
    <t>SPXW420C2850</t>
  </si>
  <si>
    <t>EUROSTOXX 50 JUN20</t>
  </si>
  <si>
    <t>VGM0</t>
  </si>
  <si>
    <t>S&amp;P500 EMINI FUT JUN20</t>
  </si>
  <si>
    <t>ESM0</t>
  </si>
  <si>
    <t>STOXX EUROPE 600 JUN20</t>
  </si>
  <si>
    <t>SXOM0</t>
  </si>
  <si>
    <t>ערד   4.8%   סדרה    8707</t>
  </si>
  <si>
    <t>98707000</t>
  </si>
  <si>
    <t>ערד   4.8%   סדרה    8710</t>
  </si>
  <si>
    <t>98710100</t>
  </si>
  <si>
    <t>ערד   4.8%   סדרה    8711</t>
  </si>
  <si>
    <t>98711100</t>
  </si>
  <si>
    <t>ערד   4.8%   סדרה   8706</t>
  </si>
  <si>
    <t>98706000</t>
  </si>
  <si>
    <t>ערד   4.8%   סדרה   8708</t>
  </si>
  <si>
    <t>98708000</t>
  </si>
  <si>
    <t>ערד   4.8%   סדרה   8712</t>
  </si>
  <si>
    <t>98712000</t>
  </si>
  <si>
    <t>ערד   4.8%   סדרה  8714</t>
  </si>
  <si>
    <t>98715000</t>
  </si>
  <si>
    <t>ערד   4.8%   סדרה  8730</t>
  </si>
  <si>
    <t>8287302</t>
  </si>
  <si>
    <t>ערד   4.8%   סדרה  8731</t>
  </si>
  <si>
    <t>8287310</t>
  </si>
  <si>
    <t>ערד   4.8%   סדרה  8732</t>
  </si>
  <si>
    <t>8287328</t>
  </si>
  <si>
    <t>ערד   4.8%   סדרה  8733</t>
  </si>
  <si>
    <t>8287336</t>
  </si>
  <si>
    <t>ערד   4.8%   סדרה  8735</t>
  </si>
  <si>
    <t>8287351</t>
  </si>
  <si>
    <t>ערד   4.8%   סדרה  8736</t>
  </si>
  <si>
    <t>8287369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</si>
  <si>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</si>
  <si>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</si>
  <si>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</si>
  <si>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</si>
  <si>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</si>
  <si>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</si>
  <si>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 8738 % 4.8  2023</t>
  </si>
  <si>
    <t>98732000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</si>
  <si>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</si>
  <si>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</si>
  <si>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</si>
  <si>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</si>
  <si>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</si>
  <si>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</si>
  <si>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</si>
  <si>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</si>
  <si>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</si>
  <si>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</si>
  <si>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</si>
  <si>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</si>
  <si>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</si>
  <si>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</si>
  <si>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</si>
  <si>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</si>
  <si>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</si>
  <si>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</si>
  <si>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</si>
  <si>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</si>
  <si>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</si>
  <si>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</si>
  <si>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</si>
  <si>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</si>
  <si>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</si>
  <si>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</si>
  <si>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</si>
  <si>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</si>
  <si>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</si>
  <si>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</si>
  <si>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</si>
  <si>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</si>
  <si>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</si>
  <si>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</si>
  <si>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</si>
  <si>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</si>
  <si>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</si>
  <si>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</si>
  <si>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</si>
  <si>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</si>
  <si>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</si>
  <si>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</si>
  <si>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</si>
  <si>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</si>
  <si>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</si>
  <si>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</si>
  <si>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</si>
  <si>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</si>
  <si>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</si>
  <si>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</si>
  <si>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</si>
  <si>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</si>
  <si>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</si>
  <si>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</si>
  <si>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</si>
  <si>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</si>
  <si>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</si>
  <si>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</si>
  <si>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</si>
  <si>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</si>
  <si>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</si>
  <si>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</si>
  <si>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</si>
  <si>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</si>
  <si>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</si>
  <si>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</si>
  <si>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</si>
  <si>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</si>
  <si>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</si>
  <si>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</si>
  <si>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</si>
  <si>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</si>
  <si>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</si>
  <si>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</si>
  <si>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</si>
  <si>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</si>
  <si>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</si>
  <si>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</si>
  <si>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</si>
  <si>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</si>
  <si>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</si>
  <si>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</si>
  <si>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</si>
  <si>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</si>
  <si>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</si>
  <si>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</si>
  <si>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</si>
  <si>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</si>
  <si>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</si>
  <si>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</si>
  <si>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</si>
  <si>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</si>
  <si>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</si>
  <si>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</si>
  <si>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</si>
  <si>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</si>
  <si>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</si>
  <si>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</si>
  <si>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</si>
  <si>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</si>
  <si>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</si>
  <si>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</si>
  <si>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</si>
  <si>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</si>
  <si>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</si>
  <si>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</si>
  <si>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</si>
  <si>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</si>
  <si>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</si>
  <si>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</si>
  <si>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</si>
  <si>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</si>
  <si>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</si>
  <si>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</si>
  <si>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</si>
  <si>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</si>
  <si>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</si>
  <si>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</si>
  <si>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</si>
  <si>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</si>
  <si>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</si>
  <si>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</si>
  <si>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</si>
  <si>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</si>
  <si>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</si>
  <si>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</si>
  <si>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</si>
  <si>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</si>
  <si>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</si>
  <si>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</si>
  <si>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</si>
  <si>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</si>
  <si>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</si>
  <si>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</si>
  <si>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</si>
  <si>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</si>
  <si>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</si>
  <si>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</si>
  <si>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</si>
  <si>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</si>
  <si>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</si>
  <si>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</si>
  <si>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</si>
  <si>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</si>
  <si>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</si>
  <si>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</si>
  <si>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</si>
  <si>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</si>
  <si>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</si>
  <si>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</si>
  <si>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</si>
  <si>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</si>
  <si>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</si>
  <si>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</si>
  <si>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</si>
  <si>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</si>
  <si>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</si>
  <si>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</si>
  <si>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</si>
  <si>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</si>
  <si>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</si>
  <si>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</si>
  <si>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</si>
  <si>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</si>
  <si>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</si>
  <si>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</si>
  <si>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</si>
  <si>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</si>
  <si>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</si>
  <si>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</si>
  <si>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</si>
  <si>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</si>
  <si>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</si>
  <si>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</si>
  <si>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</si>
  <si>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8740  4.8%  2023</t>
  </si>
  <si>
    <t>8287401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</si>
  <si>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</si>
  <si>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</si>
  <si>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</si>
  <si>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</si>
  <si>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</si>
  <si>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</si>
  <si>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</si>
  <si>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</si>
  <si>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</si>
  <si>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</si>
  <si>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</si>
  <si>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</si>
  <si>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</si>
  <si>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</si>
  <si>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</si>
  <si>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</si>
  <si>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</si>
  <si>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</si>
  <si>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</si>
  <si>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</si>
  <si>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</si>
  <si>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</si>
  <si>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</si>
  <si>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</si>
  <si>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</si>
  <si>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</si>
  <si>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</si>
  <si>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</si>
  <si>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</si>
  <si>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</si>
  <si>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</si>
  <si>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</si>
  <si>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8777 2026 4.8%</t>
  </si>
  <si>
    <t>8287773</t>
  </si>
  <si>
    <t>ערד סדרה 8778 2026 4.8%</t>
  </si>
  <si>
    <t>8287781</t>
  </si>
  <si>
    <t>ערד סדרה 8784  4.8%  2026</t>
  </si>
  <si>
    <t>8287849</t>
  </si>
  <si>
    <t>ערד סדרה 8789 2027 4.8%</t>
  </si>
  <si>
    <t>ערד סדרה 8810 2029 4.8%</t>
  </si>
  <si>
    <t>71121438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</si>
  <si>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</si>
  <si>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</si>
  <si>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</si>
  <si>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</si>
  <si>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</si>
  <si>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</si>
  <si>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</si>
  <si>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</si>
  <si>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</si>
  <si>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</si>
  <si>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</si>
  <si>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</si>
  <si>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</si>
  <si>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</si>
  <si>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דור גז בעמ 4.95% 5.2020 ל.ס</t>
  </si>
  <si>
    <t>1093491</t>
  </si>
  <si>
    <t>513689059</t>
  </si>
  <si>
    <t>שטרהון נדחה פועלים ג ל.ס 5.75%</t>
  </si>
  <si>
    <t>6620280</t>
  </si>
  <si>
    <t>אספיסי אל עד 6.7%   סדרה 2</t>
  </si>
  <si>
    <t>1092774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</si>
  <si>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</si>
  <si>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</si>
  <si>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</si>
  <si>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</si>
  <si>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</si>
  <si>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</si>
  <si>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</si>
  <si>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</si>
  <si>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</si>
  <si>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</si>
  <si>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</si>
  <si>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</si>
  <si>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</si>
  <si>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</si>
  <si>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</si>
  <si>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</si>
  <si>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</si>
  <si>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</si>
  <si>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</si>
  <si>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</si>
  <si>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</si>
  <si>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</si>
  <si>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</si>
  <si>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</si>
  <si>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</si>
  <si>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</si>
  <si>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</si>
  <si>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</si>
  <si>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</si>
  <si>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</si>
  <si>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</si>
  <si>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</si>
  <si>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</si>
  <si>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CRSLNX 4.555 06/51</t>
  </si>
  <si>
    <t>RUBY PIPELINE 6 04/22</t>
  </si>
  <si>
    <t>TRANSED PARTNERS 3.951 09/50 12/37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</si>
  <si>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</si>
  <si>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</si>
  <si>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</si>
  <si>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</si>
  <si>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</si>
  <si>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</si>
  <si>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צים מניה</t>
  </si>
  <si>
    <t>347283</t>
  </si>
  <si>
    <t xml:space="preserve"> Michelson Program*</t>
  </si>
  <si>
    <t>120 Wall Street*</t>
  </si>
  <si>
    <t>330507</t>
  </si>
  <si>
    <t>1735 MARKET INVESTOR HOLDC MAKEFET*</t>
  </si>
  <si>
    <t>180 Livingston equity*</t>
  </si>
  <si>
    <t>45499</t>
  </si>
  <si>
    <t>240 West 35th Street  mkf*</t>
  </si>
  <si>
    <t>494382</t>
  </si>
  <si>
    <t>425 Lexington*</t>
  </si>
  <si>
    <t>820 Washington*</t>
  </si>
  <si>
    <t>330506</t>
  </si>
  <si>
    <t>901 Fifth Seattle*</t>
  </si>
  <si>
    <t>Adgar Invest and Dev Poland</t>
  </si>
  <si>
    <t>BERO CENTER*</t>
  </si>
  <si>
    <t>330500</t>
  </si>
  <si>
    <t>Data Center Atlanta*</t>
  </si>
  <si>
    <t>330509</t>
  </si>
  <si>
    <t>Edeka 2*</t>
  </si>
  <si>
    <t>330502</t>
  </si>
  <si>
    <t>Eschborn Plaza*</t>
  </si>
  <si>
    <t>Fenwick*</t>
  </si>
  <si>
    <t>330514</t>
  </si>
  <si>
    <t>Hampton of Town Center  HG 3*</t>
  </si>
  <si>
    <t>MM Texas*</t>
  </si>
  <si>
    <t>386423</t>
  </si>
  <si>
    <t>North LaSalle   HG 4*</t>
  </si>
  <si>
    <t>Project Hush*</t>
  </si>
  <si>
    <t>Rialto Elite Portfolio makefet*</t>
  </si>
  <si>
    <t>508308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</si>
  <si>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</si>
  <si>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</si>
  <si>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</si>
  <si>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</si>
  <si>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</si>
  <si>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</si>
  <si>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</si>
  <si>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</si>
  <si>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</si>
  <si>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</si>
  <si>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 mkf*</t>
  </si>
  <si>
    <t>494381</t>
  </si>
  <si>
    <t>הילטון מלונות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</si>
  <si>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</si>
  <si>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</si>
  <si>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</si>
  <si>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</si>
  <si>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</si>
  <si>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Evergreen V</t>
  </si>
  <si>
    <t>Evolution Venture Capital Fun I</t>
  </si>
  <si>
    <t>Medica III Investments Israel B LP</t>
  </si>
  <si>
    <t>Orbimed Israel Partners II LP</t>
  </si>
  <si>
    <t>Orbimed Israel Partners LP</t>
  </si>
  <si>
    <t>Vertex III Israel Fund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</si>
  <si>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</si>
  <si>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</si>
  <si>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</si>
  <si>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</si>
  <si>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>Accelmed Growth Partners LP</t>
  </si>
  <si>
    <t>FIMI ISRAEL OPPORTUNITY 6</t>
  </si>
  <si>
    <t>Fimi Israel Opportunity II</t>
  </si>
  <si>
    <t>Fimi Israel Opportunity IV</t>
  </si>
  <si>
    <t>Fortissimo Capital Fund Israel II</t>
  </si>
  <si>
    <t>Fortissimo Capital Fund Israel III</t>
  </si>
  <si>
    <t>Fortissimo Capital Fund Israel LP</t>
  </si>
  <si>
    <t>50431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</si>
  <si>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</si>
  <si>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</si>
  <si>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</si>
  <si>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</si>
  <si>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</si>
  <si>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Pitango VIII Vintage Co Investment II</t>
  </si>
  <si>
    <t>Plenus II L.P</t>
  </si>
  <si>
    <t>Plenus III L.P</t>
  </si>
  <si>
    <t>Plenus Mezzanine Fund</t>
  </si>
  <si>
    <t>S.H. SKY 3 L.P</t>
  </si>
  <si>
    <t>S.H. SKY II L.P.s</t>
  </si>
  <si>
    <t>S.H. SKY LP</t>
  </si>
  <si>
    <t>Shamrock Israel Growth Fund LP</t>
  </si>
  <si>
    <t>Tene Growth Capital III PEF</t>
  </si>
  <si>
    <t>TENE GROWTH CAPITAL IV</t>
  </si>
  <si>
    <t>Vintage Migdal Co inv</t>
  </si>
  <si>
    <t>Vintage Migdal Co Investment F2</t>
  </si>
  <si>
    <t>Viola Private Equity I LP</t>
  </si>
  <si>
    <t>Yesodot Gimmel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</si>
  <si>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</si>
  <si>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</si>
  <si>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</si>
  <si>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</si>
  <si>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Israel Cleantech Ventures Cayman I A</t>
  </si>
  <si>
    <t>Israel Cleantech Ventures II Israel LP</t>
  </si>
  <si>
    <t>Magma Venture Capital II Israel Fund LP</t>
  </si>
  <si>
    <t>Omega fund lll</t>
  </si>
  <si>
    <t>Strategic Investors Fund IX L.P</t>
  </si>
  <si>
    <t>Strategic Investors Fund VIII LP</t>
  </si>
  <si>
    <t>Vintage fund of funds ISRAEL V</t>
  </si>
  <si>
    <t>Vintage Fund of Funds IV (Migdal) L.P</t>
  </si>
  <si>
    <t>Vintage Fund of Funds V ACCESS</t>
  </si>
  <si>
    <t>קרנות גידור</t>
  </si>
  <si>
    <t>Cheyne CRECH3/9/15</t>
  </si>
  <si>
    <t>XD0297816635</t>
  </si>
  <si>
    <t>Pond View class B 02/2008</t>
  </si>
  <si>
    <t>XD0038388035</t>
  </si>
  <si>
    <t>Blackstone R E Partners VIII F LP</t>
  </si>
  <si>
    <t>Blackstone Real Estate Partners IX</t>
  </si>
  <si>
    <t>Brookfield SREP III F3</t>
  </si>
  <si>
    <t>562673</t>
  </si>
  <si>
    <t>Brookfield Strategic R E Partners II</t>
  </si>
  <si>
    <t>Co Invest Antlia BSREP III</t>
  </si>
  <si>
    <t>E d R Europportunities S.C.A. SICAR</t>
  </si>
  <si>
    <t>Europan Office Incom Venture S.C.A</t>
  </si>
  <si>
    <t>Portfolio EDGE מקפת</t>
  </si>
  <si>
    <t>53431</t>
  </si>
  <si>
    <t>Waterton Residential P V XIII</t>
  </si>
  <si>
    <t>ACE IV*</t>
  </si>
  <si>
    <t>ADLS</t>
  </si>
  <si>
    <t>Advent International GPE IX L.P</t>
  </si>
  <si>
    <t>Advent International GPE VIII A</t>
  </si>
  <si>
    <t>Aksia Capital III LP</t>
  </si>
  <si>
    <t>APCS LP*</t>
  </si>
  <si>
    <t>Apollo Fund IX</t>
  </si>
  <si>
    <t>Apollo Natural Resources Partners II LP</t>
  </si>
  <si>
    <t>ARCLIGHT AEP FEEDER FUND VII LLC</t>
  </si>
  <si>
    <t>Arclight Energy Partners Fund II LP</t>
  </si>
  <si>
    <t>Ares Special Situations Fund IV LP*</t>
  </si>
  <si>
    <t>Argan Capital LP</t>
  </si>
  <si>
    <t>Astorg VII</t>
  </si>
  <si>
    <t>Astorg VII Co Invest ERT</t>
  </si>
  <si>
    <t>Astorg VII Co Invest LGC</t>
  </si>
  <si>
    <t>Avista Capital Partners LP</t>
  </si>
  <si>
    <t>BCP V Brand Co Invest LP</t>
  </si>
  <si>
    <t>Brookfield Capital Partners IV</t>
  </si>
  <si>
    <t>Brookfield Capital Partners V</t>
  </si>
  <si>
    <t>Brookfield coinv JCI</t>
  </si>
  <si>
    <t>Brookfield HSO Co Invest L.P</t>
  </si>
  <si>
    <t>CDL II</t>
  </si>
  <si>
    <t>CICC Growth capital fund I</t>
  </si>
  <si>
    <t>ClearWater Capital Partner I</t>
  </si>
  <si>
    <t>CMPVIIC</t>
  </si>
  <si>
    <t>co investment Anesthesia</t>
  </si>
  <si>
    <t>Copenhagen Infrastructure III</t>
  </si>
  <si>
    <t>Core Infrastructure India Fund Pte Ltd</t>
  </si>
  <si>
    <t>Court Square IV</t>
  </si>
  <si>
    <t>CRECH V</t>
  </si>
  <si>
    <t>Dover Street IX LP</t>
  </si>
  <si>
    <t>EC   1</t>
  </si>
  <si>
    <t>EC   2</t>
  </si>
  <si>
    <t>Esprit Capital I Fund</t>
  </si>
  <si>
    <t>Gavea Investment Fund III LP</t>
  </si>
  <si>
    <t>Gavea Investment Fund IV LP</t>
  </si>
  <si>
    <t>GIP GEMINI FUND CAYMAN FEEDER II LP</t>
  </si>
  <si>
    <t>Global Infrastructure Partners IV L.P</t>
  </si>
  <si>
    <t>GrafTech Co Invest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</si>
  <si>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</si>
  <si>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</si>
  <si>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</si>
  <si>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</si>
  <si>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</si>
  <si>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</si>
  <si>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International V</t>
  </si>
  <si>
    <t>harbourvest part' co inv fund IV</t>
  </si>
  <si>
    <t>Harbourvest Project Starboard</t>
  </si>
  <si>
    <t>harbourvest Sec gridiron</t>
  </si>
  <si>
    <t>HBOS Mezzanine Portfolio</t>
  </si>
  <si>
    <t>HIG harbourvest Tranche B</t>
  </si>
  <si>
    <t>Hunter Acquisition Limited</t>
  </si>
  <si>
    <t>ICGLV</t>
  </si>
  <si>
    <t>IFM GLOBAL INFRASTRUCTURE C</t>
  </si>
  <si>
    <t>IK harbourvest tranche B</t>
  </si>
  <si>
    <t>INCLINE   HARBOURVEST A</t>
  </si>
  <si>
    <t>InfraRed Infrastructure Fund V</t>
  </si>
  <si>
    <t>Insight harbourvest tranche B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</si>
  <si>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</si>
  <si>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</si>
  <si>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</si>
  <si>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</si>
  <si>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</si>
  <si>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</si>
  <si>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</si>
  <si>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Klirmark Opportunity Fund II LP</t>
  </si>
  <si>
    <t>Klirmark Opportunity Fund LP</t>
  </si>
  <si>
    <t>KSO</t>
  </si>
  <si>
    <t>LS POWER FUND IV</t>
  </si>
  <si>
    <t>MediFox harbourvest</t>
  </si>
  <si>
    <t>Meridiam Infrastructure Europe III SLP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</si>
  <si>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</si>
  <si>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</si>
  <si>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</si>
  <si>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</si>
  <si>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</si>
  <si>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</si>
  <si>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</si>
  <si>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</si>
  <si>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Olympus Capital Asia III LP</t>
  </si>
  <si>
    <t>ORCC</t>
  </si>
  <si>
    <t>Pamlico capital IV</t>
  </si>
  <si>
    <t>Pantheon Global Secondary Fund VI</t>
  </si>
  <si>
    <t>Paragon III HarbourVest B</t>
  </si>
  <si>
    <t>Patria Private Equity Fund VI</t>
  </si>
  <si>
    <t>PCSIII LP</t>
  </si>
  <si>
    <t>PERMIRA VII L.P.2 SCSP</t>
  </si>
  <si>
    <t>PGCO IV Co mingled Fund SCSP</t>
  </si>
  <si>
    <t>PPCSIV</t>
  </si>
  <si>
    <t>project Celtics</t>
  </si>
  <si>
    <t>Rhone Offshore Partners V LP</t>
  </si>
  <si>
    <t>Rocket Dog L.P</t>
  </si>
  <si>
    <t>SDPIII</t>
  </si>
  <si>
    <t>Selene RMOF</t>
  </si>
  <si>
    <t>Silverfleet Capital Partners II LP</t>
  </si>
  <si>
    <t>SLF1</t>
  </si>
  <si>
    <t>Sun Capital Partners  harbourvest B</t>
  </si>
  <si>
    <t>TDLIV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</si>
  <si>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</si>
  <si>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</si>
  <si>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</si>
  <si>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</si>
  <si>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</si>
  <si>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</si>
  <si>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</si>
  <si>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</si>
  <si>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</si>
  <si>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</si>
  <si>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</si>
  <si>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</si>
  <si>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windjammer V har A</t>
  </si>
  <si>
    <t>WSREDII</t>
  </si>
  <si>
    <t>Infinity I China Fund Israel 2 אופ לס</t>
  </si>
  <si>
    <t>50581</t>
  </si>
  <si>
    <t>SOLGEL WARRANT</t>
  </si>
  <si>
    <t>565685</t>
  </si>
  <si>
    <t>₪ / מט"ח</t>
  </si>
  <si>
    <t>+ILS/-USD 3.4937 27-10-20 (12) -893</t>
  </si>
  <si>
    <t>10011743</t>
  </si>
  <si>
    <t>+ILS/-USD 3.4941 20-10-20 (93) -884</t>
  </si>
  <si>
    <t>10011742</t>
  </si>
  <si>
    <t>+ILS/-USD 3.5042 20-10-20 (20) -898</t>
  </si>
  <si>
    <t>10011733</t>
  </si>
  <si>
    <t>+ILS/-USD 3.505 14-10-20 (11) -864</t>
  </si>
  <si>
    <t>10011735</t>
  </si>
  <si>
    <t>+ILS/-USD 3.51 12-05-20 (10) -707</t>
  </si>
  <si>
    <t>10011689</t>
  </si>
  <si>
    <t>+ILS/-USD 3.5103 12-05-20 (11) -707</t>
  </si>
  <si>
    <t>10011691</t>
  </si>
  <si>
    <t>+ILS/-USD 3.517 19-05-20 (11) -715</t>
  </si>
  <si>
    <t>10011683</t>
  </si>
  <si>
    <t>+ILS/-USD 3.5256 16-06-20 (20) -794</t>
  </si>
  <si>
    <t>10011675</t>
  </si>
  <si>
    <t>+ILS/-USD 3.53 18-06-20 (10) -680</t>
  </si>
  <si>
    <t>10011732</t>
  </si>
  <si>
    <t>+ILS/-USD 3.5309 16-06-20 (20) -791</t>
  </si>
  <si>
    <t>10011673</t>
  </si>
  <si>
    <t>+ILS/-USD 3.532 28-05-20 (11) -695</t>
  </si>
  <si>
    <t>10011708</t>
  </si>
  <si>
    <t>+ILS/-USD 3.5324 04-06-20 (20) -786</t>
  </si>
  <si>
    <t>10011670</t>
  </si>
  <si>
    <t>+ILS/-USD 3.5335 04-06-20 (11) -785</t>
  </si>
  <si>
    <t>10011666</t>
  </si>
  <si>
    <t>+ILS/-USD 3.5335 04-06-20 (12) -785</t>
  </si>
  <si>
    <t>10011668</t>
  </si>
  <si>
    <t>+ILS/-USD 3.537 21-05-20 (20) -680</t>
  </si>
  <si>
    <t>10011710</t>
  </si>
  <si>
    <t>+ILS/-USD 3.54 14-05-20 (20) -675</t>
  </si>
  <si>
    <t>10011701</t>
  </si>
  <si>
    <t>+ILS/-USD 3.542 07-05-20 (20) -613</t>
  </si>
  <si>
    <t>10011721</t>
  </si>
  <si>
    <t>+ILS/-USD 3.542 14-05-20 (12) -675</t>
  </si>
  <si>
    <t>10011699</t>
  </si>
  <si>
    <t>+ILS/-USD 3.548 07-05-20 (11) -610</t>
  </si>
  <si>
    <t>10011719</t>
  </si>
  <si>
    <t>+ILS/-USD 3.55 07-05-20 (12) -610</t>
  </si>
  <si>
    <t>10011723</t>
  </si>
  <si>
    <t>+ILS/-USD 3.551 09-06-20 (11) -810</t>
  </si>
  <si>
    <t>10011664</t>
  </si>
  <si>
    <t>+ILS/-USD 3.552 02-06-20 (10) -800</t>
  </si>
  <si>
    <t>10011662</t>
  </si>
  <si>
    <t>+ILS/-USD 3.385 19-11-20 (20) -930</t>
  </si>
  <si>
    <t>10011810</t>
  </si>
  <si>
    <t>+ILS/-USD 3.415 19-11-20 (11) -925</t>
  </si>
  <si>
    <t>10011806</t>
  </si>
  <si>
    <t>+ILS/-USD 3.4166 05-11-20 (12) -904</t>
  </si>
  <si>
    <t>10011808</t>
  </si>
  <si>
    <t>+ILS/-USD 3.4174 05-11-20 (10) -906</t>
  </si>
  <si>
    <t>10011804</t>
  </si>
  <si>
    <t>+ILS/-USD 3.4312 23-11-20 (11) -938</t>
  </si>
  <si>
    <t>10011802</t>
  </si>
  <si>
    <t>+ILS/-USD 3.4315 16-11-20 (11) -925</t>
  </si>
  <si>
    <t>10011796</t>
  </si>
  <si>
    <t>+ILS/-USD 3.433 30-11-20 (12) -950</t>
  </si>
  <si>
    <t>10011800</t>
  </si>
  <si>
    <t>10011798</t>
  </si>
  <si>
    <t>+ILS/-USD 3.45 27-10-20 (11) -892</t>
  </si>
  <si>
    <t>10011774</t>
  </si>
  <si>
    <t>+ILS/-USD 3.4504 27-10-20 (20) -896</t>
  </si>
  <si>
    <t>10011772</t>
  </si>
  <si>
    <t>+ILS/-USD 3.4519 22-10-20 (12) -881</t>
  </si>
  <si>
    <t>10011783</t>
  </si>
  <si>
    <t>+ILS/-USD 3.453 03-11-20 (20) -925</t>
  </si>
  <si>
    <t>10011779</t>
  </si>
  <si>
    <t>+ILS/-USD 3.4557 03-11-20 (11) -908</t>
  </si>
  <si>
    <t>10011777</t>
  </si>
  <si>
    <t>+ILS/-USD 3.4614 07-07-20 (20) -596</t>
  </si>
  <si>
    <t>10011869</t>
  </si>
  <si>
    <t>+ILS/-USD 3.4662 02-07-20 (20) -588</t>
  </si>
  <si>
    <t>10011868</t>
  </si>
  <si>
    <t>+ILS/-USD 3.4672 02-07-20 (12) -588</t>
  </si>
  <si>
    <t>10011871</t>
  </si>
  <si>
    <t>+ILS/-USD 3.4697 09-07-20 (11) -603</t>
  </si>
  <si>
    <t>10011873</t>
  </si>
  <si>
    <t>+ILS/-USD 3.4704 03-12-20 (11) -996</t>
  </si>
  <si>
    <t>10011768</t>
  </si>
  <si>
    <t>+ILS/-USD 3.471 03-12-20 (10) -997</t>
  </si>
  <si>
    <t>10011764</t>
  </si>
  <si>
    <t>+ILS/-USD 3.473 03-12-20 (12) -994</t>
  </si>
  <si>
    <t>10011766</t>
  </si>
  <si>
    <t>+ILS/-USD 3.49 15-09-20 (11) -863</t>
  </si>
  <si>
    <t>10011761</t>
  </si>
  <si>
    <t>+ILS/-USD 3.493 15-09-20 (10) -865</t>
  </si>
  <si>
    <t>10011759</t>
  </si>
  <si>
    <t>+ILS/-USD 3.504 11-06-20 (11) -695</t>
  </si>
  <si>
    <t>10011749</t>
  </si>
  <si>
    <t>+ILS/-USD 3.505 11-06-20 (10) -695</t>
  </si>
  <si>
    <t>10011747</t>
  </si>
  <si>
    <t>+ILS/-USD 3.3824 22-10-20 (11) -366</t>
  </si>
  <si>
    <t>10012126</t>
  </si>
  <si>
    <t>+ILS/-USD 3.39315 24-11-20 (12) -698.5</t>
  </si>
  <si>
    <t>10011966</t>
  </si>
  <si>
    <t>+ILS/-USD 3.3963 18-11-20 (12) -687</t>
  </si>
  <si>
    <t>10011962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</si>
  <si>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</si>
  <si>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</si>
  <si>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</si>
  <si>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</si>
  <si>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</si>
  <si>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</si>
  <si>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3.3982 26-06-20 (11) -208</t>
  </si>
  <si>
    <t>10000071</t>
  </si>
  <si>
    <t>+ILS/-USD 3.3983 18-11-20 (11) -687</t>
  </si>
  <si>
    <t>10011960</t>
  </si>
  <si>
    <t>+ILS/-USD 3.399 30-11-20 (10) -410</t>
  </si>
  <si>
    <t>10000073</t>
  </si>
  <si>
    <t>+ILS/-USD 3.4 02-12-20 (11) -420</t>
  </si>
  <si>
    <t>10012130</t>
  </si>
  <si>
    <t>+ILS/-USD 3.4015 03-03-21 (11) -505</t>
  </si>
  <si>
    <t>10000082</t>
  </si>
  <si>
    <t>+ILS/-USD 3.4033 21-05-20 (11) -147</t>
  </si>
  <si>
    <t>10012098</t>
  </si>
  <si>
    <t>+ILS/-USD 3.4045 03-03-21 (12) -505</t>
  </si>
  <si>
    <t>10000006</t>
  </si>
  <si>
    <t>+ILS/-USD 3.4066 12-05-20 (20) -129</t>
  </si>
  <si>
    <t>10000004</t>
  </si>
  <si>
    <t>+ILS/-USD 3.407 08-12-20 (10) -420</t>
  </si>
  <si>
    <t>10000149</t>
  </si>
  <si>
    <t>+ILS/-USD 3.408 31-03-21 (11) -450</t>
  </si>
  <si>
    <t>10012142</t>
  </si>
  <si>
    <t>+ILS/-USD 3.4084 12-05-20 (10) -131</t>
  </si>
  <si>
    <t>10000003</t>
  </si>
  <si>
    <t>+ILS/-USD 3.4086 12-05-20 (11) -129</t>
  </si>
  <si>
    <t>10000068</t>
  </si>
  <si>
    <t>+ILS/-USD 3.4086 14-05-20 (11) -134</t>
  </si>
  <si>
    <t>10012108</t>
  </si>
  <si>
    <t>+ILS/-USD 3.4093 07-05-20 (10) -122</t>
  </si>
  <si>
    <t>10012106</t>
  </si>
  <si>
    <t>+ILS/-USD 3.40935 21-04-20 (11) -106.5</t>
  </si>
  <si>
    <t>10000067</t>
  </si>
  <si>
    <t>+ILS/-USD 3.41 10-03-21 (20) -434</t>
  </si>
  <si>
    <t>10012138</t>
  </si>
  <si>
    <t>+ILS/-USD 3.41 14-05-20 (12) -134</t>
  </si>
  <si>
    <t>10012110</t>
  </si>
  <si>
    <t>+ILS/-USD 3.41 31-03-21 (12) -445</t>
  </si>
  <si>
    <t>10012144</t>
  </si>
  <si>
    <t>+ILS/-USD 3.4115 17-03-21 (11) -435</t>
  </si>
  <si>
    <t>10012140</t>
  </si>
  <si>
    <t>+ILS/-USD 3.414 17-03-21 (10) -440</t>
  </si>
  <si>
    <t>+ILS/-USD 3.4166 06-05-20 (11) -129</t>
  </si>
  <si>
    <t>10012094</t>
  </si>
  <si>
    <t>+ILS/-USD 3.4169 14-05-20 (20) -146</t>
  </si>
  <si>
    <t>10000002</t>
  </si>
  <si>
    <t>+ILS/-USD 3.4172 15-03-21 (10) -453</t>
  </si>
  <si>
    <t>10000083</t>
  </si>
  <si>
    <t>+ILS/-USD 3.418 08-03-21 (10) -445</t>
  </si>
  <si>
    <t>10000081</t>
  </si>
  <si>
    <t>+ILS/-USD 3.4185 09-06-20 (20) -165</t>
  </si>
  <si>
    <t>10000074</t>
  </si>
  <si>
    <t>+ILS/-USD 3.4194 09-06-20 (11) -161</t>
  </si>
  <si>
    <t>10000075</t>
  </si>
  <si>
    <t>+ILS/-USD 3.4204 14-05-20 (11) -146</t>
  </si>
  <si>
    <t>10000064</t>
  </si>
  <si>
    <t>+ILS/-USD 3.4218 09-06-20 (11) -162</t>
  </si>
  <si>
    <t>+ILS/-USD 3.426 02-04-20 (11) -60</t>
  </si>
  <si>
    <t>+ILS/-USD 3.427 15-12-20 (10) -440</t>
  </si>
  <si>
    <t>10000162</t>
  </si>
  <si>
    <t>+ILS/-USD 3.4277 09-06-20 (12) -163</t>
  </si>
  <si>
    <t>10012121</t>
  </si>
  <si>
    <t>+ILS/-USD 3.4308 17-06-20 (11) -382</t>
  </si>
  <si>
    <t>10012003</t>
  </si>
  <si>
    <t>+ILS/-USD 3.4315 01-12-20 (10) -395</t>
  </si>
  <si>
    <t>10000168</t>
  </si>
  <si>
    <t>+ILS/-USD 3.4332 20-05-20 (20) -163</t>
  </si>
  <si>
    <t>10000001</t>
  </si>
  <si>
    <t>+ILS/-USD 3.4336 12-11-20 (10) -714</t>
  </si>
  <si>
    <t>10011958</t>
  </si>
  <si>
    <t>+ILS/-USD 3.4366 01-04-20 (20) -84</t>
  </si>
  <si>
    <t>10012086</t>
  </si>
  <si>
    <t>+ILS/-USD 3.4374 22-04-20 (20) -126</t>
  </si>
  <si>
    <t>10012080</t>
  </si>
  <si>
    <t>+ILS/-USD 3.4398 26-06-20 (12) -402</t>
  </si>
  <si>
    <t>10012002</t>
  </si>
  <si>
    <t>+ILS/-USD 3.44 06-05-20 (20) -306</t>
  </si>
  <si>
    <t>10011981</t>
  </si>
  <si>
    <t>+ILS/-USD 3.44 20-05-20 (10) -336</t>
  </si>
  <si>
    <t>10011984</t>
  </si>
  <si>
    <t>+ILS/-USD 3.44 20-05-20 (20) -335</t>
  </si>
  <si>
    <t>10011990</t>
  </si>
  <si>
    <t>+ILS/-USD 3.4405 01-04-20 (11) -90</t>
  </si>
  <si>
    <t>10012078</t>
  </si>
  <si>
    <t>+ILS/-USD 3.441 06-05-20 (10) -306</t>
  </si>
  <si>
    <t>10011979</t>
  </si>
  <si>
    <t>+ILS/-USD 3.4413 20-05-20 (12) -337</t>
  </si>
  <si>
    <t>10011988</t>
  </si>
  <si>
    <t>+ILS/-USD 3.4414 20-05-20 (11) -336</t>
  </si>
  <si>
    <t>10011986</t>
  </si>
  <si>
    <t>+ILS/-USD 3.44275 06-04-20 (12) -92.5</t>
  </si>
  <si>
    <t>10012091</t>
  </si>
  <si>
    <t>+ILS/-USD 3.4435 03-06-20 (20) -360</t>
  </si>
  <si>
    <t>10011992</t>
  </si>
  <si>
    <t>+ILS/-USD 3.4439 06-04-20 (20) -91</t>
  </si>
  <si>
    <t>10012089</t>
  </si>
  <si>
    <t>+ILS/-USD 3.4443 15-06-20 (12) -387</t>
  </si>
  <si>
    <t>10011995</t>
  </si>
  <si>
    <t>+ILS/-USD 3.4456 03-06-20 (20) -359</t>
  </si>
  <si>
    <t>10011998</t>
  </si>
  <si>
    <t>+ILS/-USD 3.446 26-06-20 (20) -400</t>
  </si>
  <si>
    <t>10012000</t>
  </si>
  <si>
    <t>+ILS/-USD 3.4467 03-06-20 (11) -358</t>
  </si>
  <si>
    <t>10011993</t>
  </si>
  <si>
    <t>+ILS/-USD 3.4468 22-04-20 (11) -277</t>
  </si>
  <si>
    <t>10011991</t>
  </si>
  <si>
    <t>+ILS/-USD 3.4476 15-09-20 (10) -244</t>
  </si>
  <si>
    <t>10000185</t>
  </si>
  <si>
    <t>+ILS/-USD 3.4482 10-09-20 (10) -238</t>
  </si>
  <si>
    <t>10000183</t>
  </si>
  <si>
    <t>+ILS/-USD 3.4492 01-04-20 (20) -168</t>
  </si>
  <si>
    <t>10012027</t>
  </si>
  <si>
    <t>+ILS/-USD 3.4505 02-04-20 (12) -155</t>
  </si>
  <si>
    <t>10012034</t>
  </si>
  <si>
    <t>+ILS/-USD 3.451 21-04-20 (11) -173</t>
  </si>
  <si>
    <t>10012048</t>
  </si>
  <si>
    <t>+ILS/-USD 3.451 21-04-20 (12) -173</t>
  </si>
  <si>
    <t>10012046</t>
  </si>
  <si>
    <t>+ILS/-USD 3.4515 28-05-20 (10) -160</t>
  </si>
  <si>
    <t>10000164</t>
  </si>
  <si>
    <t>+ILS/-USD 3.4523 06-04-20 (11) -137</t>
  </si>
  <si>
    <t>10000061</t>
  </si>
  <si>
    <t>+ILS/-USD 3.4548 06-04-20 (11) -137</t>
  </si>
  <si>
    <t>10000060</t>
  </si>
  <si>
    <t>+ILS/-USD 3.4556 02-04-20 (11) -154</t>
  </si>
  <si>
    <t>10012033</t>
  </si>
  <si>
    <t>+ILS/-USD 3.4651 18-09-20 (10) -249</t>
  </si>
  <si>
    <t>10000189</t>
  </si>
  <si>
    <t>+ILS/-USD 3.4658 11-09-20 (10) -242</t>
  </si>
  <si>
    <t>10000187</t>
  </si>
  <si>
    <t>+ILS/-USD 3.4825 17-06-20 (10) -175</t>
  </si>
  <si>
    <t>10012146</t>
  </si>
  <si>
    <t>+ILS/-USD 3.483 28-05-20 (10) -170</t>
  </si>
  <si>
    <t>10000195</t>
  </si>
  <si>
    <t>+ILS/-USD 3.4852 28-05-20 (20) -158</t>
  </si>
  <si>
    <t>10000192</t>
  </si>
  <si>
    <t>+ILS/-USD 3.5376 16-03-21 (11) -514</t>
  </si>
  <si>
    <t>10012193</t>
  </si>
  <si>
    <t>10000097</t>
  </si>
  <si>
    <t>+ILS/-USD 3.5382 16-03-21 (12) -518</t>
  </si>
  <si>
    <t>10012195</t>
  </si>
  <si>
    <t>10000263</t>
  </si>
  <si>
    <t>+ILS/-USD 3.5421 13-04-20 (20) -49</t>
  </si>
  <si>
    <t>10000204</t>
  </si>
  <si>
    <t>+ILS/-USD 3.5431 19-05-20 (10) -119</t>
  </si>
  <si>
    <t>10000209</t>
  </si>
  <si>
    <t>+ILS/-USD 3.5481 10-06-20 (11) -119</t>
  </si>
  <si>
    <t>10000099</t>
  </si>
  <si>
    <t>+ILS/-USD 3.55 10-06-20 (20) -120</t>
  </si>
  <si>
    <t>10012199</t>
  </si>
  <si>
    <t>+ILS/-USD 3.5506 13-04-20 (10) -71</t>
  </si>
  <si>
    <t>10000206</t>
  </si>
  <si>
    <t>+ILS/-USD 3.553 10-06-20 (12) -121.5</t>
  </si>
  <si>
    <t>10012197</t>
  </si>
  <si>
    <t>+ILS/-USD 3.5685 18-06-20 (12) -135</t>
  </si>
  <si>
    <t>10000265</t>
  </si>
  <si>
    <t>+ILS/-USD 3.5702 23-03-21 (20) -498</t>
  </si>
  <si>
    <t>10012189</t>
  </si>
  <si>
    <t>+ILS/-USD 3.571 23-03-21 (11) -510</t>
  </si>
  <si>
    <t>10012187</t>
  </si>
  <si>
    <t>10012191</t>
  </si>
  <si>
    <t>+ILS/-USD 3.5715 14-07-20 (12) -210</t>
  </si>
  <si>
    <t>10000260</t>
  </si>
  <si>
    <t>+ILS/-USD 3.583 16-11-20 (11) -340</t>
  </si>
  <si>
    <t>10000095</t>
  </si>
  <si>
    <t>+ILS/-USD 3.5955 22-03-21 (12) -535</t>
  </si>
  <si>
    <t>10012183</t>
  </si>
  <si>
    <t>+ILS/-USD 3.601 02-04-20 (12) -50</t>
  </si>
  <si>
    <t>10000213</t>
  </si>
  <si>
    <t>+ILS/-USD 3.6174 07-04-20 (12) -66</t>
  </si>
  <si>
    <t>10000218</t>
  </si>
  <si>
    <t>+ILS/-USD 3.6399 21-04-20 (10) -31</t>
  </si>
  <si>
    <t>10012185</t>
  </si>
  <si>
    <t>+ILS/-USD 3.6445 15-07-20 (12) -235</t>
  </si>
  <si>
    <t>10012168</t>
  </si>
  <si>
    <t>+ILS/-USD 3.6489 22-07-20 (12) -211</t>
  </si>
  <si>
    <t>10012176</t>
  </si>
  <si>
    <t>+ILS/-USD 3.6513 07-04-20 (20) -67</t>
  </si>
  <si>
    <t>10012149</t>
  </si>
  <si>
    <t>+ILS/-USD 3.66 16-07-20 (20) -218</t>
  </si>
  <si>
    <t>10012171</t>
  </si>
  <si>
    <t>+ILS/-USD 3.684 07-04-20 (10) -180</t>
  </si>
  <si>
    <t>10000239</t>
  </si>
  <si>
    <t>+ILS/-USD 3.717 07-05-20 (20) -380</t>
  </si>
  <si>
    <t>10012151</t>
  </si>
  <si>
    <t>+ILS/-USD 3.747 01-04-20 (10) -120</t>
  </si>
  <si>
    <t>10012160</t>
  </si>
  <si>
    <t>+ILS/-USD 3.7791 17-11-20 (10) -576</t>
  </si>
  <si>
    <t>10012164</t>
  </si>
  <si>
    <t>+ILS/-USD 3.7845 17-11-20 (11) -595</t>
  </si>
  <si>
    <t>10012166</t>
  </si>
  <si>
    <t>+ILS/-USD 3.8 02-07-20 (11) -380</t>
  </si>
  <si>
    <t>10000090</t>
  </si>
  <si>
    <t>+ILS/-USD 3.803 04-06-20 (10) -490</t>
  </si>
  <si>
    <t>10012162</t>
  </si>
  <si>
    <t>+ILS/-USD 3.8145 20-04-20 (10) -195</t>
  </si>
  <si>
    <t>10000251</t>
  </si>
  <si>
    <t>+ILS/-USD 3.82 02-07-20 (20) -450</t>
  </si>
  <si>
    <t>10000011</t>
  </si>
  <si>
    <t>+ILS/-USD 3.8505 02-04-20 (12) -145</t>
  </si>
  <si>
    <t>10000253</t>
  </si>
  <si>
    <t>+USD/-ILS 3.42 15-09-20 (11) -545</t>
  </si>
  <si>
    <t>10012020</t>
  </si>
  <si>
    <t>+USD/-ILS 3.4235 15-09-20 (10) -545</t>
  </si>
  <si>
    <t>10012018</t>
  </si>
  <si>
    <t>+USD/-ILS 3.4338 08-12-20 (10) -382</t>
  </si>
  <si>
    <t>10000158</t>
  </si>
  <si>
    <t>+USD/-ILS 3.4505 28-05-20 (10) -155</t>
  </si>
  <si>
    <t>10000160</t>
  </si>
  <si>
    <t>+USD/-ILS 3.557 20-04-20 (10) -10</t>
  </si>
  <si>
    <t>10000271</t>
  </si>
  <si>
    <t>+USD/-ILS 3.5577 13-04-20 (10) -3</t>
  </si>
  <si>
    <t>10000269</t>
  </si>
  <si>
    <t>+USD/-ILS 3.558 07-04-20 (10) +0</t>
  </si>
  <si>
    <t>10000267</t>
  </si>
  <si>
    <t>+USD/-ILS 3.6465 13-04-20 (20) -35</t>
  </si>
  <si>
    <t>10000259</t>
  </si>
  <si>
    <t>+USD/-ILS 3.6614 19-11-20 (20) -346</t>
  </si>
  <si>
    <t>10012173</t>
  </si>
  <si>
    <t>+USD/-ILS 3.6866 02-04-20 (12) -14</t>
  </si>
  <si>
    <t>10000257</t>
  </si>
  <si>
    <t>+USD/-ILS 3.7485 07-04-20 (10) -65</t>
  </si>
  <si>
    <t>10000245</t>
  </si>
  <si>
    <t>פורוורד ש"ח-מט"ח</t>
  </si>
  <si>
    <t>10012186</t>
  </si>
  <si>
    <t>10012190</t>
  </si>
  <si>
    <t>10012188</t>
  </si>
  <si>
    <t>10012192</t>
  </si>
  <si>
    <t>10000096</t>
  </si>
  <si>
    <t>10000262</t>
  </si>
  <si>
    <t>10012194</t>
  </si>
  <si>
    <t>10000098</t>
  </si>
  <si>
    <t>10012198</t>
  </si>
  <si>
    <t>10012196</t>
  </si>
  <si>
    <t>+USD/-EUR 1.1639 27-04-20 (20) +249</t>
  </si>
  <si>
    <t>10011728</t>
  </si>
  <si>
    <t>+USD/-EUR 1.16395 27-04-20 (10) +249.5</t>
  </si>
  <si>
    <t>10011726</t>
  </si>
  <si>
    <t>+EUR/-USD 1.1318 04-05-20 (12) +202</t>
  </si>
  <si>
    <t>10000035</t>
  </si>
  <si>
    <t>+USD/-EUR 1.11335 20-04-20 (10) +176.5</t>
  </si>
  <si>
    <t>10011883</t>
  </si>
  <si>
    <t>+USD/-EUR 1.1218 04-05-20 (12) +193</t>
  </si>
  <si>
    <t>+USD/-EUR 1.12187 04-05-20 (20) +193.7</t>
  </si>
  <si>
    <t>10000063</t>
  </si>
  <si>
    <t>+USD/-EUR 1.12622 20-04-20 (10) +225.2</t>
  </si>
  <si>
    <t>10011811</t>
  </si>
  <si>
    <t>+USD/-EUR 1.1282 04-05-20 (12) +239</t>
  </si>
  <si>
    <t>10000022</t>
  </si>
  <si>
    <t>+USD/-EUR 1.1593 27-04-20 (11) +251</t>
  </si>
  <si>
    <t>10011750</t>
  </si>
  <si>
    <t>+USD/-GBP 1.23637 23-04-20 (10) +97.7</t>
  </si>
  <si>
    <t>10011860</t>
  </si>
  <si>
    <t>+USD/-GBP 1.23675 23-04-20 (11) +97.5</t>
  </si>
  <si>
    <t>10011862</t>
  </si>
  <si>
    <t>+CAD/-USD 1.3228 27-05-20 (20) +0</t>
  </si>
  <si>
    <t>10012102</t>
  </si>
  <si>
    <t>+EUR/-USD 1.10965 04-05-20 (20) +18.5</t>
  </si>
  <si>
    <t>10000089</t>
  </si>
  <si>
    <t>+EUR/-USD 1.11165 23-06-20 (20) +41.5</t>
  </si>
  <si>
    <t>10000264</t>
  </si>
  <si>
    <t>+EUR/-USD 1.1152 22-09-20 (20) +74</t>
  </si>
  <si>
    <t>+EUR/-USD 1.1465 04-05-20 (20) +29</t>
  </si>
  <si>
    <t>10000201</t>
  </si>
  <si>
    <t>+EUR/-USD 1.1559 22-09-20 (20) +85</t>
  </si>
  <si>
    <t>10000202</t>
  </si>
  <si>
    <t>+USD/-CAD 1.3 27-05-20 (10) -1.3</t>
  </si>
  <si>
    <t>10012040</t>
  </si>
  <si>
    <t>+USD/-CAD 1.3 27-05-20 (20) -1.3</t>
  </si>
  <si>
    <t>10012036</t>
  </si>
  <si>
    <t>+USD/-CAD 1.300365 27-05-20 (11) -1.35</t>
  </si>
  <si>
    <t>10012038</t>
  </si>
  <si>
    <t>+USD/-EUR 1.09172 14-09-20 (10) +130.2</t>
  </si>
  <si>
    <t>10012114</t>
  </si>
  <si>
    <t>+USD/-EUR 1.0918 19-10-20 (12) +78</t>
  </si>
  <si>
    <t>10012179</t>
  </si>
  <si>
    <t>+USD/-EUR 1.09183 14-09-20 (11) +130.3</t>
  </si>
  <si>
    <t>10012116</t>
  </si>
  <si>
    <t>+USD/-EUR 1.09185 14-09-20 (12) +130.5</t>
  </si>
  <si>
    <t>10012118</t>
  </si>
  <si>
    <t>+USD/-EUR 1.11155 20-04-20 (12) +151.5</t>
  </si>
  <si>
    <t>10011909</t>
  </si>
  <si>
    <t>+USD/-EUR 1.1123 04-05-20 (12) +153</t>
  </si>
  <si>
    <t>10000069</t>
  </si>
  <si>
    <t>+USD/-EUR 1.1123 04-05-20 (20) +153</t>
  </si>
  <si>
    <t>+USD/-EUR 1.11238 27-04-20 (12) +56.8</t>
  </si>
  <si>
    <t>10012082</t>
  </si>
  <si>
    <t>+USD/-EUR 1.1158 04-05-20 (20) +144</t>
  </si>
  <si>
    <t>10000046</t>
  </si>
  <si>
    <t>+USD/-EUR 1.1171 04-05-20 (20) +95</t>
  </si>
  <si>
    <t>+USD/-EUR 1.1192 23-06-20 (12) +104</t>
  </si>
  <si>
    <t>10000126</t>
  </si>
  <si>
    <t>+USD/-EUR 1.1195 23-06-20 (20) +105</t>
  </si>
  <si>
    <t>10000124</t>
  </si>
  <si>
    <t>+USD/-EUR 1.1197 01-06-20 (10) +97</t>
  </si>
  <si>
    <t>10012044</t>
  </si>
  <si>
    <t>+USD/-EUR 1.1202 01-06-20 (12) +97</t>
  </si>
  <si>
    <t>10012042</t>
  </si>
  <si>
    <t>+USD/-EUR 1.12086 20-04-20 (12) +118.6</t>
  </si>
  <si>
    <t>10011956</t>
  </si>
  <si>
    <t>+USD/-EUR 1.1219 20-04-20 (12) +129</t>
  </si>
  <si>
    <t>10011920</t>
  </si>
  <si>
    <t>+USD/-EUR 1.1224 08-06-20 (11) +139</t>
  </si>
  <si>
    <t>10011970</t>
  </si>
  <si>
    <t>+USD/-EUR 1.1225 20-04-20 (12) +119</t>
  </si>
  <si>
    <t>10011953</t>
  </si>
  <si>
    <t>+USD/-EUR 1.12275 20-07-20 (12) +156.5</t>
  </si>
  <si>
    <t>10012015</t>
  </si>
  <si>
    <t>+USD/-EUR 1.12321 29-06-20 (10) +142.1</t>
  </si>
  <si>
    <t>10012009</t>
  </si>
  <si>
    <t>+USD/-EUR 1.12332 29-06-20 (11) +142.2</t>
  </si>
  <si>
    <t>10012007</t>
  </si>
  <si>
    <t>+USD/-EUR 1.1234 29-06-20 (20) +142</t>
  </si>
  <si>
    <t>10012005</t>
  </si>
  <si>
    <t>+USD/-EUR 1.1241 20-04-20 (12) +127</t>
  </si>
  <si>
    <t>10011932</t>
  </si>
  <si>
    <t>+USD/-EUR 1.12505 04-05-20 (12) +136.5</t>
  </si>
  <si>
    <t>10000084</t>
  </si>
  <si>
    <t>+USD/-EUR 1.1255 22-09-20 (12) +90</t>
  </si>
  <si>
    <t>10000170</t>
  </si>
  <si>
    <t>+USD/-EUR 1.1256 22-09-20 (20) +91</t>
  </si>
  <si>
    <t>10000172</t>
  </si>
  <si>
    <t>+USD/-EUR 1.1258 22-09-20 (10) +90</t>
  </si>
  <si>
    <t>10000174</t>
  </si>
  <si>
    <t>+USD/-EUR 1.1262 20-04-20 (12) +133</t>
  </si>
  <si>
    <t>10011919</t>
  </si>
  <si>
    <t>+USD/-EUR 1.12684 19-10-20 (10) +102.4</t>
  </si>
  <si>
    <t>10000177</t>
  </si>
  <si>
    <t>+USD/-EUR 1.12855 10-08-20 (20) +141.5</t>
  </si>
  <si>
    <t>10012051</t>
  </si>
  <si>
    <t>+USD/-EUR 1.1289 21-10-20 (20) +99</t>
  </si>
  <si>
    <t>10000181</t>
  </si>
  <si>
    <t>+USD/-EUR 1.129 21-10-20 (12) +99</t>
  </si>
  <si>
    <t>10000179</t>
  </si>
  <si>
    <t>+USD/-EUR 1.1296 10-08-20 (12) +139</t>
  </si>
  <si>
    <t>10012052</t>
  </si>
  <si>
    <t>+USD/-GBP 1.1791 06-07-20 (20) +18</t>
  </si>
  <si>
    <t>10000087</t>
  </si>
  <si>
    <t>+USD/-GBP 1.1793 06-07-20 (12) +18</t>
  </si>
  <si>
    <t>10000255</t>
  </si>
  <si>
    <t>+USD/-GBP 1.23785 18-05-20 (10) +88.5</t>
  </si>
  <si>
    <t>10011902</t>
  </si>
  <si>
    <t>+USD/-GBP 1.23814 18-05-20 (12) +88.4</t>
  </si>
  <si>
    <t>10011904</t>
  </si>
  <si>
    <t>+USD/-GBP 1.29565 18-05-20 (12) +73.5</t>
  </si>
  <si>
    <t>10011934</t>
  </si>
  <si>
    <t>+USD/-GBP 1.29685 08-09-20 (10) +55.5</t>
  </si>
  <si>
    <t>10012132</t>
  </si>
  <si>
    <t>+USD/-GBP 1.29712 08-09-20 (12) +55.2</t>
  </si>
  <si>
    <t>10012134</t>
  </si>
  <si>
    <t>+USD/-GBP 1.2975 08-09-20 (20) +55</t>
  </si>
  <si>
    <t>10012136</t>
  </si>
  <si>
    <t>+USD/-GBP 1.30258 23-04-20 (12) +30.8</t>
  </si>
  <si>
    <t>10012074</t>
  </si>
  <si>
    <t>+USD/-GBP 1.303 18-05-20 (20) +41</t>
  </si>
  <si>
    <t>10012076</t>
  </si>
  <si>
    <t>+USD/-GBP 1.3073 06-07-20 (12) +68</t>
  </si>
  <si>
    <t>10000065</t>
  </si>
  <si>
    <t>+USD/-GBP 1.3078 06-07-20 (20) +68</t>
  </si>
  <si>
    <t>+USD/-JPY 107.03 26-05-20 (10) -135</t>
  </si>
  <si>
    <t>10011936</t>
  </si>
  <si>
    <t>+USD/-JPY 107.05 26-05-20 (12) -135</t>
  </si>
  <si>
    <t>10011938</t>
  </si>
  <si>
    <t>IRS</t>
  </si>
  <si>
    <t>10000000</t>
  </si>
  <si>
    <t>10000005</t>
  </si>
  <si>
    <t>TRS</t>
  </si>
  <si>
    <t>10000129</t>
  </si>
  <si>
    <t>10000134</t>
  </si>
  <si>
    <t>10000261</t>
  </si>
  <si>
    <t/>
  </si>
  <si>
    <t>דולר ניו-זילנד</t>
  </si>
  <si>
    <t>כתר נורבגי</t>
  </si>
  <si>
    <t>רובל רוסי</t>
  </si>
  <si>
    <t>יואן סיני</t>
  </si>
  <si>
    <t>פועלים סהר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</si>
  <si>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</si>
  <si>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</si>
  <si>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</si>
  <si>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</si>
  <si>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</si>
  <si>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</si>
  <si>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</si>
  <si>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</si>
  <si>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</si>
  <si>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</si>
  <si>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יו בנק</t>
  </si>
  <si>
    <t>30026000</t>
  </si>
  <si>
    <t>30395000</t>
  </si>
  <si>
    <t>דירוג פנימי</t>
  </si>
  <si>
    <t>32095000</t>
  </si>
  <si>
    <t>31112000</t>
  </si>
  <si>
    <t>32012000</t>
  </si>
  <si>
    <t>31212000</t>
  </si>
  <si>
    <t>31012000</t>
  </si>
  <si>
    <t>30212000</t>
  </si>
  <si>
    <t>30312000</t>
  </si>
  <si>
    <t>31712000</t>
  </si>
  <si>
    <t>31710000</t>
  </si>
  <si>
    <t>30210000</t>
  </si>
  <si>
    <t>30710000</t>
  </si>
  <si>
    <t>33810000</t>
  </si>
  <si>
    <t>30310000</t>
  </si>
  <si>
    <t>32610000</t>
  </si>
  <si>
    <t>34010000</t>
  </si>
  <si>
    <t>30810000</t>
  </si>
  <si>
    <t>32010000</t>
  </si>
  <si>
    <t>31110000</t>
  </si>
  <si>
    <t>34510000</t>
  </si>
  <si>
    <t>34610000</t>
  </si>
  <si>
    <t>31210000</t>
  </si>
  <si>
    <t>34520000</t>
  </si>
  <si>
    <t>30320000</t>
  </si>
  <si>
    <t>30820000</t>
  </si>
  <si>
    <t>31120000</t>
  </si>
  <si>
    <t>31220000</t>
  </si>
  <si>
    <t>32020000</t>
  </si>
  <si>
    <t>34020000</t>
  </si>
  <si>
    <t>31720000</t>
  </si>
  <si>
    <t>32011000</t>
  </si>
  <si>
    <t>30211000</t>
  </si>
  <si>
    <t>30311000</t>
  </si>
  <si>
    <t>31726000</t>
  </si>
  <si>
    <t>30326000</t>
  </si>
  <si>
    <t>UBS</t>
  </si>
  <si>
    <t>30291000</t>
  </si>
  <si>
    <t>30391000</t>
  </si>
  <si>
    <t>32091000</t>
  </si>
  <si>
    <t>30891000</t>
  </si>
  <si>
    <t>31791000</t>
  </si>
  <si>
    <t>סוויסקי</t>
  </si>
  <si>
    <t>30396000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</si>
  <si>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</si>
  <si>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</si>
  <si>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</si>
  <si>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</si>
  <si>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</si>
  <si>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</si>
  <si>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</si>
  <si>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</si>
  <si>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</si>
  <si>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</si>
  <si>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</si>
  <si>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</si>
  <si>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</si>
  <si>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90150400</t>
  </si>
  <si>
    <t>520300</t>
  </si>
  <si>
    <t>90150520</t>
  </si>
  <si>
    <t>AA</t>
  </si>
  <si>
    <t>14811160</t>
  </si>
  <si>
    <t>14760843</t>
  </si>
  <si>
    <t>11898602</t>
  </si>
  <si>
    <t>תשתיות</t>
  </si>
  <si>
    <t>11898601</t>
  </si>
  <si>
    <t>11898600</t>
  </si>
  <si>
    <t>11898603</t>
  </si>
  <si>
    <t>11898604</t>
  </si>
  <si>
    <t>11898606</t>
  </si>
  <si>
    <t>11898607</t>
  </si>
  <si>
    <t>11898608</t>
  </si>
  <si>
    <t>11898609</t>
  </si>
  <si>
    <t>11898610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</si>
  <si>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</si>
  <si>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</si>
  <si>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</si>
  <si>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</si>
  <si>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</si>
  <si>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</si>
  <si>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</si>
  <si>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</si>
  <si>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</si>
  <si>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</si>
  <si>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</si>
  <si>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</si>
  <si>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</si>
  <si>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</si>
  <si>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</si>
  <si>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</si>
  <si>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</si>
  <si>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</si>
  <si>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</si>
  <si>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</si>
  <si>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</si>
  <si>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</si>
  <si>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</si>
  <si>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</si>
  <si>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</si>
  <si>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</si>
  <si>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</si>
  <si>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</si>
  <si>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</si>
  <si>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</si>
  <si>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</si>
  <si>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</si>
  <si>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</si>
  <si>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</si>
  <si>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</si>
  <si>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</si>
  <si>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</si>
  <si>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</si>
  <si>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</si>
  <si>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</si>
  <si>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</si>
  <si>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</si>
  <si>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</si>
  <si>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</si>
  <si>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</si>
  <si>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</si>
  <si>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</si>
  <si>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</si>
  <si>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</si>
  <si>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</si>
  <si>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</si>
  <si>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</si>
  <si>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</si>
  <si>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</si>
  <si>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</si>
  <si>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</si>
  <si>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</si>
  <si>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40999</t>
  </si>
  <si>
    <t>14760844</t>
  </si>
  <si>
    <t>90136004</t>
  </si>
  <si>
    <t>414968</t>
  </si>
  <si>
    <t>487742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</si>
  <si>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</si>
  <si>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</si>
  <si>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</si>
  <si>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</si>
  <si>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</si>
  <si>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</si>
  <si>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</si>
  <si>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</si>
  <si>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</si>
  <si>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</si>
  <si>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</si>
  <si>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</si>
  <si>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</si>
  <si>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</si>
  <si>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</si>
  <si>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91102701</t>
  </si>
  <si>
    <t>84666730</t>
  </si>
  <si>
    <t>91040003</t>
  </si>
  <si>
    <t>91040006</t>
  </si>
  <si>
    <t>91040009</t>
  </si>
  <si>
    <t>66679</t>
  </si>
  <si>
    <t>91050039</t>
  </si>
  <si>
    <t>91050040</t>
  </si>
  <si>
    <t>91040012</t>
  </si>
  <si>
    <t>455954</t>
  </si>
  <si>
    <t>91102799</t>
  </si>
  <si>
    <t>91102798</t>
  </si>
  <si>
    <t>90145980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</si>
  <si>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</si>
  <si>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</si>
  <si>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</si>
  <si>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</si>
  <si>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</si>
  <si>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</si>
  <si>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</si>
  <si>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</si>
  <si>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</si>
  <si>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</si>
  <si>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</si>
  <si>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</si>
  <si>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</si>
  <si>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</si>
  <si>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482154</t>
  </si>
  <si>
    <t>482153</t>
  </si>
  <si>
    <t>90145362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</si>
  <si>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</si>
  <si>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</si>
  <si>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</si>
  <si>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</si>
  <si>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</si>
  <si>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</si>
  <si>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</si>
  <si>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</si>
  <si>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</si>
  <si>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</si>
  <si>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</si>
  <si>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</si>
  <si>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</si>
  <si>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</si>
  <si>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</si>
  <si>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</si>
  <si>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</si>
  <si>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84666732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</si>
  <si>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</si>
  <si>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</si>
  <si>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</si>
  <si>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</si>
  <si>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</si>
  <si>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</si>
  <si>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</si>
  <si>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</si>
  <si>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</si>
  <si>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</si>
  <si>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</si>
  <si>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90141407</t>
  </si>
  <si>
    <t>Baa1.il</t>
  </si>
  <si>
    <t>90800100</t>
  </si>
  <si>
    <t>D</t>
  </si>
  <si>
    <t>9912270</t>
  </si>
  <si>
    <t>508506</t>
  </si>
  <si>
    <t>90240951</t>
  </si>
  <si>
    <t>90240952</t>
  </si>
  <si>
    <t>90240953</t>
  </si>
  <si>
    <t>90240954</t>
  </si>
  <si>
    <t>90240950</t>
  </si>
  <si>
    <t>66624</t>
  </si>
  <si>
    <t>67859</t>
  </si>
  <si>
    <t>535150</t>
  </si>
  <si>
    <t>483880</t>
  </si>
  <si>
    <t>508309</t>
  </si>
  <si>
    <t>487557</t>
  </si>
  <si>
    <t>487556</t>
  </si>
  <si>
    <t>464740</t>
  </si>
  <si>
    <t>491862</t>
  </si>
  <si>
    <t>491863</t>
  </si>
  <si>
    <t>491864</t>
  </si>
  <si>
    <t>469140</t>
  </si>
  <si>
    <t>72808</t>
  </si>
  <si>
    <t>475042</t>
  </si>
  <si>
    <t>491469</t>
  </si>
  <si>
    <t>487447</t>
  </si>
  <si>
    <t>471677</t>
  </si>
  <si>
    <t>95004006</t>
  </si>
  <si>
    <t>95004007</t>
  </si>
  <si>
    <t>95004002</t>
  </si>
  <si>
    <t>95004003</t>
  </si>
  <si>
    <t>95004004</t>
  </si>
  <si>
    <t>95004005</t>
  </si>
  <si>
    <t>521872</t>
  </si>
  <si>
    <t>474437</t>
  </si>
  <si>
    <t>474436</t>
  </si>
  <si>
    <t>אדנים 2022 6.2%</t>
  </si>
  <si>
    <t>7252844</t>
  </si>
  <si>
    <t>אדנים 2028 5.65%</t>
  </si>
  <si>
    <t>7252851</t>
  </si>
  <si>
    <t>בנק הפועלים 6</t>
  </si>
  <si>
    <t>6626253</t>
  </si>
  <si>
    <t>בנק הפועלים פקדון</t>
  </si>
  <si>
    <t>6620405</t>
  </si>
  <si>
    <t>בנק מזרחי 5.51% 5/2023</t>
  </si>
  <si>
    <t>טפחות פקדון 2029 5.75%</t>
  </si>
  <si>
    <t>6682264</t>
  </si>
  <si>
    <t>משכן 2021 5.25%</t>
  </si>
  <si>
    <t>6477178</t>
  </si>
  <si>
    <t>משכן 2028 5.6%</t>
  </si>
  <si>
    <t>6477574</t>
  </si>
  <si>
    <t>פועלים 2024 5.1%</t>
  </si>
  <si>
    <t>6620264</t>
  </si>
  <si>
    <t>פועלים 26/5/2018 5</t>
  </si>
  <si>
    <t>6626394</t>
  </si>
  <si>
    <t>פועלים פקדון 5.05%</t>
  </si>
  <si>
    <t>6620447</t>
  </si>
  <si>
    <t>פועלים פקדון 5.05% 2027</t>
  </si>
  <si>
    <t>6620512</t>
  </si>
  <si>
    <t>אוצר השלטון 2022 6.5%</t>
  </si>
  <si>
    <t>6396220</t>
  </si>
  <si>
    <t>אוצר השלטון 2023 6.2%</t>
  </si>
  <si>
    <t>6396329</t>
  </si>
  <si>
    <t>ירושלים 2022 6.3%</t>
  </si>
  <si>
    <t>7265499</t>
  </si>
  <si>
    <t>נדלן קרית הלאום</t>
  </si>
  <si>
    <t>השכרה</t>
  </si>
  <si>
    <t>ישראל גלילי 3, ראשון לציון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</si>
  <si>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</si>
  <si>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</si>
  <si>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</si>
  <si>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</si>
  <si>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</si>
  <si>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</si>
  <si>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קניון הזהב ראשלצ</t>
  </si>
  <si>
    <t>קניון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</si>
  <si>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</si>
  <si>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</si>
  <si>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</si>
  <si>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</si>
  <si>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</si>
  <si>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</si>
  <si>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</si>
  <si>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</si>
  <si>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</si>
  <si>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</si>
  <si>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</si>
  <si>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</si>
  <si>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</si>
  <si>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</si>
  <si>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</si>
  <si>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</si>
  <si>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</si>
  <si>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</si>
  <si>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</si>
  <si>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</si>
  <si>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</si>
  <si>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</si>
  <si>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</si>
  <si>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רוטשילד 1 תא</t>
  </si>
  <si>
    <t>רוטשילד 1, תל אביב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</si>
  <si>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</si>
  <si>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</si>
  <si>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</si>
  <si>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</si>
  <si>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סופר פארם בת ים</t>
  </si>
  <si>
    <t>שד העצמאות 67, בת ים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</si>
  <si>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</si>
  <si>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</si>
  <si>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</si>
  <si>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</si>
  <si>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</si>
  <si>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</si>
  <si>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</si>
  <si>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</si>
  <si>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</si>
  <si>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</si>
  <si>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</si>
  <si>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</si>
  <si>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</si>
  <si>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</si>
  <si>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אלביט נתניה - עלות</t>
  </si>
  <si>
    <t>המחשב 2, איזור תעשיה ספיר, נתניה</t>
  </si>
  <si>
    <t>נדלן בית גהה</t>
  </si>
  <si>
    <t>אפעל 15, קריית אריה, פתח תקוה</t>
  </si>
  <si>
    <t>נדלן מגדלי הסיבים פת-עלות-לא מניב</t>
  </si>
  <si>
    <t>נדלן פסגות ירושלים</t>
  </si>
  <si>
    <t>מרכז מסחרי, שכונת רוממה, ירושלים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</si>
  <si>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</si>
  <si>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</si>
  <si>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</si>
  <si>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</si>
  <si>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</si>
  <si>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</si>
  <si>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</si>
  <si>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</si>
  <si>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דיסקונט שטרי הון נדחים  סדב</t>
  </si>
  <si>
    <t>דרך ארץ   חוב נחות</t>
  </si>
  <si>
    <t>90150100</t>
  </si>
  <si>
    <t>90150200</t>
  </si>
  <si>
    <t>.0.00</t>
  </si>
  <si>
    <t>Citymark Building*</t>
  </si>
  <si>
    <t>Accelmed growth partners</t>
  </si>
  <si>
    <t>NOY 2 infra &amp; energy investment LP</t>
  </si>
  <si>
    <t>ANATOMY 2</t>
  </si>
  <si>
    <t>ANATOMY I</t>
  </si>
  <si>
    <t>Argan Capital L.P</t>
  </si>
  <si>
    <t>Avista Capital Partners L.P</t>
  </si>
  <si>
    <t>Accelmed medical</t>
  </si>
  <si>
    <t>Brookfield  RE  II</t>
  </si>
  <si>
    <t>Blackstone RE VIII</t>
  </si>
  <si>
    <t>Fortissimo Capital Fund II</t>
  </si>
  <si>
    <t>Fortissimo Capital Fund I - makefet</t>
  </si>
  <si>
    <t>Fortissimo Capital Fund III</t>
  </si>
  <si>
    <t>Gavea III</t>
  </si>
  <si>
    <t>Gavea IV</t>
  </si>
  <si>
    <t>Klirmark Opportunity I</t>
  </si>
  <si>
    <t>Klirmark Opportunity II</t>
  </si>
  <si>
    <t>Israel Cleantech Ventures II</t>
  </si>
  <si>
    <t>KOTAK- CIIF I</t>
  </si>
  <si>
    <t>Olympus Capital Asia III L.P</t>
  </si>
  <si>
    <t>Orbimed Israel Partners I</t>
  </si>
  <si>
    <t>Reality III</t>
  </si>
  <si>
    <t>Rhone Capital Partners V</t>
  </si>
  <si>
    <t>Rothschild Real Estate</t>
  </si>
  <si>
    <t>Selene -mak</t>
  </si>
  <si>
    <t>Shamrock Israel Growth I</t>
  </si>
  <si>
    <t>Silverfleet II</t>
  </si>
  <si>
    <t>Sky I</t>
  </si>
  <si>
    <t>Sky II</t>
  </si>
  <si>
    <t>Tene Growth II</t>
  </si>
  <si>
    <t>Tene Growth II- Qnergy</t>
  </si>
  <si>
    <t>Tene Growth III</t>
  </si>
  <si>
    <t>THOMA BRAVO XII</t>
  </si>
  <si>
    <t>Trilantic capital partners V</t>
  </si>
  <si>
    <t>VICTORIA I</t>
  </si>
  <si>
    <t>Vintage IV Migdal LP</t>
  </si>
  <si>
    <t>Viola PE II LP</t>
  </si>
  <si>
    <t>FIMI 6</t>
  </si>
  <si>
    <t>Advent</t>
  </si>
  <si>
    <t>meridiam III</t>
  </si>
  <si>
    <t>Orbimed  II</t>
  </si>
  <si>
    <t>NOY 2 co-investment Ashalim plot A</t>
  </si>
  <si>
    <t>apollo  II</t>
  </si>
  <si>
    <t>Bluebay SLFI</t>
  </si>
  <si>
    <t>harbourvest ח-ן מנוהל</t>
  </si>
  <si>
    <t>harbourvest DOVER</t>
  </si>
  <si>
    <t>Warburg Pincus China I</t>
  </si>
  <si>
    <t>Permira</t>
  </si>
  <si>
    <t>SVB VIII</t>
  </si>
  <si>
    <t>sky III</t>
  </si>
  <si>
    <t>Crescent mezzanine VII</t>
  </si>
  <si>
    <t>ARES private credit solutions</t>
  </si>
  <si>
    <t>HARBOURVEST co-inv preston</t>
  </si>
  <si>
    <t>Migdal-HarbourVest 2016 Fund L.P. (Tranche B)</t>
  </si>
  <si>
    <t>harbourvest part' co inv fund IV (Tranche B)</t>
  </si>
  <si>
    <t>waterton</t>
  </si>
  <si>
    <t>Vintage Migdal Co-investment</t>
  </si>
  <si>
    <t>Kartesia Credit Opportunities IV SCS</t>
  </si>
  <si>
    <t>ICG SDP III</t>
  </si>
  <si>
    <t>HARBOURVEST project Celtics</t>
  </si>
  <si>
    <t>infrared infrastructure fund v</t>
  </si>
  <si>
    <t>tene growth capital IV</t>
  </si>
  <si>
    <t>HARBOURVEST pamlico</t>
  </si>
  <si>
    <t>Patria VI</t>
  </si>
  <si>
    <t>Migdal-HarbourVes project Draco</t>
  </si>
  <si>
    <t>Helios Renewable Energy 1</t>
  </si>
  <si>
    <t>ICGL V</t>
  </si>
  <si>
    <t>ACE IV</t>
  </si>
  <si>
    <t>brookfield III F3</t>
  </si>
  <si>
    <t>SVB IX</t>
  </si>
  <si>
    <t>Migdal-HarbourVest Project Saxa</t>
  </si>
  <si>
    <t>Vintage Fund of Funds (access) V</t>
  </si>
  <si>
    <t>PGCO IV Co-mingled Fund SCSP</t>
  </si>
  <si>
    <t>TPG ASIA VII L.P</t>
  </si>
  <si>
    <t xml:space="preserve">ADLS </t>
  </si>
  <si>
    <t>ADLS  co-inv</t>
  </si>
  <si>
    <t>KELSO INVESTMENT ASSOCIATES X - HARB B</t>
  </si>
  <si>
    <t xml:space="preserve">TDLIV </t>
  </si>
  <si>
    <t>EC1 ADLS  co-inv</t>
  </si>
  <si>
    <t xml:space="preserve">WSREDII </t>
  </si>
  <si>
    <t>JCI Power Solut</t>
  </si>
  <si>
    <t>KSO I</t>
  </si>
  <si>
    <t>Reality IV</t>
  </si>
  <si>
    <t>EC2 ADLS  co-inv</t>
  </si>
  <si>
    <t>Kartesia Credit Opportunities V</t>
  </si>
  <si>
    <t>BROOKFIELD HSO CO-INVEST L.P</t>
  </si>
  <si>
    <t>KLIRMARK III</t>
  </si>
  <si>
    <t>GLOBAL INFRASTRUCTURE PARTNERS IV</t>
  </si>
  <si>
    <t>VINTAGE MIGDAL CO-INVESTMENT F2</t>
  </si>
  <si>
    <t>BCP V BRAND CO-INVEST LP</t>
  </si>
  <si>
    <t>Arkin Bio Ventures II, L.P</t>
  </si>
  <si>
    <t>Fortissimo Capital Fund V L.P.</t>
  </si>
  <si>
    <t>Ares Special Situations Fund IV</t>
  </si>
  <si>
    <t>Graph Tech Brookfield</t>
  </si>
  <si>
    <t>Enlight</t>
  </si>
  <si>
    <t>PERMIRA CREDIT SOLUTIONS IV</t>
  </si>
  <si>
    <t>VINTAGE MIGDAL CO-INVESTMENT II LP</t>
  </si>
  <si>
    <t>SPECTRUM</t>
  </si>
  <si>
    <t>CAPSII</t>
  </si>
  <si>
    <t>PITANGO VIII VINTAGE CO-INVESTMEN</t>
  </si>
  <si>
    <t>סה"כ יתרות התחייבות להשקעה</t>
  </si>
  <si>
    <t>סה"כ בחו"ל</t>
  </si>
  <si>
    <t xml:space="preserve">נדל"ן מניב בישראל </t>
  </si>
  <si>
    <t>נדל"ן מניב בחו"ל</t>
  </si>
  <si>
    <t>בבטחונות אחרים - גורם 07</t>
  </si>
  <si>
    <t>גורם 111</t>
  </si>
  <si>
    <t>גורם 105</t>
  </si>
  <si>
    <t>גורם 80</t>
  </si>
  <si>
    <t>גורם 155</t>
  </si>
  <si>
    <t>גורם 154</t>
  </si>
  <si>
    <t>גורם 98</t>
  </si>
  <si>
    <t>גורם 158</t>
  </si>
  <si>
    <t>גורם 43</t>
  </si>
  <si>
    <t>גורם 144</t>
  </si>
  <si>
    <t>גורם 156</t>
  </si>
  <si>
    <t>גורם 104</t>
  </si>
  <si>
    <t>גורם 137</t>
  </si>
  <si>
    <t>גורם 148</t>
  </si>
  <si>
    <t>גורם 143</t>
  </si>
  <si>
    <t xml:space="preserve">  HARBOURVEST incline</t>
  </si>
  <si>
    <t>גורם 125</t>
  </si>
  <si>
    <t>גורם 138</t>
  </si>
  <si>
    <t>גורם 112</t>
  </si>
  <si>
    <t>גורם 149</t>
  </si>
  <si>
    <t>גורם 142</t>
  </si>
  <si>
    <t>גורם 128</t>
  </si>
  <si>
    <t>גורם 124</t>
  </si>
  <si>
    <t>גורם 139</t>
  </si>
  <si>
    <t>גורם 87</t>
  </si>
  <si>
    <t>גורם 153</t>
  </si>
  <si>
    <t>גורם 146</t>
  </si>
  <si>
    <t>גורם 157</t>
  </si>
  <si>
    <t>גורם 119</t>
  </si>
  <si>
    <t>נדל"ן מניב בישראל</t>
  </si>
  <si>
    <t>מובטחות משכנתא - גורם 01</t>
  </si>
  <si>
    <t>בבטחונות אחרים - גורם 80</t>
  </si>
  <si>
    <t>בבטחונות אחרים - גורם 81</t>
  </si>
  <si>
    <t>בבטחונות אחרים - גורם 7</t>
  </si>
  <si>
    <t>בבטחונות אחרים - גורם 94</t>
  </si>
  <si>
    <t>בבטחונות אחרים - גורם 29</t>
  </si>
  <si>
    <t>בבטחונות אחרים - גורם 111</t>
  </si>
  <si>
    <t>בבטחונות אחרים - גורם 69</t>
  </si>
  <si>
    <t>בבטחונות אחרים - גורם 63</t>
  </si>
  <si>
    <t>בבטחונות אחרים - גורם 26</t>
  </si>
  <si>
    <t>בבטחונות אחרים - גורם 37</t>
  </si>
  <si>
    <t>בבטחונות אחרים - גורם 64</t>
  </si>
  <si>
    <t>בבטחונות אחרים - גורם 35</t>
  </si>
  <si>
    <t>בבטחונות אחרים - גורם 147</t>
  </si>
  <si>
    <t>בבטחונות אחרים - גורם 156</t>
  </si>
  <si>
    <t>בבטחונות אחרים - גורם 41</t>
  </si>
  <si>
    <t>בבטחונות אחרים - גורם 154</t>
  </si>
  <si>
    <t>בבטחונות אחרים - גורם 33</t>
  </si>
  <si>
    <t>בבטחונות אחרים - גורם 159</t>
  </si>
  <si>
    <t>בבטחונות אחרים - גורם 105</t>
  </si>
  <si>
    <t>בבטחונות אחרים - גורם 62</t>
  </si>
  <si>
    <t>בבטחונות אחרים - גורם 40</t>
  </si>
  <si>
    <t>בבטחונות אחרים - גורם 76</t>
  </si>
  <si>
    <t>בבטחונות אחרים - גורם 47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</si>
  <si>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</si>
  <si>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</si>
  <si>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</si>
  <si>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</si>
  <si>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89</t>
  </si>
  <si>
    <t>בבטחונות אחרים - גורם 30</t>
  </si>
  <si>
    <t>בבטחונות אחרים - גורם 78</t>
  </si>
  <si>
    <t>בבטחונות אחרים - גורם 77</t>
  </si>
  <si>
    <t>בבטחונות אחרים - גורם 103</t>
  </si>
  <si>
    <t>בבטחונות אחרים - גורם 90</t>
  </si>
  <si>
    <t>בבטחונות אחרים - גורם 43</t>
  </si>
  <si>
    <t>בבטחונות אחרים - גורם 130</t>
  </si>
  <si>
    <t>בבטחונות אחרים - גורם 104</t>
  </si>
  <si>
    <t>בבטחונות אחרים - גורם 155</t>
  </si>
  <si>
    <t>בבטחונות אחרים - גורם 70</t>
  </si>
  <si>
    <t>בבטחונות אחרים - גורם 14*</t>
  </si>
  <si>
    <t>בבטחונות אחרים - גורם 152</t>
  </si>
  <si>
    <t>בבטחונות אחרים - גורם 144</t>
  </si>
  <si>
    <t>בבטחונות אחרים - גורם 61</t>
  </si>
  <si>
    <t>בבטחונות אחרים - גורם 115*</t>
  </si>
  <si>
    <t>בבטחונות אחרים - גורם 119</t>
  </si>
  <si>
    <t>בבטחונות אחרים - גורם 132</t>
  </si>
  <si>
    <t>בבטחונות אחרים - גורם 102</t>
  </si>
  <si>
    <t>בבטחונות אחרים - גורם 131</t>
  </si>
  <si>
    <t>בבטחונות אחרים - גורם 106</t>
  </si>
  <si>
    <t>בבטחונות אחרים - גורם 84</t>
  </si>
  <si>
    <t>בבטחונות אחרים - גורם 117</t>
  </si>
  <si>
    <t>בבטחונות אחרים - גורם 86</t>
  </si>
  <si>
    <t>בבטחונות אחרים - גורם 133</t>
  </si>
  <si>
    <t>בבטחונות אחרים - גורם 137</t>
  </si>
  <si>
    <t>בבטחונות אחרים - גורם 141</t>
  </si>
  <si>
    <t>בבטחונות אחרים - גורם 97</t>
  </si>
  <si>
    <t>בבטחונות אחרים - גורם 110</t>
  </si>
  <si>
    <t>בבטחונות אחרים - גורם 118</t>
  </si>
  <si>
    <t>בבטחונות אחרים - גורם 140</t>
  </si>
  <si>
    <t>בבטחונות אחרים - גורם 148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</si>
  <si>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</si>
  <si>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</si>
  <si>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</si>
  <si>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</si>
  <si>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</si>
  <si>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</si>
  <si>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</si>
  <si>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</si>
  <si>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</si>
  <si>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122</t>
  </si>
  <si>
    <t>בבטחונות אחרים - גורם 149</t>
  </si>
  <si>
    <t>בבטחונות אחרים - גורם 142</t>
  </si>
  <si>
    <t>בבטחונות אחרים - גורם 127</t>
  </si>
  <si>
    <t>בבטחונות אחרים - גורם 91</t>
  </si>
  <si>
    <t>בבטחונות אחרים - גורם 101</t>
  </si>
  <si>
    <t>בבטחונות אחרים - גורם 134</t>
  </si>
  <si>
    <t>בבטחונות אחרים - גורם 124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</si>
  <si>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</si>
  <si>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</si>
  <si>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</si>
  <si>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</si>
  <si>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</si>
  <si>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160</t>
  </si>
  <si>
    <t>בבטחונות אחרים - גורם 87</t>
  </si>
  <si>
    <t>בבטחונות אחרים - גורם 146</t>
  </si>
  <si>
    <t>IL0060404899</t>
  </si>
  <si>
    <t>Baa1</t>
  </si>
  <si>
    <t>פח"ק/פר"י</t>
  </si>
  <si>
    <t>35195000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</si>
</sst>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  <numFmt numFmtId="169" formatCode="dd/mm/yyyy;@"/>
    <numFmt numFmtId="170" formatCode="#,##0.00000000000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Times New Roman"/>
      <family val="2"/>
      <charset val="177"/>
      <scheme val="major"/>
    </font>
    <font>
      <sz val="11"/>
      <name val="Arial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20">
    <xf numFmtId="0" fontId="0" fillId="0" borderId="0"/>
    <xf numFmtId="164" fontId="24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8" fillId="0" borderId="0"/>
    <xf numFmtId="0" fontId="24" fillId="0" borderId="0"/>
    <xf numFmtId="0" fontId="3" fillId="0" borderId="0"/>
    <xf numFmtId="9" fontId="24" fillId="0" borderId="0" applyFont="0" applyFill="0" applyBorder="0" applyAlignment="0" applyProtection="0"/>
    <xf numFmtId="166" fontId="14" fillId="0" borderId="0" applyFill="0" applyBorder="0" applyProtection="0">
      <alignment horizontal="right"/>
    </xf>
    <xf numFmtId="166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176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17" fillId="0" borderId="0" xfId="7" applyFont="1" applyAlignment="1">
      <alignment horizontal="justify" readingOrder="2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6" fillId="2" borderId="1" xfId="7" applyNumberFormat="1" applyFont="1" applyFill="1" applyBorder="1" applyAlignment="1">
      <alignment horizontal="center" vertical="center" wrapText="1" readingOrder="2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49" fontId="7" fillId="2" borderId="3" xfId="7" applyNumberFormat="1" applyFont="1" applyFill="1" applyBorder="1" applyAlignment="1">
      <alignment horizontal="center" wrapText="1"/>
    </xf>
    <xf numFmtId="0" fontId="16" fillId="2" borderId="1" xfId="7" applyNumberFormat="1" applyFont="1" applyFill="1" applyBorder="1" applyAlignment="1">
      <alignment horizontal="right" vertical="center" wrapText="1" indent="1"/>
    </xf>
    <xf numFmtId="49" fontId="16" fillId="2" borderId="1" xfId="7" applyNumberFormat="1" applyFont="1" applyFill="1" applyBorder="1" applyAlignment="1">
      <alignment horizontal="right" vertical="center" wrapText="1" indent="3" readingOrder="2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7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center" vertical="center" wrapText="1" readingOrder="2"/>
    </xf>
    <xf numFmtId="49" fontId="16" fillId="2" borderId="7" xfId="7" applyNumberFormat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11" applyFont="1" applyFill="1" applyBorder="1" applyAlignment="1" applyProtection="1">
      <alignment horizontal="center" readingOrder="2"/>
    </xf>
    <xf numFmtId="49" fontId="7" fillId="2" borderId="6" xfId="0" applyNumberFormat="1" applyFont="1" applyFill="1" applyBorder="1" applyAlignment="1">
      <alignment horizontal="center" wrapText="1"/>
    </xf>
    <xf numFmtId="0" fontId="4" fillId="0" borderId="0" xfId="11" applyFill="1" applyBorder="1" applyAlignment="1" applyProtection="1">
      <alignment horizontal="center" readingOrder="2"/>
    </xf>
    <xf numFmtId="0" fontId="16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49" fontId="16" fillId="2" borderId="10" xfId="7" applyNumberFormat="1" applyFont="1" applyFill="1" applyBorder="1" applyAlignment="1">
      <alignment horizontal="center" vertical="center" wrapText="1" readingOrder="2"/>
    </xf>
    <xf numFmtId="3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right" vertical="center" wrapText="1" readingOrder="2"/>
    </xf>
    <xf numFmtId="0" fontId="16" fillId="2" borderId="1" xfId="7" applyNumberFormat="1" applyFont="1" applyFill="1" applyBorder="1" applyAlignment="1">
      <alignment horizontal="right" vertical="center" wrapText="1" readingOrder="2"/>
    </xf>
    <xf numFmtId="0" fontId="16" fillId="2" borderId="5" xfId="7" applyNumberFormat="1" applyFont="1" applyFill="1" applyBorder="1" applyAlignment="1">
      <alignment horizontal="right" vertical="center" wrapText="1" indent="1" readingOrder="2"/>
    </xf>
    <xf numFmtId="0" fontId="11" fillId="2" borderId="21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3" xfId="0" applyFont="1" applyFill="1" applyBorder="1" applyAlignment="1">
      <alignment horizontal="right"/>
    </xf>
    <xf numFmtId="0" fontId="27" fillId="0" borderId="2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3" xfId="0" applyNumberFormat="1" applyFont="1" applyFill="1" applyBorder="1" applyAlignment="1">
      <alignment horizontal="right"/>
    </xf>
    <xf numFmtId="10" fontId="27" fillId="0" borderId="23" xfId="0" applyNumberFormat="1" applyFont="1" applyFill="1" applyBorder="1" applyAlignment="1">
      <alignment horizontal="right"/>
    </xf>
    <xf numFmtId="2" fontId="27" fillId="0" borderId="23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7" fontId="27" fillId="0" borderId="23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/>
    </xf>
    <xf numFmtId="0" fontId="27" fillId="0" borderId="25" xfId="0" applyFont="1" applyFill="1" applyBorder="1" applyAlignment="1">
      <alignment horizontal="right" indent="1"/>
    </xf>
    <xf numFmtId="0" fontId="27" fillId="0" borderId="25" xfId="0" applyFont="1" applyFill="1" applyBorder="1" applyAlignment="1">
      <alignment horizontal="right" indent="2"/>
    </xf>
    <xf numFmtId="0" fontId="28" fillId="0" borderId="25" xfId="0" applyFont="1" applyFill="1" applyBorder="1" applyAlignment="1">
      <alignment horizontal="right" indent="3"/>
    </xf>
    <xf numFmtId="0" fontId="28" fillId="0" borderId="25" xfId="0" applyFont="1" applyFill="1" applyBorder="1" applyAlignment="1">
      <alignment horizontal="right" indent="2"/>
    </xf>
    <xf numFmtId="0" fontId="8" fillId="0" borderId="0" xfId="0" applyFont="1" applyAlignment="1">
      <alignment horizontal="right"/>
    </xf>
    <xf numFmtId="164" fontId="7" fillId="0" borderId="26" xfId="13" applyFont="1" applyBorder="1" applyAlignment="1">
      <alignment horizontal="right"/>
    </xf>
    <xf numFmtId="10" fontId="7" fillId="0" borderId="26" xfId="14" applyNumberFormat="1" applyFont="1" applyBorder="1" applyAlignment="1">
      <alignment horizontal="center"/>
    </xf>
    <xf numFmtId="2" fontId="7" fillId="0" borderId="26" xfId="7" applyNumberFormat="1" applyFont="1" applyBorder="1" applyAlignment="1">
      <alignment horizontal="right"/>
    </xf>
    <xf numFmtId="168" fontId="7" fillId="0" borderId="26" xfId="7" applyNumberFormat="1" applyFont="1" applyBorder="1" applyAlignment="1">
      <alignment horizontal="center"/>
    </xf>
    <xf numFmtId="0" fontId="27" fillId="0" borderId="27" xfId="0" applyFont="1" applyFill="1" applyBorder="1" applyAlignment="1">
      <alignment horizontal="right"/>
    </xf>
    <xf numFmtId="0" fontId="27" fillId="0" borderId="27" xfId="0" applyNumberFormat="1" applyFont="1" applyFill="1" applyBorder="1" applyAlignment="1">
      <alignment horizontal="right"/>
    </xf>
    <xf numFmtId="4" fontId="27" fillId="0" borderId="27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14" fontId="27" fillId="0" borderId="0" xfId="0" applyNumberFormat="1" applyFont="1" applyFill="1" applyBorder="1" applyAlignment="1">
      <alignment horizontal="right"/>
    </xf>
    <xf numFmtId="169" fontId="2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readingOrder="2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9" fillId="0" borderId="0" xfId="0" applyFont="1" applyFill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0" fontId="29" fillId="0" borderId="0" xfId="0" applyFont="1" applyFill="1"/>
    <xf numFmtId="2" fontId="29" fillId="0" borderId="0" xfId="0" applyNumberFormat="1" applyFont="1" applyFill="1"/>
    <xf numFmtId="0" fontId="12" fillId="0" borderId="0" xfId="0" applyFont="1" applyFill="1" applyAlignment="1">
      <alignment horizontal="right" readingOrder="2"/>
    </xf>
    <xf numFmtId="10" fontId="32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 applyBorder="1" applyAlignment="1">
      <alignment horizontal="right"/>
    </xf>
    <xf numFmtId="14" fontId="2" fillId="0" borderId="0" xfId="18" applyNumberFormat="1" applyFill="1"/>
    <xf numFmtId="10" fontId="27" fillId="0" borderId="0" xfId="14" applyNumberFormat="1" applyFont="1" applyFill="1" applyBorder="1" applyAlignment="1">
      <alignment horizontal="right"/>
    </xf>
    <xf numFmtId="10" fontId="27" fillId="0" borderId="27" xfId="0" applyNumberFormat="1" applyFont="1" applyFill="1" applyBorder="1" applyAlignment="1">
      <alignment horizontal="right"/>
    </xf>
    <xf numFmtId="10" fontId="30" fillId="0" borderId="0" xfId="16" applyNumberFormat="1" applyFont="1" applyFill="1" applyBorder="1" applyAlignment="1">
      <alignment horizontal="right"/>
    </xf>
    <xf numFmtId="10" fontId="28" fillId="0" borderId="0" xfId="16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3"/>
    </xf>
    <xf numFmtId="14" fontId="30" fillId="0" borderId="0" xfId="0" applyNumberFormat="1" applyFont="1" applyFill="1" applyBorder="1" applyAlignment="1">
      <alignment horizontal="right"/>
    </xf>
    <xf numFmtId="164" fontId="7" fillId="0" borderId="26" xfId="13" applyFont="1" applyFill="1" applyBorder="1" applyAlignment="1">
      <alignment horizontal="right"/>
    </xf>
    <xf numFmtId="10" fontId="29" fillId="0" borderId="0" xfId="0" applyNumberFormat="1" applyFont="1" applyFill="1"/>
    <xf numFmtId="0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0" fontId="7" fillId="0" borderId="0" xfId="0" applyFont="1" applyFill="1" applyAlignment="1">
      <alignment horizontal="right" readingOrder="2"/>
    </xf>
    <xf numFmtId="170" fontId="6" fillId="0" borderId="0" xfId="0" applyNumberFormat="1" applyFont="1" applyAlignment="1">
      <alignment horizontal="center"/>
    </xf>
    <xf numFmtId="0" fontId="27" fillId="0" borderId="0" xfId="19" applyFont="1" applyFill="1" applyBorder="1" applyAlignment="1">
      <alignment horizontal="right" indent="2"/>
    </xf>
    <xf numFmtId="0" fontId="27" fillId="0" borderId="0" xfId="19" applyNumberFormat="1" applyFont="1" applyFill="1" applyBorder="1" applyAlignment="1">
      <alignment horizontal="right"/>
    </xf>
    <xf numFmtId="4" fontId="27" fillId="0" borderId="0" xfId="19" applyNumberFormat="1" applyFont="1" applyFill="1" applyBorder="1" applyAlignment="1">
      <alignment horizontal="right"/>
    </xf>
    <xf numFmtId="10" fontId="27" fillId="0" borderId="0" xfId="19" applyNumberFormat="1" applyFont="1" applyFill="1" applyBorder="1" applyAlignment="1">
      <alignment horizontal="right"/>
    </xf>
    <xf numFmtId="0" fontId="28" fillId="0" borderId="0" xfId="19" applyFont="1" applyFill="1" applyBorder="1" applyAlignment="1">
      <alignment horizontal="right" indent="3"/>
    </xf>
    <xf numFmtId="0" fontId="28" fillId="0" borderId="0" xfId="19" applyNumberFormat="1" applyFont="1" applyFill="1" applyBorder="1" applyAlignment="1">
      <alignment horizontal="right"/>
    </xf>
    <xf numFmtId="49" fontId="28" fillId="0" borderId="0" xfId="19" applyNumberFormat="1" applyFont="1" applyFill="1" applyBorder="1" applyAlignment="1">
      <alignment horizontal="right"/>
    </xf>
    <xf numFmtId="167" fontId="28" fillId="0" borderId="0" xfId="19" applyNumberFormat="1" applyFont="1" applyFill="1" applyBorder="1" applyAlignment="1">
      <alignment horizontal="right"/>
    </xf>
    <xf numFmtId="4" fontId="28" fillId="0" borderId="0" xfId="19" applyNumberFormat="1" applyFont="1" applyFill="1" applyBorder="1" applyAlignment="1">
      <alignment horizontal="right"/>
    </xf>
    <xf numFmtId="10" fontId="28" fillId="0" borderId="0" xfId="19" applyNumberFormat="1" applyFont="1" applyFill="1" applyBorder="1" applyAlignment="1">
      <alignment horizontal="right"/>
    </xf>
    <xf numFmtId="0" fontId="9" fillId="2" borderId="14" xfId="7" applyFont="1" applyFill="1" applyBorder="1" applyAlignment="1">
      <alignment horizontal="center" vertical="center" wrapText="1"/>
    </xf>
    <xf numFmtId="0" fontId="9" fillId="2" borderId="15" xfId="7" applyFont="1" applyFill="1" applyBorder="1" applyAlignment="1">
      <alignment horizontal="center" vertical="center" wrapText="1"/>
    </xf>
    <xf numFmtId="0" fontId="9" fillId="2" borderId="4" xfId="7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 readingOrder="2"/>
    </xf>
    <xf numFmtId="0" fontId="9" fillId="2" borderId="19" xfId="0" applyFont="1" applyFill="1" applyBorder="1" applyAlignment="1">
      <alignment horizontal="center" vertical="center" wrapText="1" readingOrder="2"/>
    </xf>
    <xf numFmtId="0" fontId="9" fillId="2" borderId="20" xfId="0" applyFont="1" applyFill="1" applyBorder="1" applyAlignment="1">
      <alignment horizontal="center" vertical="center" wrapText="1" readingOrder="2"/>
    </xf>
    <xf numFmtId="0" fontId="22" fillId="2" borderId="16" xfId="0" applyFont="1" applyFill="1" applyBorder="1" applyAlignment="1">
      <alignment horizontal="center" vertical="center" wrapText="1" readingOrder="2"/>
    </xf>
    <xf numFmtId="0" fontId="18" fillId="0" borderId="17" xfId="0" applyFont="1" applyBorder="1" applyAlignment="1">
      <alignment horizontal="center" readingOrder="2"/>
    </xf>
    <xf numFmtId="0" fontId="18" fillId="0" borderId="13" xfId="0" applyFont="1" applyBorder="1" applyAlignment="1">
      <alignment horizontal="center" readingOrder="2"/>
    </xf>
    <xf numFmtId="0" fontId="22" fillId="2" borderId="18" xfId="0" applyFont="1" applyFill="1" applyBorder="1" applyAlignment="1">
      <alignment horizontal="center" vertical="center" wrapText="1" readingOrder="2"/>
    </xf>
    <xf numFmtId="0" fontId="18" fillId="0" borderId="19" xfId="0" applyFont="1" applyBorder="1" applyAlignment="1">
      <alignment horizontal="center" readingOrder="2"/>
    </xf>
    <xf numFmtId="0" fontId="18" fillId="0" borderId="20" xfId="0" applyFont="1" applyBorder="1" applyAlignment="1">
      <alignment horizontal="center" readingOrder="2"/>
    </xf>
    <xf numFmtId="0" fontId="7" fillId="0" borderId="0" xfId="0" applyFont="1" applyAlignment="1">
      <alignment horizontal="right" readingOrder="2"/>
    </xf>
    <xf numFmtId="0" fontId="22" fillId="2" borderId="19" xfId="0" applyFont="1" applyFill="1" applyBorder="1" applyAlignment="1">
      <alignment horizontal="center" vertical="center" wrapText="1" readingOrder="2"/>
    </xf>
    <xf numFmtId="0" fontId="22" fillId="2" borderId="20" xfId="0" applyFont="1" applyFill="1" applyBorder="1" applyAlignment="1">
      <alignment horizontal="center" vertical="center" wrapText="1" readingOrder="2"/>
    </xf>
    <xf numFmtId="0" fontId="7" fillId="0" borderId="0" xfId="0" applyFont="1" applyFill="1" applyAlignment="1">
      <alignment horizontal="right" readingOrder="2"/>
    </xf>
  </cellXfs>
  <cellStyles count="20">
    <cellStyle name="Comma" xfId="13" builtinId="3"/>
    <cellStyle name="Comma 2" xfId="1"/>
    <cellStyle name="Comma 3" xfId="15"/>
    <cellStyle name="Comma 4" xfId="17"/>
    <cellStyle name="Currency [0] _1" xfId="2"/>
    <cellStyle name="Hyperlink 2" xfId="3"/>
    <cellStyle name="Normal" xfId="0" builtinId="0"/>
    <cellStyle name="Normal 11" xfId="4"/>
    <cellStyle name="Normal 2" xfId="5"/>
    <cellStyle name="Normal 26" xfId="19"/>
    <cellStyle name="Normal 3" xfId="6"/>
    <cellStyle name="Normal 4" xfId="12"/>
    <cellStyle name="Normal 5" xfId="18"/>
    <cellStyle name="Normal_2007-16618" xfId="7"/>
    <cellStyle name="Percent" xfId="14" builtinId="5"/>
    <cellStyle name="Percent 2" xfId="8"/>
    <cellStyle name="Percent 3" xfId="16"/>
    <cellStyle name="Text" xfId="9"/>
    <cellStyle name="Total" xfId="10"/>
    <cellStyle name="היפר-קישור" xfId="11" builtinId="8"/>
  </cellStyles>
  <dxfs count="13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50</xdr:row>
      <xdr:rowOff>0</xdr:rowOff>
    </xdr:from>
    <xdr:to>
      <xdr:col>4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zoomScaleNormal="100" workbookViewId="0">
      <selection activeCell="C13" sqref="C1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5" width="8.140625" style="9" customWidth="1"/>
    <col min="6" max="6" width="6.28515625" style="9" customWidth="1"/>
    <col min="7" max="7" width="8" style="9" customWidth="1"/>
    <col min="8" max="8" width="8.7109375" style="9" customWidth="1"/>
    <col min="9" max="9" width="10" style="9" customWidth="1"/>
    <col min="10" max="10" width="9.5703125" style="9" customWidth="1"/>
    <col min="11" max="11" width="6.140625" style="9" customWidth="1"/>
    <col min="12" max="13" width="5.7109375" style="9" customWidth="1"/>
    <col min="14" max="14" width="6.85546875" style="9" customWidth="1"/>
    <col min="15" max="15" width="6.42578125" style="9" customWidth="1"/>
    <col min="16" max="16" width="6.7109375" style="9" customWidth="1"/>
    <col min="17" max="17" width="7.28515625" style="9" customWidth="1"/>
    <col min="18" max="29" width="5.7109375" style="9" customWidth="1"/>
    <col min="30" max="16384" width="9.140625" style="9"/>
  </cols>
  <sheetData>
    <row r="1" spans="1:4">
      <c r="B1" s="47" t="s">
        <v>180</v>
      </c>
      <c r="C1" s="68" t="s" vm="1">
        <v>270</v>
      </c>
    </row>
    <row r="2" spans="1:4">
      <c r="B2" s="47" t="s">
        <v>179</v>
      </c>
      <c r="C2" s="68" t="s">
        <v>271</v>
      </c>
    </row>
    <row r="3" spans="1:4">
      <c r="B3" s="47" t="s">
        <v>181</v>
      </c>
      <c r="C3" s="68" t="s">
        <v>272</v>
      </c>
    </row>
    <row r="4" spans="1:4">
      <c r="B4" s="47" t="s">
        <v>182</v>
      </c>
      <c r="C4" s="68">
        <v>2102</v>
      </c>
    </row>
    <row r="6" spans="1:4" ht="26.25" customHeight="1">
      <c r="B6" s="160" t="s">
        <v>196</v>
      </c>
      <c r="C6" s="161"/>
      <c r="D6" s="162"/>
    </row>
    <row r="7" spans="1:4" s="10" customFormat="1">
      <c r="B7" s="22"/>
      <c r="C7" s="23" t="s">
        <v>114</v>
      </c>
      <c r="D7" s="24" t="s">
        <v>112</v>
      </c>
    </row>
    <row r="8" spans="1:4" s="10" customFormat="1">
      <c r="B8" s="22"/>
      <c r="C8" s="25" t="s">
        <v>248</v>
      </c>
      <c r="D8" s="26" t="s">
        <v>19</v>
      </c>
    </row>
    <row r="9" spans="1:4" s="11" customFormat="1" ht="18" customHeight="1">
      <c r="B9" s="36"/>
      <c r="C9" s="19" t="s">
        <v>0</v>
      </c>
      <c r="D9" s="27" t="s">
        <v>1</v>
      </c>
    </row>
    <row r="10" spans="1:4" s="11" customFormat="1" ht="18" customHeight="1">
      <c r="B10" s="55" t="s">
        <v>195</v>
      </c>
      <c r="C10" s="104">
        <f>C11+C12+C23+C33+C34+C35+C37</f>
        <v>51984185.287867114</v>
      </c>
      <c r="D10" s="105">
        <f>C10/$C$42</f>
        <v>0.99794828745362152</v>
      </c>
    </row>
    <row r="11" spans="1:4">
      <c r="A11" s="43" t="s">
        <v>144</v>
      </c>
      <c r="B11" s="28" t="s">
        <v>197</v>
      </c>
      <c r="C11" s="104">
        <f>מזומנים!J10</f>
        <v>4674676.5597247006</v>
      </c>
      <c r="D11" s="105">
        <f t="shared" ref="D11:D13" si="0">C11/$C$42</f>
        <v>8.9740474749070709E-2</v>
      </c>
    </row>
    <row r="12" spans="1:4">
      <c r="B12" s="28" t="s">
        <v>198</v>
      </c>
      <c r="C12" s="104">
        <f>C13+C16+C15+C17+C18+C19+C20+C21</f>
        <v>18953533.038194865</v>
      </c>
      <c r="D12" s="105">
        <f t="shared" si="0"/>
        <v>0.36385384770234724</v>
      </c>
    </row>
    <row r="13" spans="1:4">
      <c r="A13" s="45" t="s">
        <v>144</v>
      </c>
      <c r="B13" s="29" t="s">
        <v>72</v>
      </c>
      <c r="C13" s="104">
        <f>'תעודות התחייבות ממשלתיות'!O11</f>
        <v>401154.15448186389</v>
      </c>
      <c r="D13" s="105">
        <f t="shared" si="0"/>
        <v>7.7010171315220581E-3</v>
      </c>
    </row>
    <row r="14" spans="1:4">
      <c r="A14" s="45" t="s">
        <v>144</v>
      </c>
      <c r="B14" s="29" t="s">
        <v>73</v>
      </c>
      <c r="C14" s="104" t="s" vm="2">
        <v>2904</v>
      </c>
      <c r="D14" s="105" t="s" vm="3">
        <v>2904</v>
      </c>
    </row>
    <row r="15" spans="1:4">
      <c r="A15" s="45" t="s">
        <v>144</v>
      </c>
      <c r="B15" s="29" t="s">
        <v>74</v>
      </c>
      <c r="C15" s="104">
        <f>'אג"ח קונצרני'!R11</f>
        <v>4349073.2599465437</v>
      </c>
      <c r="D15" s="105">
        <f t="shared" ref="D15:D21" si="1">C15/$C$42</f>
        <v>8.3489818831246829E-2</v>
      </c>
    </row>
    <row r="16" spans="1:4">
      <c r="A16" s="45" t="s">
        <v>144</v>
      </c>
      <c r="B16" s="29" t="s">
        <v>75</v>
      </c>
      <c r="C16" s="104">
        <f>מניות!L11</f>
        <v>7608956.0604538685</v>
      </c>
      <c r="D16" s="105">
        <f t="shared" si="1"/>
        <v>0.1460702832561665</v>
      </c>
    </row>
    <row r="17" spans="1:4">
      <c r="A17" s="45" t="s">
        <v>144</v>
      </c>
      <c r="B17" s="29" t="s">
        <v>262</v>
      </c>
      <c r="C17" s="104">
        <f>'קרנות סל'!K11</f>
        <v>4858982.4588419925</v>
      </c>
      <c r="D17" s="105">
        <f t="shared" si="1"/>
        <v>9.3278623041155792E-2</v>
      </c>
    </row>
    <row r="18" spans="1:4">
      <c r="A18" s="45" t="s">
        <v>144</v>
      </c>
      <c r="B18" s="29" t="s">
        <v>76</v>
      </c>
      <c r="C18" s="104">
        <f>'קרנות נאמנות'!L11</f>
        <v>1991241.8241342162</v>
      </c>
      <c r="D18" s="105">
        <f t="shared" si="1"/>
        <v>3.822617123451505E-2</v>
      </c>
    </row>
    <row r="19" spans="1:4">
      <c r="A19" s="45" t="s">
        <v>144</v>
      </c>
      <c r="B19" s="29" t="s">
        <v>77</v>
      </c>
      <c r="C19" s="104">
        <f>'כתבי אופציה'!I11</f>
        <v>630.80755749100001</v>
      </c>
      <c r="D19" s="105">
        <f t="shared" si="1"/>
        <v>1.2109708331965934E-5</v>
      </c>
    </row>
    <row r="20" spans="1:4">
      <c r="A20" s="45" t="s">
        <v>144</v>
      </c>
      <c r="B20" s="29" t="s">
        <v>78</v>
      </c>
      <c r="C20" s="104">
        <f>אופציות!I11</f>
        <v>21639.214956747997</v>
      </c>
      <c r="D20" s="105">
        <f t="shared" si="1"/>
        <v>4.1541129072898242E-4</v>
      </c>
    </row>
    <row r="21" spans="1:4">
      <c r="A21" s="45" t="s">
        <v>144</v>
      </c>
      <c r="B21" s="29" t="s">
        <v>79</v>
      </c>
      <c r="C21" s="104">
        <f>'חוזים עתידיים'!I11</f>
        <v>-278144.74217785994</v>
      </c>
      <c r="D21" s="105">
        <f t="shared" si="1"/>
        <v>-5.3395867913199552E-3</v>
      </c>
    </row>
    <row r="22" spans="1:4">
      <c r="A22" s="45" t="s">
        <v>144</v>
      </c>
      <c r="B22" s="29" t="s">
        <v>80</v>
      </c>
      <c r="C22" s="104" t="s" vm="4">
        <v>2904</v>
      </c>
      <c r="D22" s="105" t="s" vm="5">
        <v>2904</v>
      </c>
    </row>
    <row r="23" spans="1:4">
      <c r="B23" s="28" t="s">
        <v>199</v>
      </c>
      <c r="C23" s="104">
        <f>C24+C26+C27+C28+C29+C31</f>
        <v>21402610.657130938</v>
      </c>
      <c r="D23" s="105">
        <f t="shared" ref="D23:D24" si="2">C23/$C$42</f>
        <v>0.41086916211237567</v>
      </c>
    </row>
    <row r="24" spans="1:4">
      <c r="A24" s="45" t="s">
        <v>144</v>
      </c>
      <c r="B24" s="29" t="s">
        <v>81</v>
      </c>
      <c r="C24" s="104">
        <f>'לא סחיר- תעודות התחייבות ממשלתי'!M11</f>
        <v>15916866.262099998</v>
      </c>
      <c r="D24" s="105">
        <f t="shared" si="2"/>
        <v>0.30555849514483641</v>
      </c>
    </row>
    <row r="25" spans="1:4">
      <c r="A25" s="45" t="s">
        <v>144</v>
      </c>
      <c r="B25" s="29" t="s">
        <v>82</v>
      </c>
      <c r="C25" s="104" t="s" vm="6">
        <v>2904</v>
      </c>
      <c r="D25" s="105" t="s" vm="7">
        <v>2904</v>
      </c>
    </row>
    <row r="26" spans="1:4">
      <c r="A26" s="45" t="s">
        <v>144</v>
      </c>
      <c r="B26" s="29" t="s">
        <v>74</v>
      </c>
      <c r="C26" s="104">
        <f>'לא סחיר - אג"ח קונצרני'!P11</f>
        <v>902158.98155000014</v>
      </c>
      <c r="D26" s="105">
        <f t="shared" ref="D26:D29" si="3">C26/$C$42</f>
        <v>1.7318882765271576E-2</v>
      </c>
    </row>
    <row r="27" spans="1:4">
      <c r="A27" s="45" t="s">
        <v>144</v>
      </c>
      <c r="B27" s="29" t="s">
        <v>83</v>
      </c>
      <c r="C27" s="104">
        <f>'לא סחיר - מניות'!J11</f>
        <v>1109322.97474</v>
      </c>
      <c r="D27" s="105">
        <f t="shared" si="3"/>
        <v>2.1295841355296184E-2</v>
      </c>
    </row>
    <row r="28" spans="1:4">
      <c r="A28" s="45" t="s">
        <v>144</v>
      </c>
      <c r="B28" s="29" t="s">
        <v>84</v>
      </c>
      <c r="C28" s="104">
        <f>'לא סחיר - קרנות השקעה'!H11</f>
        <v>3585619.4330500001</v>
      </c>
      <c r="D28" s="105">
        <f t="shared" si="3"/>
        <v>6.8833679952041565E-2</v>
      </c>
    </row>
    <row r="29" spans="1:4">
      <c r="A29" s="45" t="s">
        <v>144</v>
      </c>
      <c r="B29" s="29" t="s">
        <v>85</v>
      </c>
      <c r="C29" s="104">
        <f>'לא סחיר - כתבי אופציה'!I11</f>
        <v>38.773351086000005</v>
      </c>
      <c r="D29" s="105">
        <f t="shared" si="3"/>
        <v>7.443379000909857E-7</v>
      </c>
    </row>
    <row r="30" spans="1:4">
      <c r="A30" s="45" t="s">
        <v>144</v>
      </c>
      <c r="B30" s="29" t="s">
        <v>222</v>
      </c>
      <c r="C30" s="104" t="s" vm="8">
        <v>2904</v>
      </c>
      <c r="D30" s="105" t="s" vm="9">
        <v>2904</v>
      </c>
    </row>
    <row r="31" spans="1:4">
      <c r="A31" s="45" t="s">
        <v>144</v>
      </c>
      <c r="B31" s="29" t="s">
        <v>109</v>
      </c>
      <c r="C31" s="104">
        <f>'לא סחיר - חוזים עתידיים'!I11</f>
        <v>-111395.76766014095</v>
      </c>
      <c r="D31" s="105">
        <f>C31/$C$42</f>
        <v>-2.1384814429700242E-3</v>
      </c>
    </row>
    <row r="32" spans="1:4">
      <c r="A32" s="45" t="s">
        <v>144</v>
      </c>
      <c r="B32" s="29" t="s">
        <v>86</v>
      </c>
      <c r="C32" s="104" t="s" vm="10">
        <v>2904</v>
      </c>
      <c r="D32" s="105" t="s" vm="11">
        <v>2904</v>
      </c>
    </row>
    <row r="33" spans="1:4">
      <c r="A33" s="45" t="s">
        <v>144</v>
      </c>
      <c r="B33" s="28" t="s">
        <v>200</v>
      </c>
      <c r="C33" s="104">
        <f>הלוואות!P10</f>
        <v>5031269.1347900005</v>
      </c>
      <c r="D33" s="105">
        <f>C33/$C$42</f>
        <v>9.6586036483557472E-2</v>
      </c>
    </row>
    <row r="34" spans="1:4">
      <c r="A34" s="45" t="s">
        <v>144</v>
      </c>
      <c r="B34" s="28" t="s">
        <v>201</v>
      </c>
      <c r="C34" s="104">
        <f>'פקדונות מעל 3 חודשים'!M10</f>
        <v>186676.60395999995</v>
      </c>
      <c r="D34" s="105">
        <f>C34/$C$42</f>
        <v>3.5836590724260134E-3</v>
      </c>
    </row>
    <row r="35" spans="1:4">
      <c r="A35" s="45" t="s">
        <v>144</v>
      </c>
      <c r="B35" s="28" t="s">
        <v>202</v>
      </c>
      <c r="C35" s="104">
        <f>'זכויות מקרקעין'!G10</f>
        <v>1735241.9285899999</v>
      </c>
      <c r="D35" s="105">
        <f>C35/$C$42</f>
        <v>3.3311702421895545E-2</v>
      </c>
    </row>
    <row r="36" spans="1:4">
      <c r="A36" s="45" t="s">
        <v>144</v>
      </c>
      <c r="B36" s="46" t="s">
        <v>203</v>
      </c>
      <c r="C36" s="104" t="s" vm="12">
        <v>2904</v>
      </c>
      <c r="D36" s="105" t="s" vm="13">
        <v>2904</v>
      </c>
    </row>
    <row r="37" spans="1:4">
      <c r="A37" s="45" t="s">
        <v>144</v>
      </c>
      <c r="B37" s="28" t="s">
        <v>204</v>
      </c>
      <c r="C37" s="104">
        <f>'השקעות אחרות '!I10</f>
        <v>177.36547660900001</v>
      </c>
      <c r="D37" s="105">
        <f>C37/$C$42</f>
        <v>3.4049119488010585E-6</v>
      </c>
    </row>
    <row r="38" spans="1:4">
      <c r="A38" s="45"/>
      <c r="B38" s="56" t="s">
        <v>206</v>
      </c>
      <c r="C38" s="104">
        <f>C40+C41</f>
        <v>106875.88376</v>
      </c>
      <c r="D38" s="105">
        <f>C38/$C$42</f>
        <v>2.0517125463785525E-3</v>
      </c>
    </row>
    <row r="39" spans="1:4">
      <c r="A39" s="45" t="s">
        <v>144</v>
      </c>
      <c r="B39" s="57" t="s">
        <v>207</v>
      </c>
      <c r="C39" s="104" t="s" vm="14">
        <v>2904</v>
      </c>
      <c r="D39" s="105" t="s" vm="15">
        <v>2904</v>
      </c>
    </row>
    <row r="40" spans="1:4">
      <c r="A40" s="45" t="s">
        <v>144</v>
      </c>
      <c r="B40" s="57" t="s">
        <v>246</v>
      </c>
      <c r="C40" s="104">
        <f>'עלות מתואמת אג"ח קונצרני ל.סחיר'!M10</f>
        <v>91430.723799999992</v>
      </c>
      <c r="D40" s="105">
        <f>C40/$C$42</f>
        <v>1.7552094686410489E-3</v>
      </c>
    </row>
    <row r="41" spans="1:4">
      <c r="A41" s="45" t="s">
        <v>144</v>
      </c>
      <c r="B41" s="57" t="s">
        <v>208</v>
      </c>
      <c r="C41" s="104">
        <f>'עלות מתואמת מסגרות אשראי ללווים'!M10</f>
        <v>15445.159960000001</v>
      </c>
      <c r="D41" s="105">
        <f>C41/$C$42</f>
        <v>2.9650307773750344E-4</v>
      </c>
    </row>
    <row r="42" spans="1:4">
      <c r="B42" s="57" t="s">
        <v>87</v>
      </c>
      <c r="C42" s="104">
        <f>C38+C10</f>
        <v>52091061.171627112</v>
      </c>
      <c r="D42" s="105">
        <f>C42/$C$42</f>
        <v>1</v>
      </c>
    </row>
    <row r="43" spans="1:4">
      <c r="A43" s="45" t="s">
        <v>144</v>
      </c>
      <c r="B43" s="57" t="s">
        <v>205</v>
      </c>
      <c r="C43" s="144">
        <f>'יתרת התחייבות להשקעה'!C10</f>
        <v>4602158.3246145342</v>
      </c>
      <c r="D43" s="105"/>
    </row>
    <row r="44" spans="1:4">
      <c r="B44" s="6" t="s">
        <v>113</v>
      </c>
    </row>
    <row r="45" spans="1:4">
      <c r="C45" s="63" t="s">
        <v>187</v>
      </c>
      <c r="D45" s="35" t="s">
        <v>108</v>
      </c>
    </row>
    <row r="46" spans="1:4">
      <c r="C46" s="64" t="s">
        <v>0</v>
      </c>
      <c r="D46" s="24" t="s">
        <v>1</v>
      </c>
    </row>
    <row r="47" spans="1:4">
      <c r="C47" s="106" t="s">
        <v>168</v>
      </c>
      <c r="D47" s="107" vm="16">
        <v>2.1722000000000001</v>
      </c>
    </row>
    <row r="48" spans="1:4">
      <c r="C48" s="106" t="s">
        <v>177</v>
      </c>
      <c r="D48" s="107">
        <v>0.6860650847718569</v>
      </c>
    </row>
    <row r="49" spans="2:4">
      <c r="C49" s="106" t="s">
        <v>173</v>
      </c>
      <c r="D49" s="107">
        <v>2.5002</v>
      </c>
    </row>
    <row r="50" spans="2:4">
      <c r="B50" s="12"/>
      <c r="C50" s="106" t="s">
        <v>1532</v>
      </c>
      <c r="D50" s="107" vm="17">
        <v>3.6854</v>
      </c>
    </row>
    <row r="51" spans="2:4">
      <c r="C51" s="106" t="s">
        <v>166</v>
      </c>
      <c r="D51" s="107">
        <v>3.9003000000000001</v>
      </c>
    </row>
    <row r="52" spans="2:4">
      <c r="C52" s="106" t="s">
        <v>167</v>
      </c>
      <c r="D52" s="107">
        <v>4.3986000000000001</v>
      </c>
    </row>
    <row r="53" spans="2:4">
      <c r="C53" s="106" t="s">
        <v>169</v>
      </c>
      <c r="D53" s="107">
        <v>0.45987538860437815</v>
      </c>
    </row>
    <row r="54" spans="2:4">
      <c r="C54" s="106" t="s">
        <v>174</v>
      </c>
      <c r="D54" s="107" vm="18">
        <v>3.2787999999999999</v>
      </c>
    </row>
    <row r="55" spans="2:4">
      <c r="C55" s="106" t="s">
        <v>175</v>
      </c>
      <c r="D55" s="107">
        <v>0.14994931586939056</v>
      </c>
    </row>
    <row r="56" spans="2:4">
      <c r="C56" s="106" t="s">
        <v>172</v>
      </c>
      <c r="D56" s="107" vm="19">
        <v>0.52229999999999999</v>
      </c>
    </row>
    <row r="57" spans="2:4">
      <c r="C57" s="106" t="s">
        <v>2905</v>
      </c>
      <c r="D57" s="107">
        <v>2.121175</v>
      </c>
    </row>
    <row r="58" spans="2:4">
      <c r="C58" s="106" t="s">
        <v>171</v>
      </c>
      <c r="D58" s="107" vm="20">
        <v>0.35189999999999999</v>
      </c>
    </row>
    <row r="59" spans="2:4">
      <c r="C59" s="106" t="s">
        <v>164</v>
      </c>
      <c r="D59" s="107">
        <v>3.5649999999999999</v>
      </c>
    </row>
    <row r="60" spans="2:4">
      <c r="C60" s="106" t="s">
        <v>178</v>
      </c>
      <c r="D60" s="107" vm="21">
        <v>0.19939999999999999</v>
      </c>
    </row>
    <row r="61" spans="2:4">
      <c r="C61" s="106" t="s">
        <v>2906</v>
      </c>
      <c r="D61" s="107" vm="22">
        <v>0.3402</v>
      </c>
    </row>
    <row r="62" spans="2:4">
      <c r="C62" s="106" t="s">
        <v>2907</v>
      </c>
      <c r="D62" s="107">
        <v>4.5403370420181763E-2</v>
      </c>
    </row>
    <row r="63" spans="2:4">
      <c r="C63" s="106" t="s">
        <v>2908</v>
      </c>
      <c r="D63" s="107">
        <v>0.50337465759227351</v>
      </c>
    </row>
    <row r="64" spans="2:4">
      <c r="C64" s="106" t="s">
        <v>165</v>
      </c>
      <c r="D64" s="107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I28" sqref="I28"/>
    </sheetView>
  </sheetViews>
  <sheetFormatPr defaultColWidth="9.140625" defaultRowHeight="18"/>
  <cols>
    <col min="1" max="1" width="6.28515625" style="1" customWidth="1"/>
    <col min="2" max="2" width="30" style="2" bestFit="1" customWidth="1"/>
    <col min="3" max="3" width="48.425781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9.7109375" style="1" bestFit="1" customWidth="1"/>
    <col min="8" max="8" width="11.85546875" style="1" bestFit="1" customWidth="1"/>
    <col min="9" max="9" width="10.85546875" style="1" bestFit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180</v>
      </c>
      <c r="C1" s="68" t="s" vm="1">
        <v>270</v>
      </c>
    </row>
    <row r="2" spans="2:61">
      <c r="B2" s="47" t="s">
        <v>179</v>
      </c>
      <c r="C2" s="68" t="s">
        <v>271</v>
      </c>
    </row>
    <row r="3" spans="2:61">
      <c r="B3" s="47" t="s">
        <v>181</v>
      </c>
      <c r="C3" s="68" t="s">
        <v>272</v>
      </c>
    </row>
    <row r="4" spans="2:61">
      <c r="B4" s="47" t="s">
        <v>182</v>
      </c>
      <c r="C4" s="68">
        <v>2102</v>
      </c>
    </row>
    <row r="6" spans="2:61" ht="26.25" customHeight="1">
      <c r="B6" s="163" t="s">
        <v>210</v>
      </c>
      <c r="C6" s="164"/>
      <c r="D6" s="164"/>
      <c r="E6" s="164"/>
      <c r="F6" s="164"/>
      <c r="G6" s="164"/>
      <c r="H6" s="164"/>
      <c r="I6" s="164"/>
      <c r="J6" s="164"/>
      <c r="K6" s="164"/>
      <c r="L6" s="165"/>
    </row>
    <row r="7" spans="2:61" ht="26.25" customHeight="1">
      <c r="B7" s="163" t="s">
        <v>98</v>
      </c>
      <c r="C7" s="164"/>
      <c r="D7" s="164"/>
      <c r="E7" s="164"/>
      <c r="F7" s="164"/>
      <c r="G7" s="164"/>
      <c r="H7" s="164"/>
      <c r="I7" s="164"/>
      <c r="J7" s="164"/>
      <c r="K7" s="164"/>
      <c r="L7" s="165"/>
      <c r="BI7" s="3"/>
    </row>
    <row r="8" spans="2:61" s="3" customFormat="1" ht="78.75">
      <c r="B8" s="22" t="s">
        <v>119</v>
      </c>
      <c r="C8" s="30" t="s">
        <v>47</v>
      </c>
      <c r="D8" s="30" t="s">
        <v>122</v>
      </c>
      <c r="E8" s="30" t="s">
        <v>68</v>
      </c>
      <c r="F8" s="30" t="s">
        <v>106</v>
      </c>
      <c r="G8" s="30" t="s">
        <v>245</v>
      </c>
      <c r="H8" s="30" t="s">
        <v>244</v>
      </c>
      <c r="I8" s="30" t="s">
        <v>64</v>
      </c>
      <c r="J8" s="30" t="s">
        <v>61</v>
      </c>
      <c r="K8" s="30" t="s">
        <v>183</v>
      </c>
      <c r="L8" s="31" t="s">
        <v>185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252</v>
      </c>
      <c r="H9" s="16"/>
      <c r="I9" s="16" t="s">
        <v>248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6" t="s">
        <v>52</v>
      </c>
      <c r="C11" s="72"/>
      <c r="D11" s="72"/>
      <c r="E11" s="72"/>
      <c r="F11" s="72"/>
      <c r="G11" s="81"/>
      <c r="H11" s="83"/>
      <c r="I11" s="81">
        <v>21639.214956747997</v>
      </c>
      <c r="J11" s="72"/>
      <c r="K11" s="82">
        <f>I11/$I$11</f>
        <v>1</v>
      </c>
      <c r="L11" s="82">
        <f>I11/'סכום נכסי הקרן'!$C$42</f>
        <v>4.1541129072898242E-4</v>
      </c>
      <c r="BD11" s="1"/>
      <c r="BE11" s="3"/>
      <c r="BF11" s="1"/>
      <c r="BH11" s="1"/>
    </row>
    <row r="12" spans="2:61" s="90" customFormat="1">
      <c r="B12" s="118" t="s">
        <v>238</v>
      </c>
      <c r="C12" s="113"/>
      <c r="D12" s="113"/>
      <c r="E12" s="113"/>
      <c r="F12" s="113"/>
      <c r="G12" s="114"/>
      <c r="H12" s="116"/>
      <c r="I12" s="114">
        <v>-11040.802826957999</v>
      </c>
      <c r="J12" s="113"/>
      <c r="K12" s="115">
        <f t="shared" ref="K12:K17" si="0">I12/$I$11</f>
        <v>-0.51022196734151959</v>
      </c>
      <c r="L12" s="115">
        <f>I12/'סכום נכסי הקרן'!$C$42</f>
        <v>-2.1195196601162138E-4</v>
      </c>
      <c r="BE12" s="3"/>
    </row>
    <row r="13" spans="2:61" ht="20.25">
      <c r="B13" s="92" t="s">
        <v>230</v>
      </c>
      <c r="C13" s="72"/>
      <c r="D13" s="72"/>
      <c r="E13" s="72"/>
      <c r="F13" s="72"/>
      <c r="G13" s="81"/>
      <c r="H13" s="83"/>
      <c r="I13" s="81">
        <v>-11040.802826957999</v>
      </c>
      <c r="J13" s="72"/>
      <c r="K13" s="82">
        <f t="shared" si="0"/>
        <v>-0.51022196734151959</v>
      </c>
      <c r="L13" s="82">
        <f>I13/'סכום נכסי הקרן'!$C$42</f>
        <v>-2.1195196601162138E-4</v>
      </c>
      <c r="BE13" s="4"/>
    </row>
    <row r="14" spans="2:61">
      <c r="B14" s="77" t="s">
        <v>1858</v>
      </c>
      <c r="C14" s="74" t="s">
        <v>1859</v>
      </c>
      <c r="D14" s="87" t="s">
        <v>123</v>
      </c>
      <c r="E14" s="87" t="s">
        <v>1860</v>
      </c>
      <c r="F14" s="87" t="s">
        <v>165</v>
      </c>
      <c r="G14" s="84">
        <v>89.097112999999993</v>
      </c>
      <c r="H14" s="86">
        <v>1309000</v>
      </c>
      <c r="I14" s="84">
        <v>1166.2812044579998</v>
      </c>
      <c r="J14" s="74"/>
      <c r="K14" s="85">
        <f t="shared" si="0"/>
        <v>5.3896650446383469E-2</v>
      </c>
      <c r="L14" s="85">
        <f>I14/'סכום נכסי הקרן'!$C$42</f>
        <v>2.2389277127900945E-5</v>
      </c>
    </row>
    <row r="15" spans="2:61">
      <c r="B15" s="77" t="s">
        <v>1861</v>
      </c>
      <c r="C15" s="74" t="s">
        <v>1862</v>
      </c>
      <c r="D15" s="87" t="s">
        <v>123</v>
      </c>
      <c r="E15" s="87" t="s">
        <v>1860</v>
      </c>
      <c r="F15" s="87" t="s">
        <v>165</v>
      </c>
      <c r="G15" s="84">
        <v>-89.097112999999993</v>
      </c>
      <c r="H15" s="86">
        <v>529000</v>
      </c>
      <c r="I15" s="84">
        <v>-471.32372586600002</v>
      </c>
      <c r="J15" s="74"/>
      <c r="K15" s="85">
        <f t="shared" si="0"/>
        <v>-2.1780999301872637E-2</v>
      </c>
      <c r="L15" s="85">
        <f>I15/'סכום נכסי הקרן'!$C$42</f>
        <v>-9.048073033357977E-6</v>
      </c>
    </row>
    <row r="16" spans="2:61">
      <c r="B16" s="77" t="s">
        <v>1863</v>
      </c>
      <c r="C16" s="74" t="s">
        <v>1864</v>
      </c>
      <c r="D16" s="87" t="s">
        <v>123</v>
      </c>
      <c r="E16" s="87" t="s">
        <v>1860</v>
      </c>
      <c r="F16" s="87" t="s">
        <v>165</v>
      </c>
      <c r="G16" s="84">
        <v>2784.2847700000002</v>
      </c>
      <c r="H16" s="86">
        <v>16500</v>
      </c>
      <c r="I16" s="84">
        <v>459.40698705</v>
      </c>
      <c r="J16" s="74"/>
      <c r="K16" s="85">
        <f t="shared" si="0"/>
        <v>2.1230298232549235E-2</v>
      </c>
      <c r="L16" s="85">
        <f>I16/'סכום נכסי הקרן'!$C$42</f>
        <v>8.8193055913445129E-6</v>
      </c>
    </row>
    <row r="17" spans="2:56">
      <c r="B17" s="77" t="s">
        <v>1865</v>
      </c>
      <c r="C17" s="74" t="s">
        <v>1866</v>
      </c>
      <c r="D17" s="87" t="s">
        <v>123</v>
      </c>
      <c r="E17" s="87" t="s">
        <v>1860</v>
      </c>
      <c r="F17" s="87" t="s">
        <v>165</v>
      </c>
      <c r="G17" s="84">
        <v>-2784.2847700000002</v>
      </c>
      <c r="H17" s="86">
        <v>438000</v>
      </c>
      <c r="I17" s="84">
        <v>-12195.167292600001</v>
      </c>
      <c r="J17" s="74"/>
      <c r="K17" s="85">
        <f t="shared" si="0"/>
        <v>-0.56356791671857975</v>
      </c>
      <c r="L17" s="85">
        <f>I17/'סכום נכסי הקרן'!$C$42</f>
        <v>-2.3411247569750889E-4</v>
      </c>
    </row>
    <row r="18" spans="2:56" ht="20.25">
      <c r="B18" s="73"/>
      <c r="C18" s="74"/>
      <c r="D18" s="74"/>
      <c r="E18" s="74"/>
      <c r="F18" s="74"/>
      <c r="G18" s="84"/>
      <c r="H18" s="86"/>
      <c r="I18" s="74"/>
      <c r="J18" s="74"/>
      <c r="K18" s="85"/>
      <c r="L18" s="74"/>
      <c r="BD18" s="4"/>
    </row>
    <row r="19" spans="2:56" s="90" customFormat="1">
      <c r="B19" s="118" t="s">
        <v>237</v>
      </c>
      <c r="C19" s="113"/>
      <c r="D19" s="113"/>
      <c r="E19" s="113"/>
      <c r="F19" s="113"/>
      <c r="G19" s="114"/>
      <c r="H19" s="116"/>
      <c r="I19" s="114">
        <v>32680.017783706004</v>
      </c>
      <c r="J19" s="113"/>
      <c r="K19" s="115">
        <f t="shared" ref="K19:K27" si="1">I19/$I$11</f>
        <v>1.51022196734152</v>
      </c>
      <c r="L19" s="115">
        <f>I19/'סכום נכסי הקרן'!$C$42</f>
        <v>6.2736325674060396E-4</v>
      </c>
    </row>
    <row r="20" spans="2:56">
      <c r="B20" s="92" t="s">
        <v>230</v>
      </c>
      <c r="C20" s="72"/>
      <c r="D20" s="72"/>
      <c r="E20" s="72"/>
      <c r="F20" s="72"/>
      <c r="G20" s="81"/>
      <c r="H20" s="83"/>
      <c r="I20" s="81">
        <v>32680.017783706004</v>
      </c>
      <c r="J20" s="72"/>
      <c r="K20" s="82">
        <f t="shared" si="1"/>
        <v>1.51022196734152</v>
      </c>
      <c r="L20" s="82">
        <f>I20/'סכום נכסי הקרן'!$C$42</f>
        <v>6.2736325674060396E-4</v>
      </c>
    </row>
    <row r="21" spans="2:56">
      <c r="B21" s="77" t="s">
        <v>1867</v>
      </c>
      <c r="C21" s="74" t="s">
        <v>1868</v>
      </c>
      <c r="D21" s="87" t="s">
        <v>1472</v>
      </c>
      <c r="E21" s="87" t="s">
        <v>1860</v>
      </c>
      <c r="F21" s="87" t="s">
        <v>164</v>
      </c>
      <c r="G21" s="84">
        <v>-131.283905</v>
      </c>
      <c r="H21" s="86">
        <v>10</v>
      </c>
      <c r="I21" s="84">
        <v>-4.680271222</v>
      </c>
      <c r="J21" s="74"/>
      <c r="K21" s="85">
        <f t="shared" si="1"/>
        <v>-2.1628655343342292E-4</v>
      </c>
      <c r="L21" s="85">
        <f>I21/'סכום נכסי הקרן'!$C$42</f>
        <v>-8.984787632910123E-8</v>
      </c>
      <c r="BD21" s="3"/>
    </row>
    <row r="22" spans="2:56">
      <c r="B22" s="77" t="s">
        <v>1869</v>
      </c>
      <c r="C22" s="74" t="s">
        <v>1870</v>
      </c>
      <c r="D22" s="87" t="s">
        <v>1472</v>
      </c>
      <c r="E22" s="87" t="s">
        <v>1860</v>
      </c>
      <c r="F22" s="87" t="s">
        <v>164</v>
      </c>
      <c r="G22" s="84">
        <v>-139.354637</v>
      </c>
      <c r="H22" s="86">
        <v>15</v>
      </c>
      <c r="I22" s="84">
        <v>-7.4519892200000006</v>
      </c>
      <c r="J22" s="74"/>
      <c r="K22" s="85">
        <f t="shared" si="1"/>
        <v>-3.4437428690896956E-4</v>
      </c>
      <c r="L22" s="85">
        <f>I22/'סכום נכסי הקרן'!$C$42</f>
        <v>-1.4305696701872797E-7</v>
      </c>
    </row>
    <row r="23" spans="2:56">
      <c r="B23" s="77" t="s">
        <v>1871</v>
      </c>
      <c r="C23" s="74" t="s">
        <v>1872</v>
      </c>
      <c r="D23" s="87" t="s">
        <v>1472</v>
      </c>
      <c r="E23" s="87" t="s">
        <v>1860</v>
      </c>
      <c r="F23" s="87" t="s">
        <v>164</v>
      </c>
      <c r="G23" s="84">
        <v>-349.73171500000007</v>
      </c>
      <c r="H23" s="86">
        <v>390</v>
      </c>
      <c r="I23" s="84">
        <v>-486.24948967199992</v>
      </c>
      <c r="J23" s="74"/>
      <c r="K23" s="85">
        <f t="shared" si="1"/>
        <v>-2.2470754629680654E-2</v>
      </c>
      <c r="L23" s="85">
        <f>I23/'סכום נכסי הקרן'!$C$42</f>
        <v>-9.3346051843698981E-6</v>
      </c>
    </row>
    <row r="24" spans="2:56">
      <c r="B24" s="77" t="s">
        <v>1873</v>
      </c>
      <c r="C24" s="74" t="s">
        <v>1874</v>
      </c>
      <c r="D24" s="87" t="s">
        <v>1472</v>
      </c>
      <c r="E24" s="87" t="s">
        <v>1860</v>
      </c>
      <c r="F24" s="87" t="s">
        <v>164</v>
      </c>
      <c r="G24" s="84">
        <v>-1039.7792910000001</v>
      </c>
      <c r="H24" s="86">
        <v>5</v>
      </c>
      <c r="I24" s="84">
        <v>-18.534067199000003</v>
      </c>
      <c r="J24" s="74"/>
      <c r="K24" s="85">
        <f t="shared" si="1"/>
        <v>-8.565036779774822E-4</v>
      </c>
      <c r="L24" s="85">
        <f>I24/'סכום נכסי הקרן'!$C$42</f>
        <v>-3.558012983827466E-7</v>
      </c>
    </row>
    <row r="25" spans="2:56">
      <c r="B25" s="77" t="s">
        <v>1875</v>
      </c>
      <c r="C25" s="74" t="s">
        <v>1876</v>
      </c>
      <c r="D25" s="87" t="s">
        <v>28</v>
      </c>
      <c r="E25" s="87" t="s">
        <v>1860</v>
      </c>
      <c r="F25" s="87" t="s">
        <v>164</v>
      </c>
      <c r="G25" s="84">
        <v>-1054.575632</v>
      </c>
      <c r="H25" s="86">
        <v>4800</v>
      </c>
      <c r="I25" s="84">
        <v>-18045.898220260002</v>
      </c>
      <c r="J25" s="74"/>
      <c r="K25" s="85">
        <f t="shared" si="1"/>
        <v>-0.83394421915627526</v>
      </c>
      <c r="L25" s="85">
        <f>I25/'סכום נכסי הקרן'!$C$42</f>
        <v>-3.464298444756817E-4</v>
      </c>
    </row>
    <row r="26" spans="2:56">
      <c r="B26" s="77" t="s">
        <v>1877</v>
      </c>
      <c r="C26" s="74" t="s">
        <v>1878</v>
      </c>
      <c r="D26" s="87" t="s">
        <v>28</v>
      </c>
      <c r="E26" s="87" t="s">
        <v>1860</v>
      </c>
      <c r="F26" s="87" t="s">
        <v>164</v>
      </c>
      <c r="G26" s="84">
        <v>1054.575632</v>
      </c>
      <c r="H26" s="86">
        <v>20600</v>
      </c>
      <c r="I26" s="84">
        <v>77446.979861947999</v>
      </c>
      <c r="J26" s="74"/>
      <c r="K26" s="85">
        <f t="shared" si="1"/>
        <v>3.5790106072122936</v>
      </c>
      <c r="L26" s="85">
        <f>I26/'סכום נכסי הקרן'!$C$42</f>
        <v>1.486761415874778E-3</v>
      </c>
    </row>
    <row r="27" spans="2:56">
      <c r="B27" s="77" t="s">
        <v>1879</v>
      </c>
      <c r="C27" s="74" t="s">
        <v>1880</v>
      </c>
      <c r="D27" s="87" t="s">
        <v>28</v>
      </c>
      <c r="E27" s="87" t="s">
        <v>1860</v>
      </c>
      <c r="F27" s="87" t="s">
        <v>164</v>
      </c>
      <c r="G27" s="84">
        <v>-1054.575632</v>
      </c>
      <c r="H27" s="86">
        <v>6970</v>
      </c>
      <c r="I27" s="84">
        <v>-26204.148040669003</v>
      </c>
      <c r="J27" s="74"/>
      <c r="K27" s="85">
        <f t="shared" si="1"/>
        <v>-1.2109565015664985</v>
      </c>
      <c r="L27" s="85">
        <f>I27/'סכום נכסי הקרן'!$C$42</f>
        <v>-5.0304500333239212E-4</v>
      </c>
    </row>
    <row r="28" spans="2:56">
      <c r="B28" s="73"/>
      <c r="C28" s="74"/>
      <c r="D28" s="74"/>
      <c r="E28" s="74"/>
      <c r="F28" s="74"/>
      <c r="G28" s="84"/>
      <c r="H28" s="86"/>
      <c r="I28" s="74"/>
      <c r="J28" s="74"/>
      <c r="K28" s="85"/>
      <c r="L28" s="74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89" t="s">
        <v>261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89" t="s">
        <v>115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89" t="s">
        <v>243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89" t="s">
        <v>251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L27" sqref="L27"/>
    </sheetView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48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10.140625" style="1" bestFit="1" customWidth="1"/>
    <col min="8" max="8" width="10.7109375" style="1" bestFit="1" customWidth="1"/>
    <col min="9" max="9" width="12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180</v>
      </c>
      <c r="C1" s="68" t="s" vm="1">
        <v>270</v>
      </c>
    </row>
    <row r="2" spans="1:60">
      <c r="B2" s="47" t="s">
        <v>179</v>
      </c>
      <c r="C2" s="68" t="s">
        <v>271</v>
      </c>
    </row>
    <row r="3" spans="1:60">
      <c r="B3" s="47" t="s">
        <v>181</v>
      </c>
      <c r="C3" s="68" t="s">
        <v>272</v>
      </c>
    </row>
    <row r="4" spans="1:60">
      <c r="B4" s="47" t="s">
        <v>182</v>
      </c>
      <c r="C4" s="68">
        <v>2102</v>
      </c>
    </row>
    <row r="6" spans="1:60" ht="26.25" customHeight="1">
      <c r="B6" s="163" t="s">
        <v>210</v>
      </c>
      <c r="C6" s="164"/>
      <c r="D6" s="164"/>
      <c r="E6" s="164"/>
      <c r="F6" s="164"/>
      <c r="G6" s="164"/>
      <c r="H6" s="164"/>
      <c r="I6" s="164"/>
      <c r="J6" s="164"/>
      <c r="K6" s="165"/>
      <c r="BD6" s="1" t="s">
        <v>123</v>
      </c>
      <c r="BF6" s="1" t="s">
        <v>188</v>
      </c>
      <c r="BH6" s="3" t="s">
        <v>165</v>
      </c>
    </row>
    <row r="7" spans="1:60" ht="26.25" customHeight="1">
      <c r="B7" s="163" t="s">
        <v>99</v>
      </c>
      <c r="C7" s="164"/>
      <c r="D7" s="164"/>
      <c r="E7" s="164"/>
      <c r="F7" s="164"/>
      <c r="G7" s="164"/>
      <c r="H7" s="164"/>
      <c r="I7" s="164"/>
      <c r="J7" s="164"/>
      <c r="K7" s="165"/>
      <c r="BD7" s="3" t="s">
        <v>125</v>
      </c>
      <c r="BF7" s="1" t="s">
        <v>145</v>
      </c>
      <c r="BH7" s="3" t="s">
        <v>164</v>
      </c>
    </row>
    <row r="8" spans="1:60" s="3" customFormat="1" ht="78.75">
      <c r="A8" s="2"/>
      <c r="B8" s="22" t="s">
        <v>119</v>
      </c>
      <c r="C8" s="30" t="s">
        <v>47</v>
      </c>
      <c r="D8" s="30" t="s">
        <v>122</v>
      </c>
      <c r="E8" s="30" t="s">
        <v>68</v>
      </c>
      <c r="F8" s="30" t="s">
        <v>106</v>
      </c>
      <c r="G8" s="30" t="s">
        <v>245</v>
      </c>
      <c r="H8" s="30" t="s">
        <v>244</v>
      </c>
      <c r="I8" s="30" t="s">
        <v>64</v>
      </c>
      <c r="J8" s="30" t="s">
        <v>183</v>
      </c>
      <c r="K8" s="31" t="s">
        <v>185</v>
      </c>
      <c r="BC8" s="1" t="s">
        <v>138</v>
      </c>
      <c r="BD8" s="1" t="s">
        <v>139</v>
      </c>
      <c r="BE8" s="1" t="s">
        <v>146</v>
      </c>
      <c r="BG8" s="4" t="s">
        <v>166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252</v>
      </c>
      <c r="H9" s="16"/>
      <c r="I9" s="16" t="s">
        <v>248</v>
      </c>
      <c r="J9" s="32" t="s">
        <v>19</v>
      </c>
      <c r="K9" s="33" t="s">
        <v>19</v>
      </c>
      <c r="BC9" s="1" t="s">
        <v>135</v>
      </c>
      <c r="BE9" s="1" t="s">
        <v>147</v>
      </c>
      <c r="BG9" s="4" t="s">
        <v>167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131</v>
      </c>
      <c r="BD10" s="3"/>
      <c r="BE10" s="1" t="s">
        <v>189</v>
      </c>
      <c r="BG10" s="1" t="s">
        <v>173</v>
      </c>
    </row>
    <row r="11" spans="1:60" s="4" customFormat="1" ht="18" customHeight="1">
      <c r="A11" s="103"/>
      <c r="B11" s="117" t="s">
        <v>51</v>
      </c>
      <c r="C11" s="113"/>
      <c r="D11" s="113"/>
      <c r="E11" s="113"/>
      <c r="F11" s="113"/>
      <c r="G11" s="114"/>
      <c r="H11" s="116"/>
      <c r="I11" s="114">
        <v>-278144.74217785994</v>
      </c>
      <c r="J11" s="115">
        <f>I11/$I$11</f>
        <v>1</v>
      </c>
      <c r="K11" s="115">
        <f>I11/'סכום נכסי הקרן'!$C$42</f>
        <v>-5.3395867913199552E-3</v>
      </c>
      <c r="L11" s="3"/>
      <c r="M11" s="3"/>
      <c r="N11" s="3"/>
      <c r="O11" s="3"/>
      <c r="BC11" s="90" t="s">
        <v>130</v>
      </c>
      <c r="BD11" s="3"/>
      <c r="BE11" s="90" t="s">
        <v>148</v>
      </c>
      <c r="BG11" s="90" t="s">
        <v>168</v>
      </c>
    </row>
    <row r="12" spans="1:60" s="90" customFormat="1" ht="20.25">
      <c r="A12" s="103"/>
      <c r="B12" s="118" t="s">
        <v>240</v>
      </c>
      <c r="C12" s="113"/>
      <c r="D12" s="113"/>
      <c r="E12" s="113"/>
      <c r="F12" s="113"/>
      <c r="G12" s="114"/>
      <c r="H12" s="116"/>
      <c r="I12" s="114">
        <v>-278144.74217785994</v>
      </c>
      <c r="J12" s="115">
        <f t="shared" ref="J12:J15" si="0">I12/$I$11</f>
        <v>1</v>
      </c>
      <c r="K12" s="115">
        <f>I12/'סכום נכסי הקרן'!$C$42</f>
        <v>-5.3395867913199552E-3</v>
      </c>
      <c r="L12" s="3"/>
      <c r="M12" s="3"/>
      <c r="N12" s="3"/>
      <c r="O12" s="3"/>
      <c r="BC12" s="90" t="s">
        <v>128</v>
      </c>
      <c r="BD12" s="4"/>
      <c r="BE12" s="90" t="s">
        <v>149</v>
      </c>
      <c r="BG12" s="90" t="s">
        <v>169</v>
      </c>
    </row>
    <row r="13" spans="1:60">
      <c r="B13" s="73" t="s">
        <v>1881</v>
      </c>
      <c r="C13" s="74" t="s">
        <v>1882</v>
      </c>
      <c r="D13" s="87" t="s">
        <v>28</v>
      </c>
      <c r="E13" s="87" t="s">
        <v>1860</v>
      </c>
      <c r="F13" s="87" t="s">
        <v>166</v>
      </c>
      <c r="G13" s="84">
        <v>2313.6098059999999</v>
      </c>
      <c r="H13" s="86">
        <v>274700</v>
      </c>
      <c r="I13" s="84">
        <v>17082.889948123</v>
      </c>
      <c r="J13" s="85">
        <f t="shared" si="0"/>
        <v>-6.1417267191048786E-2</v>
      </c>
      <c r="K13" s="85">
        <f>I13/'סכום נכסי הקרן'!$C$42</f>
        <v>3.2794282865229258E-4</v>
      </c>
      <c r="P13" s="1"/>
      <c r="BC13" s="1" t="s">
        <v>132</v>
      </c>
      <c r="BE13" s="1" t="s">
        <v>150</v>
      </c>
      <c r="BG13" s="1" t="s">
        <v>170</v>
      </c>
    </row>
    <row r="14" spans="1:60">
      <c r="B14" s="73" t="s">
        <v>1883</v>
      </c>
      <c r="C14" s="74" t="s">
        <v>1884</v>
      </c>
      <c r="D14" s="87" t="s">
        <v>28</v>
      </c>
      <c r="E14" s="87" t="s">
        <v>1860</v>
      </c>
      <c r="F14" s="87" t="s">
        <v>164</v>
      </c>
      <c r="G14" s="84">
        <v>7854.7052899999999</v>
      </c>
      <c r="H14" s="86">
        <v>256975</v>
      </c>
      <c r="I14" s="84">
        <v>-341674.45726782695</v>
      </c>
      <c r="J14" s="85">
        <f t="shared" si="0"/>
        <v>1.2284052346002747</v>
      </c>
      <c r="K14" s="85">
        <f>I14/'סכום נכסי הקרן'!$C$42</f>
        <v>-6.559176365059918E-3</v>
      </c>
      <c r="P14" s="1"/>
      <c r="BC14" s="1" t="s">
        <v>129</v>
      </c>
      <c r="BE14" s="1" t="s">
        <v>151</v>
      </c>
      <c r="BG14" s="1" t="s">
        <v>172</v>
      </c>
    </row>
    <row r="15" spans="1:60">
      <c r="B15" s="73" t="s">
        <v>1885</v>
      </c>
      <c r="C15" s="74" t="s">
        <v>1886</v>
      </c>
      <c r="D15" s="87" t="s">
        <v>28</v>
      </c>
      <c r="E15" s="87" t="s">
        <v>1860</v>
      </c>
      <c r="F15" s="87" t="s">
        <v>166</v>
      </c>
      <c r="G15" s="84">
        <v>10265.970950999999</v>
      </c>
      <c r="H15" s="86">
        <v>31590</v>
      </c>
      <c r="I15" s="84">
        <v>46446.825141843998</v>
      </c>
      <c r="J15" s="85">
        <f t="shared" si="0"/>
        <v>-0.16698796740922583</v>
      </c>
      <c r="K15" s="85">
        <f>I15/'סכום נכסי הקרן'!$C$42</f>
        <v>8.9164674508766947E-4</v>
      </c>
      <c r="P15" s="1"/>
      <c r="BC15" s="1" t="s">
        <v>140</v>
      </c>
      <c r="BE15" s="1" t="s">
        <v>190</v>
      </c>
      <c r="BG15" s="1" t="s">
        <v>174</v>
      </c>
    </row>
    <row r="16" spans="1:60" ht="20.25">
      <c r="B16" s="95"/>
      <c r="C16" s="74"/>
      <c r="D16" s="74"/>
      <c r="E16" s="74"/>
      <c r="F16" s="74"/>
      <c r="G16" s="84"/>
      <c r="H16" s="86"/>
      <c r="I16" s="74"/>
      <c r="J16" s="85"/>
      <c r="K16" s="74"/>
      <c r="P16" s="1"/>
      <c r="BC16" s="4" t="s">
        <v>126</v>
      </c>
      <c r="BD16" s="1" t="s">
        <v>141</v>
      </c>
      <c r="BE16" s="1" t="s">
        <v>152</v>
      </c>
      <c r="BG16" s="1" t="s">
        <v>175</v>
      </c>
    </row>
    <row r="17" spans="2:60">
      <c r="B17" s="91"/>
      <c r="C17" s="91"/>
      <c r="D17" s="91"/>
      <c r="E17" s="91"/>
      <c r="F17" s="91"/>
      <c r="G17" s="91"/>
      <c r="H17" s="91"/>
      <c r="I17" s="91"/>
      <c r="J17" s="91"/>
      <c r="K17" s="91"/>
      <c r="P17" s="1"/>
      <c r="BC17" s="1" t="s">
        <v>136</v>
      </c>
      <c r="BE17" s="1" t="s">
        <v>153</v>
      </c>
      <c r="BG17" s="1" t="s">
        <v>176</v>
      </c>
    </row>
    <row r="18" spans="2:60">
      <c r="B18" s="91"/>
      <c r="C18" s="91"/>
      <c r="D18" s="91"/>
      <c r="E18" s="91"/>
      <c r="F18" s="91"/>
      <c r="G18" s="91"/>
      <c r="H18" s="91"/>
      <c r="I18" s="91"/>
      <c r="J18" s="91"/>
      <c r="K18" s="91"/>
      <c r="BD18" s="1" t="s">
        <v>124</v>
      </c>
      <c r="BF18" s="1" t="s">
        <v>154</v>
      </c>
      <c r="BH18" s="1" t="s">
        <v>28</v>
      </c>
    </row>
    <row r="19" spans="2:60">
      <c r="B19" s="89" t="s">
        <v>261</v>
      </c>
      <c r="C19" s="91"/>
      <c r="D19" s="91"/>
      <c r="E19" s="91"/>
      <c r="F19" s="91"/>
      <c r="G19" s="91"/>
      <c r="H19" s="91"/>
      <c r="I19" s="91"/>
      <c r="J19" s="91"/>
      <c r="K19" s="91"/>
      <c r="BD19" s="1" t="s">
        <v>137</v>
      </c>
      <c r="BF19" s="1" t="s">
        <v>155</v>
      </c>
    </row>
    <row r="20" spans="2:60">
      <c r="B20" s="89" t="s">
        <v>115</v>
      </c>
      <c r="C20" s="91"/>
      <c r="D20" s="91"/>
      <c r="E20" s="91"/>
      <c r="F20" s="91"/>
      <c r="G20" s="91"/>
      <c r="H20" s="91"/>
      <c r="I20" s="91"/>
      <c r="J20" s="91"/>
      <c r="K20" s="91"/>
      <c r="BD20" s="1" t="s">
        <v>142</v>
      </c>
      <c r="BF20" s="1" t="s">
        <v>156</v>
      </c>
    </row>
    <row r="21" spans="2:60">
      <c r="B21" s="89" t="s">
        <v>243</v>
      </c>
      <c r="C21" s="91"/>
      <c r="D21" s="91"/>
      <c r="E21" s="91"/>
      <c r="F21" s="91"/>
      <c r="G21" s="91"/>
      <c r="H21" s="91"/>
      <c r="I21" s="91"/>
      <c r="J21" s="91"/>
      <c r="K21" s="91"/>
      <c r="BD21" s="1" t="s">
        <v>127</v>
      </c>
      <c r="BE21" s="1" t="s">
        <v>143</v>
      </c>
      <c r="BF21" s="1" t="s">
        <v>157</v>
      </c>
    </row>
    <row r="22" spans="2:60">
      <c r="B22" s="89" t="s">
        <v>251</v>
      </c>
      <c r="C22" s="91"/>
      <c r="D22" s="91"/>
      <c r="E22" s="91"/>
      <c r="F22" s="91"/>
      <c r="G22" s="91"/>
      <c r="H22" s="91"/>
      <c r="I22" s="91"/>
      <c r="J22" s="91"/>
      <c r="K22" s="91"/>
      <c r="BD22" s="1" t="s">
        <v>133</v>
      </c>
      <c r="BF22" s="1" t="s">
        <v>158</v>
      </c>
    </row>
    <row r="23" spans="2:60">
      <c r="B23" s="91"/>
      <c r="C23" s="91"/>
      <c r="D23" s="91"/>
      <c r="E23" s="91"/>
      <c r="F23" s="91"/>
      <c r="G23" s="91"/>
      <c r="H23" s="91"/>
      <c r="I23" s="91"/>
      <c r="J23" s="91"/>
      <c r="K23" s="91"/>
      <c r="BD23" s="1" t="s">
        <v>28</v>
      </c>
      <c r="BE23" s="1" t="s">
        <v>134</v>
      </c>
      <c r="BF23" s="1" t="s">
        <v>191</v>
      </c>
    </row>
    <row r="24" spans="2:60">
      <c r="B24" s="91"/>
      <c r="C24" s="91"/>
      <c r="D24" s="91"/>
      <c r="E24" s="91"/>
      <c r="F24" s="91"/>
      <c r="G24" s="91"/>
      <c r="H24" s="91"/>
      <c r="I24" s="91"/>
      <c r="J24" s="91"/>
      <c r="K24" s="91"/>
      <c r="BF24" s="1" t="s">
        <v>194</v>
      </c>
    </row>
    <row r="25" spans="2:60">
      <c r="B25" s="91"/>
      <c r="C25" s="91"/>
      <c r="D25" s="91"/>
      <c r="E25" s="91"/>
      <c r="F25" s="91"/>
      <c r="G25" s="91"/>
      <c r="H25" s="91"/>
      <c r="I25" s="91"/>
      <c r="J25" s="91"/>
      <c r="K25" s="91"/>
      <c r="BF25" s="1" t="s">
        <v>159</v>
      </c>
    </row>
    <row r="26" spans="2:60">
      <c r="B26" s="91"/>
      <c r="C26" s="91"/>
      <c r="D26" s="91"/>
      <c r="E26" s="91"/>
      <c r="F26" s="91"/>
      <c r="G26" s="91"/>
      <c r="H26" s="91"/>
      <c r="I26" s="91"/>
      <c r="J26" s="91"/>
      <c r="K26" s="91"/>
      <c r="BF26" s="1" t="s">
        <v>160</v>
      </c>
    </row>
    <row r="27" spans="2:60">
      <c r="B27" s="91"/>
      <c r="C27" s="91"/>
      <c r="D27" s="91"/>
      <c r="E27" s="91"/>
      <c r="F27" s="91"/>
      <c r="G27" s="91"/>
      <c r="H27" s="91"/>
      <c r="I27" s="91"/>
      <c r="J27" s="91"/>
      <c r="K27" s="91"/>
      <c r="BF27" s="1" t="s">
        <v>193</v>
      </c>
    </row>
    <row r="28" spans="2:60">
      <c r="B28" s="91"/>
      <c r="C28" s="91"/>
      <c r="D28" s="91"/>
      <c r="E28" s="91"/>
      <c r="F28" s="91"/>
      <c r="G28" s="91"/>
      <c r="H28" s="91"/>
      <c r="I28" s="91"/>
      <c r="J28" s="91"/>
      <c r="K28" s="91"/>
      <c r="BF28" s="1" t="s">
        <v>161</v>
      </c>
    </row>
    <row r="29" spans="2:60">
      <c r="B29" s="91"/>
      <c r="C29" s="91"/>
      <c r="D29" s="91"/>
      <c r="E29" s="91"/>
      <c r="F29" s="91"/>
      <c r="G29" s="91"/>
      <c r="H29" s="91"/>
      <c r="I29" s="91"/>
      <c r="J29" s="91"/>
      <c r="K29" s="91"/>
      <c r="BF29" s="1" t="s">
        <v>162</v>
      </c>
    </row>
    <row r="30" spans="2:60">
      <c r="B30" s="91"/>
      <c r="C30" s="91"/>
      <c r="D30" s="91"/>
      <c r="E30" s="91"/>
      <c r="F30" s="91"/>
      <c r="G30" s="91"/>
      <c r="H30" s="91"/>
      <c r="I30" s="91"/>
      <c r="J30" s="91"/>
      <c r="K30" s="91"/>
      <c r="BF30" s="1" t="s">
        <v>192</v>
      </c>
    </row>
    <row r="31" spans="2:60">
      <c r="B31" s="91"/>
      <c r="C31" s="91"/>
      <c r="D31" s="91"/>
      <c r="E31" s="91"/>
      <c r="F31" s="91"/>
      <c r="G31" s="91"/>
      <c r="H31" s="91"/>
      <c r="I31" s="91"/>
      <c r="J31" s="91"/>
      <c r="K31" s="91"/>
      <c r="BF31" s="1" t="s">
        <v>28</v>
      </c>
    </row>
    <row r="32" spans="2:60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1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180</v>
      </c>
      <c r="C1" s="68" t="s" vm="1">
        <v>270</v>
      </c>
    </row>
    <row r="2" spans="2:81">
      <c r="B2" s="47" t="s">
        <v>179</v>
      </c>
      <c r="C2" s="68" t="s">
        <v>271</v>
      </c>
    </row>
    <row r="3" spans="2:81">
      <c r="B3" s="47" t="s">
        <v>181</v>
      </c>
      <c r="C3" s="68" t="s">
        <v>272</v>
      </c>
      <c r="E3" s="2"/>
    </row>
    <row r="4" spans="2:81">
      <c r="B4" s="47" t="s">
        <v>182</v>
      </c>
      <c r="C4" s="68">
        <v>2102</v>
      </c>
    </row>
    <row r="6" spans="2:81" ht="26.25" customHeight="1">
      <c r="B6" s="163" t="s">
        <v>210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</row>
    <row r="7" spans="2:81" ht="26.25" customHeight="1">
      <c r="B7" s="163" t="s">
        <v>100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/>
    </row>
    <row r="8" spans="2:81" s="3" customFormat="1" ht="47.25">
      <c r="B8" s="22" t="s">
        <v>119</v>
      </c>
      <c r="C8" s="30" t="s">
        <v>47</v>
      </c>
      <c r="D8" s="13" t="s">
        <v>53</v>
      </c>
      <c r="E8" s="30" t="s">
        <v>14</v>
      </c>
      <c r="F8" s="30" t="s">
        <v>69</v>
      </c>
      <c r="G8" s="30" t="s">
        <v>107</v>
      </c>
      <c r="H8" s="30" t="s">
        <v>17</v>
      </c>
      <c r="I8" s="30" t="s">
        <v>106</v>
      </c>
      <c r="J8" s="30" t="s">
        <v>16</v>
      </c>
      <c r="K8" s="30" t="s">
        <v>18</v>
      </c>
      <c r="L8" s="30" t="s">
        <v>245</v>
      </c>
      <c r="M8" s="30" t="s">
        <v>244</v>
      </c>
      <c r="N8" s="30" t="s">
        <v>64</v>
      </c>
      <c r="O8" s="30" t="s">
        <v>61</v>
      </c>
      <c r="P8" s="30" t="s">
        <v>183</v>
      </c>
      <c r="Q8" s="31" t="s">
        <v>185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252</v>
      </c>
      <c r="M9" s="32"/>
      <c r="N9" s="32" t="s">
        <v>248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116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9" t="s">
        <v>261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81">
      <c r="B13" s="89" t="s">
        <v>115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81">
      <c r="B14" s="89" t="s">
        <v>243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81">
      <c r="B15" s="89" t="s">
        <v>251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8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</sheetData>
  <sheetProtection sheet="1" objects="1" scenarios="1"/>
  <mergeCells count="2">
    <mergeCell ref="B6:Q6"/>
    <mergeCell ref="B7:Q7"/>
  </mergeCells>
  <phoneticPr fontId="5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L157"/>
  <sheetViews>
    <sheetView rightToLeft="1" workbookViewId="0">
      <selection activeCell="A15" sqref="A15:XFD153"/>
    </sheetView>
  </sheetViews>
  <sheetFormatPr defaultColWidth="9.140625" defaultRowHeight="18"/>
  <cols>
    <col min="1" max="1" width="3" style="1" customWidth="1"/>
    <col min="2" max="2" width="35.42578125" style="2" bestFit="1" customWidth="1"/>
    <col min="3" max="3" width="48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4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8" style="3" customWidth="1"/>
    <col min="18" max="18" width="8.7109375" style="3" customWidth="1"/>
    <col min="19" max="19" width="10" style="3" customWidth="1"/>
    <col min="20" max="20" width="9.5703125" style="3" customWidth="1"/>
    <col min="21" max="21" width="6.140625" style="3" customWidth="1"/>
    <col min="22" max="23" width="5.7109375" style="3" customWidth="1"/>
    <col min="24" max="24" width="6.85546875" style="3" customWidth="1"/>
    <col min="25" max="25" width="6.42578125" style="3" customWidth="1"/>
    <col min="26" max="26" width="6.7109375" style="3" customWidth="1"/>
    <col min="27" max="27" width="7.28515625" style="3" customWidth="1"/>
    <col min="28" max="31" width="5.7109375" style="3" customWidth="1"/>
    <col min="32" max="39" width="5.7109375" style="1" customWidth="1"/>
    <col min="40" max="16384" width="9.140625" style="1"/>
  </cols>
  <sheetData>
    <row r="1" spans="2:64">
      <c r="B1" s="47" t="s">
        <v>180</v>
      </c>
      <c r="C1" s="68" t="s" vm="1">
        <v>270</v>
      </c>
    </row>
    <row r="2" spans="2:64">
      <c r="B2" s="47" t="s">
        <v>179</v>
      </c>
      <c r="C2" s="68" t="s">
        <v>271</v>
      </c>
    </row>
    <row r="3" spans="2:64">
      <c r="B3" s="47" t="s">
        <v>181</v>
      </c>
      <c r="C3" s="68" t="s">
        <v>272</v>
      </c>
    </row>
    <row r="4" spans="2:64">
      <c r="B4" s="47" t="s">
        <v>182</v>
      </c>
      <c r="C4" s="68">
        <v>2102</v>
      </c>
    </row>
    <row r="6" spans="2:64" ht="26.25" customHeight="1">
      <c r="B6" s="163" t="s">
        <v>211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5"/>
    </row>
    <row r="7" spans="2:64" ht="26.25" customHeight="1">
      <c r="B7" s="163" t="s">
        <v>92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5"/>
    </row>
    <row r="8" spans="2:64" s="3" customFormat="1" ht="78.75">
      <c r="B8" s="22" t="s">
        <v>119</v>
      </c>
      <c r="C8" s="30" t="s">
        <v>47</v>
      </c>
      <c r="D8" s="30" t="s">
        <v>14</v>
      </c>
      <c r="E8" s="30" t="s">
        <v>69</v>
      </c>
      <c r="F8" s="30" t="s">
        <v>107</v>
      </c>
      <c r="G8" s="30" t="s">
        <v>17</v>
      </c>
      <c r="H8" s="30" t="s">
        <v>106</v>
      </c>
      <c r="I8" s="30" t="s">
        <v>16</v>
      </c>
      <c r="J8" s="30" t="s">
        <v>18</v>
      </c>
      <c r="K8" s="30" t="s">
        <v>245</v>
      </c>
      <c r="L8" s="30" t="s">
        <v>244</v>
      </c>
      <c r="M8" s="30" t="s">
        <v>114</v>
      </c>
      <c r="N8" s="30" t="s">
        <v>61</v>
      </c>
      <c r="O8" s="30" t="s">
        <v>183</v>
      </c>
      <c r="P8" s="31" t="s">
        <v>185</v>
      </c>
    </row>
    <row r="9" spans="2:64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252</v>
      </c>
      <c r="L9" s="32"/>
      <c r="M9" s="32" t="s">
        <v>248</v>
      </c>
      <c r="N9" s="32" t="s">
        <v>19</v>
      </c>
      <c r="O9" s="32" t="s">
        <v>19</v>
      </c>
      <c r="P9" s="33" t="s">
        <v>19</v>
      </c>
    </row>
    <row r="10" spans="2:6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64" s="4" customFormat="1" ht="18" customHeight="1">
      <c r="B11" s="69" t="s">
        <v>27</v>
      </c>
      <c r="C11" s="70"/>
      <c r="D11" s="70"/>
      <c r="E11" s="70"/>
      <c r="F11" s="70"/>
      <c r="G11" s="78">
        <v>7.2105261601386381</v>
      </c>
      <c r="H11" s="70"/>
      <c r="I11" s="70"/>
      <c r="J11" s="93">
        <v>4.8500214709165733E-2</v>
      </c>
      <c r="K11" s="78"/>
      <c r="L11" s="80"/>
      <c r="M11" s="78">
        <v>15916866.262099998</v>
      </c>
      <c r="N11" s="70"/>
      <c r="O11" s="79">
        <f>M11/$M$11</f>
        <v>1</v>
      </c>
      <c r="P11" s="79">
        <f>M11/'סכום נכסי הקרן'!$C$42</f>
        <v>0.30555849514483641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BL11" s="1"/>
    </row>
    <row r="12" spans="2:64" ht="21.75" customHeight="1">
      <c r="B12" s="71" t="s">
        <v>238</v>
      </c>
      <c r="C12" s="72"/>
      <c r="D12" s="72"/>
      <c r="E12" s="72"/>
      <c r="F12" s="72"/>
      <c r="G12" s="81">
        <v>7.2105261601386355</v>
      </c>
      <c r="H12" s="72"/>
      <c r="I12" s="72"/>
      <c r="J12" s="94">
        <v>4.8500214709165733E-2</v>
      </c>
      <c r="K12" s="81"/>
      <c r="L12" s="83"/>
      <c r="M12" s="81">
        <v>15916866.2621</v>
      </c>
      <c r="N12" s="72"/>
      <c r="O12" s="82">
        <f t="shared" ref="O12:O75" si="0">M12/$M$11</f>
        <v>1.0000000000000002</v>
      </c>
      <c r="P12" s="82">
        <f>M12/'סכום נכסי הקרן'!$C$42</f>
        <v>0.30555849514483641</v>
      </c>
    </row>
    <row r="13" spans="2:64">
      <c r="B13" s="92" t="s">
        <v>70</v>
      </c>
      <c r="C13" s="72"/>
      <c r="D13" s="72"/>
      <c r="E13" s="72"/>
      <c r="F13" s="72"/>
      <c r="G13" s="81">
        <v>7.2105261601386355</v>
      </c>
      <c r="H13" s="72"/>
      <c r="I13" s="72"/>
      <c r="J13" s="94">
        <v>4.8500214709165733E-2</v>
      </c>
      <c r="K13" s="81"/>
      <c r="L13" s="83"/>
      <c r="M13" s="81">
        <v>15916866.2621</v>
      </c>
      <c r="N13" s="72"/>
      <c r="O13" s="82">
        <f t="shared" si="0"/>
        <v>1.0000000000000002</v>
      </c>
      <c r="P13" s="82">
        <f>M13/'סכום נכסי הקרן'!$C$42</f>
        <v>0.30555849514483641</v>
      </c>
    </row>
    <row r="14" spans="2:64">
      <c r="B14" s="77" t="s">
        <v>1887</v>
      </c>
      <c r="C14" s="74" t="s">
        <v>1888</v>
      </c>
      <c r="D14" s="74" t="s">
        <v>275</v>
      </c>
      <c r="E14" s="74"/>
      <c r="F14" s="97">
        <v>38473</v>
      </c>
      <c r="G14" s="84">
        <v>0.09</v>
      </c>
      <c r="H14" s="87" t="s">
        <v>165</v>
      </c>
      <c r="I14" s="88">
        <v>4.8000000000000001E-2</v>
      </c>
      <c r="J14" s="88">
        <v>4.7600000000000003E-2</v>
      </c>
      <c r="K14" s="84">
        <v>10860000</v>
      </c>
      <c r="L14" s="86">
        <v>126.9222</v>
      </c>
      <c r="M14" s="84">
        <v>13783.75059</v>
      </c>
      <c r="N14" s="74"/>
      <c r="O14" s="85">
        <f t="shared" si="0"/>
        <v>8.6598394200375947E-4</v>
      </c>
      <c r="P14" s="85">
        <f>M14/'סכום נכסי הקרן'!$C$42</f>
        <v>2.64608750138262E-4</v>
      </c>
    </row>
    <row r="15" spans="2:64" s="122" customFormat="1">
      <c r="B15" s="77" t="s">
        <v>1889</v>
      </c>
      <c r="C15" s="74" t="s">
        <v>1890</v>
      </c>
      <c r="D15" s="74" t="s">
        <v>275</v>
      </c>
      <c r="E15" s="74"/>
      <c r="F15" s="97">
        <v>38565</v>
      </c>
      <c r="G15" s="84">
        <v>0.33999999999999997</v>
      </c>
      <c r="H15" s="87" t="s">
        <v>165</v>
      </c>
      <c r="I15" s="88">
        <v>4.8000000000000001E-2</v>
      </c>
      <c r="J15" s="88">
        <v>4.8099999999999997E-2</v>
      </c>
      <c r="K15" s="84">
        <v>3550000</v>
      </c>
      <c r="L15" s="86">
        <v>124.06489999999999</v>
      </c>
      <c r="M15" s="84">
        <v>4404.3047800000004</v>
      </c>
      <c r="N15" s="74"/>
      <c r="O15" s="85">
        <f t="shared" si="0"/>
        <v>2.7670677804758517E-4</v>
      </c>
      <c r="P15" s="85">
        <f>M15/'סכום נכסי הקרן'!$C$42</f>
        <v>8.4550106696596364E-5</v>
      </c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</row>
    <row r="16" spans="2:64" s="122" customFormat="1">
      <c r="B16" s="77" t="s">
        <v>1891</v>
      </c>
      <c r="C16" s="74" t="s">
        <v>1892</v>
      </c>
      <c r="D16" s="74" t="s">
        <v>275</v>
      </c>
      <c r="E16" s="74"/>
      <c r="F16" s="97">
        <v>38596</v>
      </c>
      <c r="G16" s="84">
        <v>0.41999999999999993</v>
      </c>
      <c r="H16" s="87" t="s">
        <v>165</v>
      </c>
      <c r="I16" s="88">
        <v>4.8000000000000001E-2</v>
      </c>
      <c r="J16" s="88">
        <v>4.7900000000000012E-2</v>
      </c>
      <c r="K16" s="84">
        <v>7500000</v>
      </c>
      <c r="L16" s="86">
        <v>122.24639999999999</v>
      </c>
      <c r="M16" s="84">
        <v>9168.4793000000009</v>
      </c>
      <c r="N16" s="74"/>
      <c r="O16" s="85">
        <f t="shared" si="0"/>
        <v>5.7602288974628569E-4</v>
      </c>
      <c r="P16" s="85">
        <f>M16/'סכום נכסי הקרן'!$C$42</f>
        <v>1.7600868735985505E-4</v>
      </c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</row>
    <row r="17" spans="2:31" s="122" customFormat="1">
      <c r="B17" s="77" t="s">
        <v>1893</v>
      </c>
      <c r="C17" s="74" t="s">
        <v>1894</v>
      </c>
      <c r="D17" s="74" t="s">
        <v>275</v>
      </c>
      <c r="E17" s="74"/>
      <c r="F17" s="97">
        <v>38443</v>
      </c>
      <c r="G17" s="74" t="s">
        <v>3273</v>
      </c>
      <c r="H17" s="87" t="s">
        <v>165</v>
      </c>
      <c r="I17" s="88">
        <v>4.8000000000000001E-2</v>
      </c>
      <c r="J17" s="88">
        <v>1.5700000000000002E-2</v>
      </c>
      <c r="K17" s="84">
        <v>4500000</v>
      </c>
      <c r="L17" s="86">
        <v>127.1692</v>
      </c>
      <c r="M17" s="84">
        <v>5722.61535</v>
      </c>
      <c r="N17" s="74"/>
      <c r="O17" s="85">
        <f t="shared" si="0"/>
        <v>3.5953153439670761E-4</v>
      </c>
      <c r="P17" s="85">
        <f>M17/'סכום נכסי הקרן'!$C$42</f>
        <v>1.0985791460737195E-4</v>
      </c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</row>
    <row r="18" spans="2:31" s="122" customFormat="1">
      <c r="B18" s="77" t="s">
        <v>1895</v>
      </c>
      <c r="C18" s="74" t="s">
        <v>1896</v>
      </c>
      <c r="D18" s="74" t="s">
        <v>275</v>
      </c>
      <c r="E18" s="74"/>
      <c r="F18" s="97">
        <v>38504</v>
      </c>
      <c r="G18" s="84">
        <v>0.17</v>
      </c>
      <c r="H18" s="87" t="s">
        <v>165</v>
      </c>
      <c r="I18" s="88">
        <v>4.8000000000000001E-2</v>
      </c>
      <c r="J18" s="88">
        <v>4.7400000000000005E-2</v>
      </c>
      <c r="K18" s="84">
        <v>3832000</v>
      </c>
      <c r="L18" s="86">
        <v>125.5442</v>
      </c>
      <c r="M18" s="84">
        <v>4810.8520199999994</v>
      </c>
      <c r="N18" s="74"/>
      <c r="O18" s="85">
        <f t="shared" si="0"/>
        <v>3.0224869272510164E-4</v>
      </c>
      <c r="P18" s="85">
        <f>M18/'סכום נכסי הקרן'!$C$42</f>
        <v>9.2354655708576117E-5</v>
      </c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</row>
    <row r="19" spans="2:31" s="122" customFormat="1">
      <c r="B19" s="77" t="s">
        <v>1897</v>
      </c>
      <c r="C19" s="74" t="s">
        <v>1898</v>
      </c>
      <c r="D19" s="74" t="s">
        <v>275</v>
      </c>
      <c r="E19" s="74"/>
      <c r="F19" s="97">
        <v>38627</v>
      </c>
      <c r="G19" s="84">
        <v>0.5</v>
      </c>
      <c r="H19" s="87" t="s">
        <v>165</v>
      </c>
      <c r="I19" s="88">
        <v>4.8000000000000001E-2</v>
      </c>
      <c r="J19" s="88">
        <v>4.830000000000001E-2</v>
      </c>
      <c r="K19" s="84">
        <v>9155000</v>
      </c>
      <c r="L19" s="86">
        <v>124.41930000000001</v>
      </c>
      <c r="M19" s="84">
        <v>11390.584349999999</v>
      </c>
      <c r="N19" s="74"/>
      <c r="O19" s="85">
        <f t="shared" si="0"/>
        <v>7.1562983331225011E-4</v>
      </c>
      <c r="P19" s="85">
        <f>M19/'סכום נכסי הקרן'!$C$42</f>
        <v>2.1866677494764125E-4</v>
      </c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</row>
    <row r="20" spans="2:31" s="122" customFormat="1">
      <c r="B20" s="77" t="s">
        <v>1899</v>
      </c>
      <c r="C20" s="74" t="s">
        <v>1900</v>
      </c>
      <c r="D20" s="74" t="s">
        <v>275</v>
      </c>
      <c r="E20" s="74"/>
      <c r="F20" s="97">
        <v>38718</v>
      </c>
      <c r="G20" s="84">
        <v>0.73999999999999988</v>
      </c>
      <c r="H20" s="87" t="s">
        <v>165</v>
      </c>
      <c r="I20" s="88">
        <v>4.8000000000000001E-2</v>
      </c>
      <c r="J20" s="88">
        <v>4.8199999999999993E-2</v>
      </c>
      <c r="K20" s="84">
        <v>7815884</v>
      </c>
      <c r="L20" s="86">
        <v>122.0146</v>
      </c>
      <c r="M20" s="84">
        <v>9536.5233800000005</v>
      </c>
      <c r="N20" s="74"/>
      <c r="O20" s="85">
        <f t="shared" si="0"/>
        <v>5.9914578805676257E-4</v>
      </c>
      <c r="P20" s="85">
        <f>M20/'סכום נכסי הקרן'!$C$42</f>
        <v>1.8307408537099147E-4</v>
      </c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</row>
    <row r="21" spans="2:31" s="122" customFormat="1">
      <c r="B21" s="77" t="s">
        <v>1901</v>
      </c>
      <c r="C21" s="74" t="s">
        <v>1902</v>
      </c>
      <c r="D21" s="74" t="s">
        <v>275</v>
      </c>
      <c r="E21" s="74"/>
      <c r="F21" s="97">
        <v>39203</v>
      </c>
      <c r="G21" s="84">
        <v>1.97</v>
      </c>
      <c r="H21" s="87" t="s">
        <v>165</v>
      </c>
      <c r="I21" s="88">
        <v>4.8000000000000001E-2</v>
      </c>
      <c r="J21" s="88">
        <v>4.8599999999999997E-2</v>
      </c>
      <c r="K21" s="84">
        <v>96546326</v>
      </c>
      <c r="L21" s="86">
        <v>123.6293</v>
      </c>
      <c r="M21" s="84">
        <v>119359.30843999999</v>
      </c>
      <c r="N21" s="74"/>
      <c r="O21" s="85">
        <f t="shared" si="0"/>
        <v>7.4989201061649354E-3</v>
      </c>
      <c r="P21" s="85">
        <f>M21/'סכום נכסי הקרן'!$C$42</f>
        <v>2.2913587428511142E-3</v>
      </c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</row>
    <row r="22" spans="2:31" s="122" customFormat="1">
      <c r="B22" s="77" t="s">
        <v>1903</v>
      </c>
      <c r="C22" s="74" t="s">
        <v>1904</v>
      </c>
      <c r="D22" s="74" t="s">
        <v>275</v>
      </c>
      <c r="E22" s="74"/>
      <c r="F22" s="97">
        <v>39234</v>
      </c>
      <c r="G22" s="84">
        <v>2.0500000000000003</v>
      </c>
      <c r="H22" s="87" t="s">
        <v>165</v>
      </c>
      <c r="I22" s="88">
        <v>4.8000000000000001E-2</v>
      </c>
      <c r="J22" s="88">
        <v>4.8499999999999995E-2</v>
      </c>
      <c r="K22" s="84">
        <v>90958226</v>
      </c>
      <c r="L22" s="86">
        <v>122.52209999999999</v>
      </c>
      <c r="M22" s="84">
        <v>111443.92919</v>
      </c>
      <c r="N22" s="74"/>
      <c r="O22" s="85">
        <f t="shared" si="0"/>
        <v>7.0016250281226275E-3</v>
      </c>
      <c r="P22" s="85">
        <f>M22/'סכום נכסי הקרן'!$C$42</f>
        <v>2.1394060071615729E-3</v>
      </c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</row>
    <row r="23" spans="2:31" s="122" customFormat="1">
      <c r="B23" s="77" t="s">
        <v>1905</v>
      </c>
      <c r="C23" s="74" t="s">
        <v>1906</v>
      </c>
      <c r="D23" s="74" t="s">
        <v>275</v>
      </c>
      <c r="E23" s="74"/>
      <c r="F23" s="97">
        <v>39264</v>
      </c>
      <c r="G23" s="84">
        <v>2.14</v>
      </c>
      <c r="H23" s="87" t="s">
        <v>165</v>
      </c>
      <c r="I23" s="88">
        <v>4.8000000000000001E-2</v>
      </c>
      <c r="J23" s="88">
        <v>4.8499999999999995E-2</v>
      </c>
      <c r="K23" s="84">
        <v>66000000</v>
      </c>
      <c r="L23" s="86">
        <v>122.0393</v>
      </c>
      <c r="M23" s="84">
        <v>80545.965859999997</v>
      </c>
      <c r="N23" s="74"/>
      <c r="O23" s="85">
        <f t="shared" si="0"/>
        <v>5.0604160727158827E-3</v>
      </c>
      <c r="P23" s="85">
        <f>M23/'סכום נכסי הקרן'!$C$42</f>
        <v>1.546253119985808E-3</v>
      </c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</row>
    <row r="24" spans="2:31" s="122" customFormat="1">
      <c r="B24" s="77" t="s">
        <v>1907</v>
      </c>
      <c r="C24" s="74" t="s">
        <v>1908</v>
      </c>
      <c r="D24" s="74" t="s">
        <v>275</v>
      </c>
      <c r="E24" s="74"/>
      <c r="F24" s="97">
        <v>39295</v>
      </c>
      <c r="G24" s="84">
        <v>2.2199999999999998</v>
      </c>
      <c r="H24" s="87" t="s">
        <v>165</v>
      </c>
      <c r="I24" s="88">
        <v>4.8000000000000001E-2</v>
      </c>
      <c r="J24" s="88">
        <v>4.8499999999999995E-2</v>
      </c>
      <c r="K24" s="84">
        <v>25170220</v>
      </c>
      <c r="L24" s="86">
        <v>120.7092</v>
      </c>
      <c r="M24" s="84">
        <v>30382.537850000001</v>
      </c>
      <c r="N24" s="74"/>
      <c r="O24" s="85">
        <f t="shared" si="0"/>
        <v>1.908826608812096E-3</v>
      </c>
      <c r="P24" s="85">
        <f>M24/'סכום נכסי הקרן'!$C$42</f>
        <v>5.8325818608104534E-4</v>
      </c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</row>
    <row r="25" spans="2:31" s="122" customFormat="1">
      <c r="B25" s="77" t="s">
        <v>1909</v>
      </c>
      <c r="C25" s="74" t="s">
        <v>1910</v>
      </c>
      <c r="D25" s="74" t="s">
        <v>275</v>
      </c>
      <c r="E25" s="74"/>
      <c r="F25" s="97">
        <v>39356</v>
      </c>
      <c r="G25" s="84">
        <v>2.33</v>
      </c>
      <c r="H25" s="87" t="s">
        <v>165</v>
      </c>
      <c r="I25" s="88">
        <v>4.8000000000000001E-2</v>
      </c>
      <c r="J25" s="88">
        <v>4.8499999999999995E-2</v>
      </c>
      <c r="K25" s="84">
        <v>26970000</v>
      </c>
      <c r="L25" s="86">
        <v>120.4652</v>
      </c>
      <c r="M25" s="84">
        <v>32489.459280000003</v>
      </c>
      <c r="N25" s="74"/>
      <c r="O25" s="85">
        <f t="shared" si="0"/>
        <v>2.0411969758997958E-3</v>
      </c>
      <c r="P25" s="85">
        <f>M25/'סכום נכסי הקרן'!$C$42</f>
        <v>6.2370507625013252E-4</v>
      </c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</row>
    <row r="26" spans="2:31" s="122" customFormat="1">
      <c r="B26" s="77" t="s">
        <v>1911</v>
      </c>
      <c r="C26" s="74" t="s">
        <v>1912</v>
      </c>
      <c r="D26" s="74" t="s">
        <v>275</v>
      </c>
      <c r="E26" s="74"/>
      <c r="F26" s="97">
        <v>39387</v>
      </c>
      <c r="G26" s="84">
        <v>2.42</v>
      </c>
      <c r="H26" s="87" t="s">
        <v>165</v>
      </c>
      <c r="I26" s="88">
        <v>4.8000000000000001E-2</v>
      </c>
      <c r="J26" s="88">
        <v>4.8500000000000008E-2</v>
      </c>
      <c r="K26" s="84">
        <v>134156000</v>
      </c>
      <c r="L26" s="86">
        <v>120.5802</v>
      </c>
      <c r="M26" s="84">
        <v>161765.63404</v>
      </c>
      <c r="N26" s="74"/>
      <c r="O26" s="85">
        <f t="shared" si="0"/>
        <v>1.0163158461988446E-2</v>
      </c>
      <c r="P26" s="85">
        <f>M26/'סכום נכסי הקרן'!$C$42</f>
        <v>3.1054394055636996E-3</v>
      </c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</row>
    <row r="27" spans="2:31" s="122" customFormat="1">
      <c r="B27" s="77" t="s">
        <v>1913</v>
      </c>
      <c r="C27" s="74" t="s">
        <v>1914</v>
      </c>
      <c r="D27" s="74" t="s">
        <v>275</v>
      </c>
      <c r="E27" s="74"/>
      <c r="F27" s="97">
        <v>39845</v>
      </c>
      <c r="G27" s="84">
        <v>3.5300000000000002</v>
      </c>
      <c r="H27" s="87" t="s">
        <v>165</v>
      </c>
      <c r="I27" s="88">
        <v>4.8000000000000001E-2</v>
      </c>
      <c r="J27" s="88">
        <v>4.8499999999999995E-2</v>
      </c>
      <c r="K27" s="84">
        <v>2965000</v>
      </c>
      <c r="L27" s="86">
        <v>113.56059999999999</v>
      </c>
      <c r="M27" s="84">
        <v>3367.0718299999999</v>
      </c>
      <c r="N27" s="74"/>
      <c r="O27" s="85">
        <f t="shared" si="0"/>
        <v>2.115411271637941E-4</v>
      </c>
      <c r="P27" s="85">
        <f>M27/'סכום נכסי הקרן'!$C$42</f>
        <v>6.4638188477411399E-5</v>
      </c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pans="2:31" s="122" customFormat="1">
      <c r="B28" s="77" t="s">
        <v>1915</v>
      </c>
      <c r="C28" s="74" t="s">
        <v>1916</v>
      </c>
      <c r="D28" s="74" t="s">
        <v>275</v>
      </c>
      <c r="E28" s="74"/>
      <c r="F28" s="97">
        <v>39873</v>
      </c>
      <c r="G28" s="84">
        <v>3.61</v>
      </c>
      <c r="H28" s="87" t="s">
        <v>165</v>
      </c>
      <c r="I28" s="88">
        <v>4.8000000000000001E-2</v>
      </c>
      <c r="J28" s="88">
        <v>4.8500000000000008E-2</v>
      </c>
      <c r="K28" s="84">
        <v>106053682</v>
      </c>
      <c r="L28" s="86">
        <v>113.7158</v>
      </c>
      <c r="M28" s="84">
        <v>120599.54029999999</v>
      </c>
      <c r="N28" s="74"/>
      <c r="O28" s="85">
        <f t="shared" si="0"/>
        <v>7.5768394553368977E-3</v>
      </c>
      <c r="P28" s="85">
        <f>M28/'סכום נכסי הקרן'!$C$42</f>
        <v>2.3151676619267642E-3</v>
      </c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</row>
    <row r="29" spans="2:31" s="122" customFormat="1">
      <c r="B29" s="77" t="s">
        <v>1917</v>
      </c>
      <c r="C29" s="74" t="s">
        <v>1918</v>
      </c>
      <c r="D29" s="74" t="s">
        <v>275</v>
      </c>
      <c r="E29" s="74"/>
      <c r="F29" s="97">
        <v>39934</v>
      </c>
      <c r="G29" s="84">
        <v>3.6900000000000004</v>
      </c>
      <c r="H29" s="87" t="s">
        <v>165</v>
      </c>
      <c r="I29" s="88">
        <v>4.8000000000000001E-2</v>
      </c>
      <c r="J29" s="88">
        <v>4.8499999999999995E-2</v>
      </c>
      <c r="K29" s="84">
        <v>118930000</v>
      </c>
      <c r="L29" s="86">
        <v>115.0677</v>
      </c>
      <c r="M29" s="84">
        <v>136850.00381999998</v>
      </c>
      <c r="N29" s="74"/>
      <c r="O29" s="85">
        <f t="shared" si="0"/>
        <v>8.5977981825390189E-3</v>
      </c>
      <c r="P29" s="85">
        <f>M29/'סכום נכסי הקרן'!$C$42</f>
        <v>2.6271302742156316E-3</v>
      </c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</row>
    <row r="30" spans="2:31" s="122" customFormat="1">
      <c r="B30" s="77" t="s">
        <v>1919</v>
      </c>
      <c r="C30" s="74" t="s">
        <v>1920</v>
      </c>
      <c r="D30" s="74" t="s">
        <v>275</v>
      </c>
      <c r="E30" s="74"/>
      <c r="F30" s="97">
        <v>39448</v>
      </c>
      <c r="G30" s="84">
        <v>2.5900000000000003</v>
      </c>
      <c r="H30" s="87" t="s">
        <v>165</v>
      </c>
      <c r="I30" s="88">
        <v>4.8000000000000001E-2</v>
      </c>
      <c r="J30" s="88">
        <v>4.8499999999999995E-2</v>
      </c>
      <c r="K30" s="84">
        <v>51770094</v>
      </c>
      <c r="L30" s="86">
        <v>119.04600000000001</v>
      </c>
      <c r="M30" s="84">
        <v>61630.02908</v>
      </c>
      <c r="N30" s="74"/>
      <c r="O30" s="85">
        <f t="shared" si="0"/>
        <v>3.871995156907778E-3</v>
      </c>
      <c r="P30" s="85">
        <f>M30/'סכום נכסי הקרן'!$C$42</f>
        <v>1.1831210133528352E-3</v>
      </c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</row>
    <row r="31" spans="2:31" s="122" customFormat="1">
      <c r="B31" s="77" t="s">
        <v>1921</v>
      </c>
      <c r="C31" s="74" t="s">
        <v>1922</v>
      </c>
      <c r="D31" s="74" t="s">
        <v>275</v>
      </c>
      <c r="E31" s="74"/>
      <c r="F31" s="97">
        <v>40148</v>
      </c>
      <c r="G31" s="84">
        <v>4.1800000000000006</v>
      </c>
      <c r="H31" s="87" t="s">
        <v>165</v>
      </c>
      <c r="I31" s="88">
        <v>4.8000000000000001E-2</v>
      </c>
      <c r="J31" s="88">
        <v>4.8500000000000008E-2</v>
      </c>
      <c r="K31" s="84">
        <v>153358000</v>
      </c>
      <c r="L31" s="86">
        <v>110.4628</v>
      </c>
      <c r="M31" s="84">
        <v>169403.91019999998</v>
      </c>
      <c r="N31" s="74"/>
      <c r="O31" s="85">
        <f t="shared" si="0"/>
        <v>1.0643044140125206E-2</v>
      </c>
      <c r="P31" s="85">
        <f>M31/'סכום נכסי הקרן'!$C$42</f>
        <v>3.2520725512167272E-3</v>
      </c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</row>
    <row r="32" spans="2:31" s="122" customFormat="1">
      <c r="B32" s="77" t="s">
        <v>1923</v>
      </c>
      <c r="C32" s="74" t="s">
        <v>1924</v>
      </c>
      <c r="D32" s="74" t="s">
        <v>275</v>
      </c>
      <c r="E32" s="74"/>
      <c r="F32" s="97">
        <v>40269</v>
      </c>
      <c r="G32" s="84">
        <v>4.41</v>
      </c>
      <c r="H32" s="87" t="s">
        <v>165</v>
      </c>
      <c r="I32" s="88">
        <v>4.8000000000000001E-2</v>
      </c>
      <c r="J32" s="88">
        <v>4.8500000000000008E-2</v>
      </c>
      <c r="K32" s="84">
        <v>152522000</v>
      </c>
      <c r="L32" s="86">
        <v>112.0853</v>
      </c>
      <c r="M32" s="84">
        <v>170954.05695</v>
      </c>
      <c r="N32" s="74"/>
      <c r="O32" s="85">
        <f t="shared" si="0"/>
        <v>1.0740434337697646E-2</v>
      </c>
      <c r="P32" s="85">
        <f>M32/'סכום נכסי הקרן'!$C$42</f>
        <v>3.2818309534288202E-3</v>
      </c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</row>
    <row r="33" spans="2:31" s="122" customFormat="1">
      <c r="B33" s="77" t="s">
        <v>1925</v>
      </c>
      <c r="C33" s="74" t="s">
        <v>1926</v>
      </c>
      <c r="D33" s="74" t="s">
        <v>275</v>
      </c>
      <c r="E33" s="74"/>
      <c r="F33" s="97">
        <v>40391</v>
      </c>
      <c r="G33" s="84">
        <v>4.74</v>
      </c>
      <c r="H33" s="87" t="s">
        <v>165</v>
      </c>
      <c r="I33" s="88">
        <v>4.8000000000000001E-2</v>
      </c>
      <c r="J33" s="88">
        <v>4.8500000000000008E-2</v>
      </c>
      <c r="K33" s="84">
        <v>114604000</v>
      </c>
      <c r="L33" s="86">
        <v>108.55840000000001</v>
      </c>
      <c r="M33" s="84">
        <v>124412.45204</v>
      </c>
      <c r="N33" s="74"/>
      <c r="O33" s="85">
        <f t="shared" si="0"/>
        <v>7.8163911156457506E-3</v>
      </c>
      <c r="P33" s="85">
        <f>M33/'סכום נכסי הקרן'!$C$42</f>
        <v>2.3883647067601843E-3</v>
      </c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</row>
    <row r="34" spans="2:31" s="122" customFormat="1">
      <c r="B34" s="77" t="s">
        <v>1927</v>
      </c>
      <c r="C34" s="74" t="s">
        <v>1928</v>
      </c>
      <c r="D34" s="74" t="s">
        <v>275</v>
      </c>
      <c r="E34" s="74"/>
      <c r="F34" s="97">
        <v>40452</v>
      </c>
      <c r="G34" s="84">
        <v>4.79</v>
      </c>
      <c r="H34" s="87" t="s">
        <v>165</v>
      </c>
      <c r="I34" s="88">
        <v>4.8000000000000001E-2</v>
      </c>
      <c r="J34" s="88">
        <v>4.8600000000000004E-2</v>
      </c>
      <c r="K34" s="84">
        <v>152358000</v>
      </c>
      <c r="L34" s="86">
        <v>109.2269</v>
      </c>
      <c r="M34" s="84">
        <v>166415.99023</v>
      </c>
      <c r="N34" s="74"/>
      <c r="O34" s="85">
        <f t="shared" si="0"/>
        <v>1.0455323773515443E-2</v>
      </c>
      <c r="P34" s="85">
        <f>M34/'סכום נכסי הקרן'!$C$42</f>
        <v>3.194712998487411E-3</v>
      </c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</row>
    <row r="35" spans="2:31" s="122" customFormat="1">
      <c r="B35" s="77" t="s">
        <v>1929</v>
      </c>
      <c r="C35" s="74" t="s">
        <v>1930</v>
      </c>
      <c r="D35" s="74" t="s">
        <v>275</v>
      </c>
      <c r="E35" s="74"/>
      <c r="F35" s="97">
        <v>39569</v>
      </c>
      <c r="G35" s="84">
        <v>2.8499999999999996</v>
      </c>
      <c r="H35" s="87" t="s">
        <v>165</v>
      </c>
      <c r="I35" s="88">
        <v>4.8000000000000001E-2</v>
      </c>
      <c r="J35" s="88">
        <v>4.8599999999999997E-2</v>
      </c>
      <c r="K35" s="84">
        <v>112578000</v>
      </c>
      <c r="L35" s="86">
        <v>119.16930000000001</v>
      </c>
      <c r="M35" s="84">
        <v>134158.35926</v>
      </c>
      <c r="N35" s="74"/>
      <c r="O35" s="85">
        <f t="shared" si="0"/>
        <v>8.4286917443949019E-3</v>
      </c>
      <c r="P35" s="85">
        <f>M35/'סכום נכסי הקרן'!$C$42</f>
        <v>2.5754583654570124E-3</v>
      </c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2:31" s="122" customFormat="1">
      <c r="B36" s="77" t="s">
        <v>1931</v>
      </c>
      <c r="C36" s="74" t="s">
        <v>1932</v>
      </c>
      <c r="D36" s="74" t="s">
        <v>275</v>
      </c>
      <c r="E36" s="74"/>
      <c r="F36" s="97">
        <v>39661</v>
      </c>
      <c r="G36" s="84">
        <v>3.1</v>
      </c>
      <c r="H36" s="87" t="s">
        <v>165</v>
      </c>
      <c r="I36" s="88">
        <v>4.8000000000000001E-2</v>
      </c>
      <c r="J36" s="88">
        <v>4.8500000000000008E-2</v>
      </c>
      <c r="K36" s="84">
        <v>20857000</v>
      </c>
      <c r="L36" s="86">
        <v>115.18470000000001</v>
      </c>
      <c r="M36" s="84">
        <v>24024.08066</v>
      </c>
      <c r="N36" s="74"/>
      <c r="O36" s="85">
        <f t="shared" si="0"/>
        <v>1.5093473969310322E-3</v>
      </c>
      <c r="P36" s="85">
        <f>M36/'סכום נכסי הקרן'!$C$42</f>
        <v>4.6119391925702222E-4</v>
      </c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</row>
    <row r="37" spans="2:31" s="122" customFormat="1">
      <c r="B37" s="77" t="s">
        <v>1933</v>
      </c>
      <c r="C37" s="74" t="s">
        <v>1934</v>
      </c>
      <c r="D37" s="74" t="s">
        <v>275</v>
      </c>
      <c r="E37" s="74"/>
      <c r="F37" s="97">
        <v>39692</v>
      </c>
      <c r="G37" s="84">
        <v>3.1900000000000004</v>
      </c>
      <c r="H37" s="87" t="s">
        <v>165</v>
      </c>
      <c r="I37" s="88">
        <v>4.8000000000000001E-2</v>
      </c>
      <c r="J37" s="88">
        <v>4.8500000000000008E-2</v>
      </c>
      <c r="K37" s="84">
        <v>66472000</v>
      </c>
      <c r="L37" s="86">
        <v>113.4323</v>
      </c>
      <c r="M37" s="84">
        <v>75400.747790000009</v>
      </c>
      <c r="N37" s="74"/>
      <c r="O37" s="85">
        <f t="shared" si="0"/>
        <v>4.7371603523200037E-3</v>
      </c>
      <c r="P37" s="85">
        <f>M37/'סכום נכסי הקרן'!$C$42</f>
        <v>1.4474795885146834E-3</v>
      </c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</row>
    <row r="38" spans="2:31" s="122" customFormat="1">
      <c r="B38" s="77" t="s">
        <v>1935</v>
      </c>
      <c r="C38" s="74" t="s">
        <v>1936</v>
      </c>
      <c r="D38" s="74" t="s">
        <v>275</v>
      </c>
      <c r="E38" s="74"/>
      <c r="F38" s="97">
        <v>40909</v>
      </c>
      <c r="G38" s="84">
        <v>5.78</v>
      </c>
      <c r="H38" s="87" t="s">
        <v>165</v>
      </c>
      <c r="I38" s="88">
        <v>4.8000000000000001E-2</v>
      </c>
      <c r="J38" s="88">
        <v>4.8499999999999995E-2</v>
      </c>
      <c r="K38" s="84">
        <v>64393000</v>
      </c>
      <c r="L38" s="86">
        <v>104.6032</v>
      </c>
      <c r="M38" s="84">
        <v>67359.605219999998</v>
      </c>
      <c r="N38" s="74"/>
      <c r="O38" s="85">
        <f t="shared" si="0"/>
        <v>4.2319640129408788E-3</v>
      </c>
      <c r="P38" s="85">
        <f>M38/'סכום נכסי הקרן'!$C$42</f>
        <v>1.2931125553013179E-3</v>
      </c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</row>
    <row r="39" spans="2:31" s="122" customFormat="1">
      <c r="B39" s="77" t="s">
        <v>1937</v>
      </c>
      <c r="C39" s="74">
        <v>8790</v>
      </c>
      <c r="D39" s="74" t="s">
        <v>275</v>
      </c>
      <c r="E39" s="74"/>
      <c r="F39" s="97">
        <v>41030</v>
      </c>
      <c r="G39" s="84">
        <v>5.97</v>
      </c>
      <c r="H39" s="87" t="s">
        <v>165</v>
      </c>
      <c r="I39" s="88">
        <v>4.8000000000000001E-2</v>
      </c>
      <c r="J39" s="88">
        <v>4.8600000000000004E-2</v>
      </c>
      <c r="K39" s="84">
        <v>146011000</v>
      </c>
      <c r="L39" s="86">
        <v>104.9873</v>
      </c>
      <c r="M39" s="84">
        <v>153292.54027</v>
      </c>
      <c r="N39" s="74"/>
      <c r="O39" s="85">
        <f t="shared" si="0"/>
        <v>9.6308241676320572E-3</v>
      </c>
      <c r="P39" s="85">
        <f>M39/'סכום נכסי הקרן'!$C$42</f>
        <v>2.942780139666173E-3</v>
      </c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</row>
    <row r="40" spans="2:31" s="122" customFormat="1">
      <c r="B40" s="77" t="s">
        <v>1938</v>
      </c>
      <c r="C40" s="74" t="s">
        <v>1939</v>
      </c>
      <c r="D40" s="74" t="s">
        <v>275</v>
      </c>
      <c r="E40" s="74"/>
      <c r="F40" s="97">
        <v>41091</v>
      </c>
      <c r="G40" s="84">
        <v>6.14</v>
      </c>
      <c r="H40" s="87" t="s">
        <v>165</v>
      </c>
      <c r="I40" s="88">
        <v>4.8000000000000001E-2</v>
      </c>
      <c r="J40" s="88">
        <v>4.8599999999999997E-2</v>
      </c>
      <c r="K40" s="84">
        <v>11988000</v>
      </c>
      <c r="L40" s="86">
        <v>103.304073</v>
      </c>
      <c r="M40" s="84">
        <v>12384.09231</v>
      </c>
      <c r="N40" s="74"/>
      <c r="O40" s="85">
        <f t="shared" si="0"/>
        <v>7.7804839885399024E-4</v>
      </c>
      <c r="P40" s="85">
        <f>M40/'סכום נכסי הקרן'!$C$42</f>
        <v>2.3773929790367471E-4</v>
      </c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</row>
    <row r="41" spans="2:31" s="122" customFormat="1">
      <c r="B41" s="77" t="s">
        <v>1940</v>
      </c>
      <c r="C41" s="74">
        <v>8793</v>
      </c>
      <c r="D41" s="74" t="s">
        <v>275</v>
      </c>
      <c r="E41" s="74"/>
      <c r="F41" s="97">
        <v>41122</v>
      </c>
      <c r="G41" s="84">
        <v>6.2299999999999995</v>
      </c>
      <c r="H41" s="87" t="s">
        <v>165</v>
      </c>
      <c r="I41" s="88">
        <v>4.8000000000000001E-2</v>
      </c>
      <c r="J41" s="88">
        <v>4.8499999999999995E-2</v>
      </c>
      <c r="K41" s="84">
        <v>48437000</v>
      </c>
      <c r="L41" s="86">
        <v>103.1905</v>
      </c>
      <c r="M41" s="84">
        <v>49982.379670000002</v>
      </c>
      <c r="N41" s="74"/>
      <c r="O41" s="85">
        <f t="shared" si="0"/>
        <v>3.1402148417251047E-3</v>
      </c>
      <c r="P41" s="85">
        <f>M41/'סכום נכסי הקרן'!$C$42</f>
        <v>9.5951932146900348E-4</v>
      </c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</row>
    <row r="42" spans="2:31" s="122" customFormat="1">
      <c r="B42" s="77" t="s">
        <v>1941</v>
      </c>
      <c r="C42" s="74" t="s">
        <v>1942</v>
      </c>
      <c r="D42" s="74" t="s">
        <v>275</v>
      </c>
      <c r="E42" s="74"/>
      <c r="F42" s="97">
        <v>41154</v>
      </c>
      <c r="G42" s="84">
        <v>6.3099999999999987</v>
      </c>
      <c r="H42" s="87" t="s">
        <v>165</v>
      </c>
      <c r="I42" s="88">
        <v>4.8000000000000001E-2</v>
      </c>
      <c r="J42" s="88">
        <v>4.8600000000000004E-2</v>
      </c>
      <c r="K42" s="84">
        <v>122998000</v>
      </c>
      <c r="L42" s="86">
        <v>102.6777</v>
      </c>
      <c r="M42" s="84">
        <v>126291.50753</v>
      </c>
      <c r="N42" s="74"/>
      <c r="O42" s="85">
        <f t="shared" si="0"/>
        <v>7.9344454775445022E-3</v>
      </c>
      <c r="P42" s="85">
        <f>M42/'סכום נכסי הקרן'!$C$42</f>
        <v>2.4244372199272511E-3</v>
      </c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</row>
    <row r="43" spans="2:31" s="122" customFormat="1">
      <c r="B43" s="77" t="s">
        <v>1943</v>
      </c>
      <c r="C43" s="74" t="s">
        <v>1944</v>
      </c>
      <c r="D43" s="74" t="s">
        <v>275</v>
      </c>
      <c r="E43" s="74"/>
      <c r="F43" s="97">
        <v>41184</v>
      </c>
      <c r="G43" s="84">
        <v>6.24</v>
      </c>
      <c r="H43" s="87" t="s">
        <v>165</v>
      </c>
      <c r="I43" s="88">
        <v>4.8000000000000001E-2</v>
      </c>
      <c r="J43" s="88">
        <v>4.8599999999999997E-2</v>
      </c>
      <c r="K43" s="84">
        <v>136940000</v>
      </c>
      <c r="L43" s="86">
        <v>103.63500000000001</v>
      </c>
      <c r="M43" s="84">
        <v>141917.78971000001</v>
      </c>
      <c r="N43" s="74"/>
      <c r="O43" s="85">
        <f t="shared" si="0"/>
        <v>8.9161891149342372E-3</v>
      </c>
      <c r="P43" s="85">
        <f>M43/'סכום נכסי הקרן'!$C$42</f>
        <v>2.7244173283860764E-3</v>
      </c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</row>
    <row r="44" spans="2:31" s="122" customFormat="1">
      <c r="B44" s="77" t="s">
        <v>1945</v>
      </c>
      <c r="C44" s="74" t="s">
        <v>1946</v>
      </c>
      <c r="D44" s="74" t="s">
        <v>275</v>
      </c>
      <c r="E44" s="74"/>
      <c r="F44" s="97">
        <v>41214</v>
      </c>
      <c r="G44" s="84">
        <v>6.33</v>
      </c>
      <c r="H44" s="87" t="s">
        <v>165</v>
      </c>
      <c r="I44" s="88">
        <v>4.8000000000000001E-2</v>
      </c>
      <c r="J44" s="88">
        <v>4.8499999999999995E-2</v>
      </c>
      <c r="K44" s="84">
        <v>151007000</v>
      </c>
      <c r="L44" s="86">
        <v>103.2424</v>
      </c>
      <c r="M44" s="84">
        <v>155903.30796000001</v>
      </c>
      <c r="N44" s="74"/>
      <c r="O44" s="85">
        <f t="shared" si="0"/>
        <v>9.7948494001752606E-3</v>
      </c>
      <c r="P44" s="85">
        <f>M44/'סכום נכסי הקרן'!$C$42</f>
        <v>2.992899442887856E-3</v>
      </c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</row>
    <row r="45" spans="2:31" s="122" customFormat="1">
      <c r="B45" s="77" t="s">
        <v>1947</v>
      </c>
      <c r="C45" s="74" t="s">
        <v>1948</v>
      </c>
      <c r="D45" s="74" t="s">
        <v>275</v>
      </c>
      <c r="E45" s="74"/>
      <c r="F45" s="97">
        <v>41245</v>
      </c>
      <c r="G45" s="84">
        <v>6.41</v>
      </c>
      <c r="H45" s="87" t="s">
        <v>165</v>
      </c>
      <c r="I45" s="88">
        <v>4.8000000000000001E-2</v>
      </c>
      <c r="J45" s="88">
        <v>4.8600000000000011E-2</v>
      </c>
      <c r="K45" s="84">
        <v>155216000</v>
      </c>
      <c r="L45" s="86">
        <v>103.0159</v>
      </c>
      <c r="M45" s="84">
        <v>159897.1041</v>
      </c>
      <c r="N45" s="74"/>
      <c r="O45" s="85">
        <f t="shared" si="0"/>
        <v>1.0045765382896666E-2</v>
      </c>
      <c r="P45" s="85">
        <f>M45/'סכום נכסי הקרן'!$C$42</f>
        <v>3.0695689529759962E-3</v>
      </c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</row>
    <row r="46" spans="2:31" s="122" customFormat="1">
      <c r="B46" s="77" t="s">
        <v>1949</v>
      </c>
      <c r="C46" s="74" t="s">
        <v>1950</v>
      </c>
      <c r="D46" s="74" t="s">
        <v>275</v>
      </c>
      <c r="E46" s="74"/>
      <c r="F46" s="97">
        <v>41275</v>
      </c>
      <c r="G46" s="84">
        <v>6.49</v>
      </c>
      <c r="H46" s="87" t="s">
        <v>165</v>
      </c>
      <c r="I46" s="88">
        <v>4.8000000000000001E-2</v>
      </c>
      <c r="J46" s="88">
        <v>4.8500000000000008E-2</v>
      </c>
      <c r="K46" s="84">
        <v>144366000</v>
      </c>
      <c r="L46" s="86">
        <v>103.1033</v>
      </c>
      <c r="M46" s="84">
        <v>148846.00944999998</v>
      </c>
      <c r="N46" s="74"/>
      <c r="O46" s="85">
        <f t="shared" si="0"/>
        <v>9.3514644779305895E-3</v>
      </c>
      <c r="P46" s="85">
        <f>M46/'סכום נכסי הקרן'!$C$42</f>
        <v>2.8574194132768641E-3</v>
      </c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</row>
    <row r="47" spans="2:31" s="122" customFormat="1">
      <c r="B47" s="77" t="s">
        <v>1951</v>
      </c>
      <c r="C47" s="74" t="s">
        <v>1952</v>
      </c>
      <c r="D47" s="74" t="s">
        <v>275</v>
      </c>
      <c r="E47" s="74"/>
      <c r="F47" s="97">
        <v>41306</v>
      </c>
      <c r="G47" s="84">
        <v>6.58</v>
      </c>
      <c r="H47" s="87" t="s">
        <v>165</v>
      </c>
      <c r="I47" s="88">
        <v>4.8000000000000001E-2</v>
      </c>
      <c r="J47" s="88">
        <v>4.8499999999999995E-2</v>
      </c>
      <c r="K47" s="84">
        <v>177605000</v>
      </c>
      <c r="L47" s="86">
        <v>102.503</v>
      </c>
      <c r="M47" s="84">
        <v>182050.24940999999</v>
      </c>
      <c r="N47" s="74"/>
      <c r="O47" s="85">
        <f t="shared" si="0"/>
        <v>1.1437568577395404E-2</v>
      </c>
      <c r="P47" s="85">
        <f>M47/'סכום נכסי הקרן'!$C$42</f>
        <v>3.4948462426248072E-3</v>
      </c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</row>
    <row r="48" spans="2:31" s="122" customFormat="1">
      <c r="B48" s="77" t="s">
        <v>1953</v>
      </c>
      <c r="C48" s="74" t="s">
        <v>1954</v>
      </c>
      <c r="D48" s="74" t="s">
        <v>275</v>
      </c>
      <c r="E48" s="74"/>
      <c r="F48" s="97">
        <v>41334</v>
      </c>
      <c r="G48" s="84">
        <v>6.660000000000001</v>
      </c>
      <c r="H48" s="87" t="s">
        <v>165</v>
      </c>
      <c r="I48" s="88">
        <v>4.8000000000000001E-2</v>
      </c>
      <c r="J48" s="88">
        <v>4.8599999999999997E-2</v>
      </c>
      <c r="K48" s="84">
        <v>128676000</v>
      </c>
      <c r="L48" s="86">
        <v>102.2769</v>
      </c>
      <c r="M48" s="84">
        <v>131605.80348</v>
      </c>
      <c r="N48" s="74"/>
      <c r="O48" s="85">
        <f t="shared" si="0"/>
        <v>8.2683237587645939E-3</v>
      </c>
      <c r="P48" s="85">
        <f>M48/'סכום נכסי הקרן'!$C$42</f>
        <v>2.5264565650984063E-3</v>
      </c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</row>
    <row r="49" spans="2:31" s="122" customFormat="1">
      <c r="B49" s="77" t="s">
        <v>1955</v>
      </c>
      <c r="C49" s="74" t="s">
        <v>1956</v>
      </c>
      <c r="D49" s="74" t="s">
        <v>275</v>
      </c>
      <c r="E49" s="74"/>
      <c r="F49" s="97">
        <v>41366</v>
      </c>
      <c r="G49" s="84">
        <v>6.5900000000000007</v>
      </c>
      <c r="H49" s="87" t="s">
        <v>165</v>
      </c>
      <c r="I49" s="88">
        <v>4.8000000000000001E-2</v>
      </c>
      <c r="J49" s="88">
        <v>4.8599999999999997E-2</v>
      </c>
      <c r="K49" s="84">
        <v>190014000</v>
      </c>
      <c r="L49" s="86">
        <v>104.3085</v>
      </c>
      <c r="M49" s="84">
        <v>198200.69144</v>
      </c>
      <c r="N49" s="74"/>
      <c r="O49" s="85">
        <f t="shared" si="0"/>
        <v>1.2452243310728823E-2</v>
      </c>
      <c r="P49" s="85">
        <f>M49/'סכום נכסי הקרן'!$C$42</f>
        <v>3.8048887272036547E-3</v>
      </c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</row>
    <row r="50" spans="2:31" s="122" customFormat="1">
      <c r="B50" s="77" t="s">
        <v>1957</v>
      </c>
      <c r="C50" s="74">
        <v>2704</v>
      </c>
      <c r="D50" s="74" t="s">
        <v>275</v>
      </c>
      <c r="E50" s="74"/>
      <c r="F50" s="97">
        <v>41395</v>
      </c>
      <c r="G50" s="84">
        <v>6.6700000000000008</v>
      </c>
      <c r="H50" s="87" t="s">
        <v>165</v>
      </c>
      <c r="I50" s="88">
        <v>4.8000000000000001E-2</v>
      </c>
      <c r="J50" s="88">
        <v>4.8500000000000008E-2</v>
      </c>
      <c r="K50" s="84">
        <v>126990000</v>
      </c>
      <c r="L50" s="86">
        <v>103.6995</v>
      </c>
      <c r="M50" s="84">
        <v>131688.00537999999</v>
      </c>
      <c r="N50" s="74"/>
      <c r="O50" s="85">
        <f t="shared" si="0"/>
        <v>8.2734882112797045E-3</v>
      </c>
      <c r="P50" s="85">
        <f>M50/'סכום נכסי הקרן'!$C$42</f>
        <v>2.5280346074371706E-3</v>
      </c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</row>
    <row r="51" spans="2:31" s="122" customFormat="1">
      <c r="B51" s="77" t="s">
        <v>1958</v>
      </c>
      <c r="C51" s="74" t="s">
        <v>1959</v>
      </c>
      <c r="D51" s="74" t="s">
        <v>275</v>
      </c>
      <c r="E51" s="74"/>
      <c r="F51" s="97">
        <v>41427</v>
      </c>
      <c r="G51" s="84">
        <v>6.75</v>
      </c>
      <c r="H51" s="87" t="s">
        <v>165</v>
      </c>
      <c r="I51" s="88">
        <v>4.8000000000000001E-2</v>
      </c>
      <c r="J51" s="88">
        <v>4.8600000000000004E-2</v>
      </c>
      <c r="K51" s="84">
        <v>256283000</v>
      </c>
      <c r="L51" s="86">
        <v>102.8724</v>
      </c>
      <c r="M51" s="84">
        <v>263644.38978000003</v>
      </c>
      <c r="N51" s="74"/>
      <c r="O51" s="85">
        <f t="shared" si="0"/>
        <v>1.6563837720228229E-2</v>
      </c>
      <c r="P51" s="85">
        <f>M51/'סכום נכסי הקרן'!$C$42</f>
        <v>5.0612213276162148E-3</v>
      </c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</row>
    <row r="52" spans="2:31" s="122" customFormat="1">
      <c r="B52" s="77" t="s">
        <v>1960</v>
      </c>
      <c r="C52" s="74">
        <v>8805</v>
      </c>
      <c r="D52" s="74" t="s">
        <v>275</v>
      </c>
      <c r="E52" s="74"/>
      <c r="F52" s="97">
        <v>41487</v>
      </c>
      <c r="G52" s="84">
        <v>6.9200000000000008</v>
      </c>
      <c r="H52" s="87" t="s">
        <v>165</v>
      </c>
      <c r="I52" s="88">
        <v>4.8000000000000001E-2</v>
      </c>
      <c r="J52" s="88">
        <v>4.8500000000000008E-2</v>
      </c>
      <c r="K52" s="84">
        <v>110288000</v>
      </c>
      <c r="L52" s="86">
        <v>101.16840000000001</v>
      </c>
      <c r="M52" s="84">
        <v>111577.09495999999</v>
      </c>
      <c r="N52" s="74"/>
      <c r="O52" s="85">
        <f t="shared" si="0"/>
        <v>7.009991359020128E-3</v>
      </c>
      <c r="P52" s="85">
        <f>M52/'סכום נכסי הקרן'!$C$42</f>
        <v>2.1419624106404967E-3</v>
      </c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</row>
    <row r="53" spans="2:31" s="122" customFormat="1">
      <c r="B53" s="77" t="s">
        <v>1961</v>
      </c>
      <c r="C53" s="74">
        <v>8806</v>
      </c>
      <c r="D53" s="74" t="s">
        <v>275</v>
      </c>
      <c r="E53" s="74"/>
      <c r="F53" s="97">
        <v>41518</v>
      </c>
      <c r="G53" s="84">
        <v>7</v>
      </c>
      <c r="H53" s="87" t="s">
        <v>165</v>
      </c>
      <c r="I53" s="88">
        <v>4.8000000000000001E-2</v>
      </c>
      <c r="J53" s="88">
        <v>4.8499999999999995E-2</v>
      </c>
      <c r="K53" s="84">
        <v>9996000</v>
      </c>
      <c r="L53" s="86">
        <v>100.47750000000001</v>
      </c>
      <c r="M53" s="84">
        <v>10043.925220000001</v>
      </c>
      <c r="N53" s="74"/>
      <c r="O53" s="85">
        <f t="shared" si="0"/>
        <v>6.3102403793614912E-4</v>
      </c>
      <c r="P53" s="85">
        <f>M53/'סכום נכסי הקרן'!$C$42</f>
        <v>1.9281475543198788E-4</v>
      </c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</row>
    <row r="54" spans="2:31" s="122" customFormat="1">
      <c r="B54" s="77" t="s">
        <v>1962</v>
      </c>
      <c r="C54" s="74" t="s">
        <v>1963</v>
      </c>
      <c r="D54" s="74" t="s">
        <v>275</v>
      </c>
      <c r="E54" s="74"/>
      <c r="F54" s="97">
        <v>41548</v>
      </c>
      <c r="G54" s="84">
        <v>6.92</v>
      </c>
      <c r="H54" s="87" t="s">
        <v>165</v>
      </c>
      <c r="I54" s="88">
        <v>4.8000000000000001E-2</v>
      </c>
      <c r="J54" s="88">
        <v>4.8499999999999995E-2</v>
      </c>
      <c r="K54" s="84">
        <v>331205000</v>
      </c>
      <c r="L54" s="86">
        <v>102.3848</v>
      </c>
      <c r="M54" s="84">
        <v>339104.32</v>
      </c>
      <c r="N54" s="74"/>
      <c r="O54" s="85">
        <f t="shared" si="0"/>
        <v>2.1304716293775037E-2</v>
      </c>
      <c r="P54" s="85">
        <f>M54/'סכום נכסי הקרן'!$C$42</f>
        <v>6.5098370502135764E-3</v>
      </c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</row>
    <row r="55" spans="2:31" s="122" customFormat="1">
      <c r="B55" s="77" t="s">
        <v>1964</v>
      </c>
      <c r="C55" s="74" t="s">
        <v>1965</v>
      </c>
      <c r="D55" s="74" t="s">
        <v>275</v>
      </c>
      <c r="E55" s="74"/>
      <c r="F55" s="97">
        <v>41579</v>
      </c>
      <c r="G55" s="84">
        <v>7</v>
      </c>
      <c r="H55" s="87" t="s">
        <v>165</v>
      </c>
      <c r="I55" s="88">
        <v>4.8000000000000001E-2</v>
      </c>
      <c r="J55" s="88">
        <v>4.8500000000000008E-2</v>
      </c>
      <c r="K55" s="84">
        <v>168637000</v>
      </c>
      <c r="L55" s="86">
        <v>101.985754</v>
      </c>
      <c r="M55" s="84">
        <v>171985.71656</v>
      </c>
      <c r="N55" s="74"/>
      <c r="O55" s="85">
        <f t="shared" si="0"/>
        <v>1.0805249835485456E-2</v>
      </c>
      <c r="P55" s="85">
        <f>M55/'סכום נכסי הקרן'!$C$42</f>
        <v>3.3016358793949269E-3</v>
      </c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</row>
    <row r="56" spans="2:31" s="122" customFormat="1">
      <c r="B56" s="77" t="s">
        <v>1966</v>
      </c>
      <c r="C56" s="74" t="s">
        <v>1967</v>
      </c>
      <c r="D56" s="74" t="s">
        <v>275</v>
      </c>
      <c r="E56" s="74"/>
      <c r="F56" s="97">
        <v>41609</v>
      </c>
      <c r="G56" s="84">
        <v>7.09</v>
      </c>
      <c r="H56" s="87" t="s">
        <v>165</v>
      </c>
      <c r="I56" s="88">
        <v>4.8000000000000001E-2</v>
      </c>
      <c r="J56" s="88">
        <v>4.8499999999999988E-2</v>
      </c>
      <c r="K56" s="84">
        <v>151418000</v>
      </c>
      <c r="L56" s="86">
        <v>101.583349</v>
      </c>
      <c r="M56" s="84">
        <v>153815.47486000002</v>
      </c>
      <c r="N56" s="74"/>
      <c r="O56" s="85">
        <f t="shared" si="0"/>
        <v>9.6636782848551935E-3</v>
      </c>
      <c r="P56" s="85">
        <f>M56/'סכום נכסי הקרן'!$C$42</f>
        <v>2.9528189942841865E-3</v>
      </c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</row>
    <row r="57" spans="2:31" s="122" customFormat="1">
      <c r="B57" s="77" t="s">
        <v>1968</v>
      </c>
      <c r="C57" s="74" t="s">
        <v>1969</v>
      </c>
      <c r="D57" s="74" t="s">
        <v>275</v>
      </c>
      <c r="E57" s="74"/>
      <c r="F57" s="97">
        <v>41672</v>
      </c>
      <c r="G57" s="84">
        <v>7.2600000000000007</v>
      </c>
      <c r="H57" s="87" t="s">
        <v>165</v>
      </c>
      <c r="I57" s="88">
        <v>4.8000000000000001E-2</v>
      </c>
      <c r="J57" s="88">
        <v>4.8499999999999995E-2</v>
      </c>
      <c r="K57" s="84">
        <v>67096000</v>
      </c>
      <c r="L57" s="86">
        <v>100.7761</v>
      </c>
      <c r="M57" s="84">
        <v>67616.768689999997</v>
      </c>
      <c r="N57" s="74"/>
      <c r="O57" s="85">
        <f t="shared" si="0"/>
        <v>4.2481206775609954E-3</v>
      </c>
      <c r="P57" s="85">
        <f>M57/'סכום נכסי הקרן'!$C$42</f>
        <v>1.2980493614292005E-3</v>
      </c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</row>
    <row r="58" spans="2:31" s="122" customFormat="1">
      <c r="B58" s="77" t="s">
        <v>1970</v>
      </c>
      <c r="C58" s="74" t="s">
        <v>1971</v>
      </c>
      <c r="D58" s="74" t="s">
        <v>275</v>
      </c>
      <c r="E58" s="74"/>
      <c r="F58" s="97">
        <v>41700</v>
      </c>
      <c r="G58" s="84">
        <v>7.34</v>
      </c>
      <c r="H58" s="87" t="s">
        <v>165</v>
      </c>
      <c r="I58" s="88">
        <v>4.8000000000000001E-2</v>
      </c>
      <c r="J58" s="88">
        <v>4.8600000000000004E-2</v>
      </c>
      <c r="K58" s="84">
        <v>304913000</v>
      </c>
      <c r="L58" s="86">
        <v>100.8633</v>
      </c>
      <c r="M58" s="84">
        <v>307545.53070999996</v>
      </c>
      <c r="N58" s="74"/>
      <c r="O58" s="85">
        <f t="shared" si="0"/>
        <v>1.9321989997635618E-2</v>
      </c>
      <c r="P58" s="85">
        <f>M58/'סכום נכסי הקרן'!$C$42</f>
        <v>5.9039981868811197E-3</v>
      </c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</row>
    <row r="59" spans="2:31" s="122" customFormat="1">
      <c r="B59" s="77" t="s">
        <v>1972</v>
      </c>
      <c r="C59" s="74" t="s">
        <v>1973</v>
      </c>
      <c r="D59" s="74" t="s">
        <v>275</v>
      </c>
      <c r="E59" s="74"/>
      <c r="F59" s="97">
        <v>41730</v>
      </c>
      <c r="G59" s="84">
        <v>7.25</v>
      </c>
      <c r="H59" s="87" t="s">
        <v>165</v>
      </c>
      <c r="I59" s="88">
        <v>4.8000000000000001E-2</v>
      </c>
      <c r="J59" s="88">
        <v>4.8500000000000008E-2</v>
      </c>
      <c r="K59" s="84">
        <v>175976000</v>
      </c>
      <c r="L59" s="86">
        <v>103.0887</v>
      </c>
      <c r="M59" s="84">
        <v>181411.31529</v>
      </c>
      <c r="N59" s="74"/>
      <c r="O59" s="85">
        <f t="shared" si="0"/>
        <v>1.1397426622975559E-2</v>
      </c>
      <c r="P59" s="85">
        <f>M59/'סכום נכסי הקרן'!$C$42</f>
        <v>3.4825805274401067E-3</v>
      </c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</row>
    <row r="60" spans="2:31" s="122" customFormat="1">
      <c r="B60" s="77" t="s">
        <v>1974</v>
      </c>
      <c r="C60" s="74" t="s">
        <v>1975</v>
      </c>
      <c r="D60" s="74" t="s">
        <v>275</v>
      </c>
      <c r="E60" s="74"/>
      <c r="F60" s="97">
        <v>41760</v>
      </c>
      <c r="G60" s="84">
        <v>7.3299999999999992</v>
      </c>
      <c r="H60" s="87" t="s">
        <v>165</v>
      </c>
      <c r="I60" s="88">
        <v>4.8000000000000001E-2</v>
      </c>
      <c r="J60" s="88">
        <v>4.8500000000000008E-2</v>
      </c>
      <c r="K60" s="84">
        <v>63695000</v>
      </c>
      <c r="L60" s="86">
        <v>102.3796</v>
      </c>
      <c r="M60" s="84">
        <v>65210.668950000007</v>
      </c>
      <c r="N60" s="74"/>
      <c r="O60" s="85">
        <f t="shared" si="0"/>
        <v>4.096954003142853E-3</v>
      </c>
      <c r="P60" s="85">
        <f>M60/'סכום נכסי הקרן'!$C$42</f>
        <v>1.2518590998779435E-3</v>
      </c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</row>
    <row r="61" spans="2:31" s="122" customFormat="1">
      <c r="B61" s="77" t="s">
        <v>1976</v>
      </c>
      <c r="C61" s="74" t="s">
        <v>1977</v>
      </c>
      <c r="D61" s="74" t="s">
        <v>275</v>
      </c>
      <c r="E61" s="74"/>
      <c r="F61" s="97">
        <v>41791</v>
      </c>
      <c r="G61" s="84">
        <v>7.41</v>
      </c>
      <c r="H61" s="87" t="s">
        <v>165</v>
      </c>
      <c r="I61" s="88">
        <v>4.8000000000000001E-2</v>
      </c>
      <c r="J61" s="88">
        <v>4.8499999999999995E-2</v>
      </c>
      <c r="K61" s="84">
        <v>262929000</v>
      </c>
      <c r="L61" s="86">
        <v>101.8693</v>
      </c>
      <c r="M61" s="84">
        <v>267843.755</v>
      </c>
      <c r="N61" s="74"/>
      <c r="O61" s="85">
        <f t="shared" si="0"/>
        <v>1.6827668875862123E-2</v>
      </c>
      <c r="P61" s="85">
        <f>M61/'סכום נכסי הקרן'!$C$42</f>
        <v>5.1418371785040308E-3</v>
      </c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</row>
    <row r="62" spans="2:31" s="122" customFormat="1">
      <c r="B62" s="77" t="s">
        <v>1978</v>
      </c>
      <c r="C62" s="74" t="s">
        <v>1979</v>
      </c>
      <c r="D62" s="74" t="s">
        <v>275</v>
      </c>
      <c r="E62" s="74"/>
      <c r="F62" s="97">
        <v>41821</v>
      </c>
      <c r="G62" s="84">
        <v>7.49</v>
      </c>
      <c r="H62" s="87" t="s">
        <v>165</v>
      </c>
      <c r="I62" s="88">
        <v>4.8000000000000001E-2</v>
      </c>
      <c r="J62" s="88">
        <v>4.8500000000000008E-2</v>
      </c>
      <c r="K62" s="84">
        <v>162322000</v>
      </c>
      <c r="L62" s="86">
        <v>101.3738</v>
      </c>
      <c r="M62" s="84">
        <v>164552.01591999998</v>
      </c>
      <c r="N62" s="74"/>
      <c r="O62" s="85">
        <f t="shared" si="0"/>
        <v>1.0338216908426153E-2</v>
      </c>
      <c r="P62" s="85">
        <f>M62/'סכום נכסי הקרן'!$C$42</f>
        <v>3.1589300010195979E-3</v>
      </c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</row>
    <row r="63" spans="2:31" s="122" customFormat="1">
      <c r="B63" s="77" t="s">
        <v>1980</v>
      </c>
      <c r="C63" s="74" t="s">
        <v>1981</v>
      </c>
      <c r="D63" s="74" t="s">
        <v>275</v>
      </c>
      <c r="E63" s="74"/>
      <c r="F63" s="97">
        <v>41852</v>
      </c>
      <c r="G63" s="84">
        <v>7.58</v>
      </c>
      <c r="H63" s="87" t="s">
        <v>165</v>
      </c>
      <c r="I63" s="88">
        <v>4.8000000000000001E-2</v>
      </c>
      <c r="J63" s="88">
        <v>4.8499999999999995E-2</v>
      </c>
      <c r="K63" s="84">
        <v>114402000</v>
      </c>
      <c r="L63" s="86">
        <v>100.7826</v>
      </c>
      <c r="M63" s="84">
        <v>115297.69126000001</v>
      </c>
      <c r="N63" s="74"/>
      <c r="O63" s="85">
        <f t="shared" si="0"/>
        <v>7.2437431691273228E-3</v>
      </c>
      <c r="P63" s="85">
        <f>M63/'סכום נכסי הקרן'!$C$42</f>
        <v>2.2133872619742329E-3</v>
      </c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</row>
    <row r="64" spans="2:31" s="122" customFormat="1">
      <c r="B64" s="77" t="s">
        <v>1982</v>
      </c>
      <c r="C64" s="74" t="s">
        <v>1983</v>
      </c>
      <c r="D64" s="74" t="s">
        <v>275</v>
      </c>
      <c r="E64" s="74"/>
      <c r="F64" s="97">
        <v>41883</v>
      </c>
      <c r="G64" s="84">
        <v>7.67</v>
      </c>
      <c r="H64" s="87" t="s">
        <v>165</v>
      </c>
      <c r="I64" s="88">
        <v>4.8000000000000001E-2</v>
      </c>
      <c r="J64" s="88">
        <v>4.8500000000000008E-2</v>
      </c>
      <c r="K64" s="84">
        <v>206066000</v>
      </c>
      <c r="L64" s="86">
        <v>100.379</v>
      </c>
      <c r="M64" s="84">
        <v>206846.77562999999</v>
      </c>
      <c r="N64" s="74"/>
      <c r="O64" s="85">
        <f t="shared" si="0"/>
        <v>1.2995445976858361E-2</v>
      </c>
      <c r="P64" s="85">
        <f>M64/'סכום נכסי הקרן'!$C$42</f>
        <v>3.9708689164248585E-3</v>
      </c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</row>
    <row r="65" spans="2:31" s="122" customFormat="1">
      <c r="B65" s="77" t="s">
        <v>1984</v>
      </c>
      <c r="C65" s="74" t="s">
        <v>1985</v>
      </c>
      <c r="D65" s="74" t="s">
        <v>275</v>
      </c>
      <c r="E65" s="74"/>
      <c r="F65" s="97">
        <v>41913</v>
      </c>
      <c r="G65" s="84">
        <v>7.5699999999999994</v>
      </c>
      <c r="H65" s="87" t="s">
        <v>165</v>
      </c>
      <c r="I65" s="88">
        <v>4.8000000000000001E-2</v>
      </c>
      <c r="J65" s="88">
        <v>4.8499999999999995E-2</v>
      </c>
      <c r="K65" s="84">
        <v>170933000</v>
      </c>
      <c r="L65" s="86">
        <v>102.3903</v>
      </c>
      <c r="M65" s="84">
        <v>175018.54493</v>
      </c>
      <c r="N65" s="74"/>
      <c r="O65" s="85">
        <f t="shared" si="0"/>
        <v>1.099579163687142E-2</v>
      </c>
      <c r="P65" s="85">
        <f>M65/'סכום נכסי הקרן'!$C$42</f>
        <v>3.3598575454886082E-3</v>
      </c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</row>
    <row r="66" spans="2:31" s="122" customFormat="1">
      <c r="B66" s="77" t="s">
        <v>1986</v>
      </c>
      <c r="C66" s="74" t="s">
        <v>1987</v>
      </c>
      <c r="D66" s="74" t="s">
        <v>275</v>
      </c>
      <c r="E66" s="74"/>
      <c r="F66" s="97">
        <v>41945</v>
      </c>
      <c r="G66" s="84">
        <v>7.6499999999999995</v>
      </c>
      <c r="H66" s="87" t="s">
        <v>165</v>
      </c>
      <c r="I66" s="88">
        <v>4.8000000000000001E-2</v>
      </c>
      <c r="J66" s="88">
        <v>4.8500000000000008E-2</v>
      </c>
      <c r="K66" s="84">
        <v>85436000</v>
      </c>
      <c r="L66" s="86">
        <v>102.1648</v>
      </c>
      <c r="M66" s="84">
        <v>87285.463189999995</v>
      </c>
      <c r="N66" s="74"/>
      <c r="O66" s="85">
        <f t="shared" si="0"/>
        <v>5.4838346790559737E-3</v>
      </c>
      <c r="P66" s="85">
        <f>M66/'סכום נכסי הקרן'!$C$42</f>
        <v>1.67563227215541E-3</v>
      </c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</row>
    <row r="67" spans="2:31" s="122" customFormat="1">
      <c r="B67" s="77" t="s">
        <v>1988</v>
      </c>
      <c r="C67" s="74" t="s">
        <v>1989</v>
      </c>
      <c r="D67" s="74" t="s">
        <v>275</v>
      </c>
      <c r="E67" s="74"/>
      <c r="F67" s="97">
        <v>41974</v>
      </c>
      <c r="G67" s="84">
        <v>7.7299999999999995</v>
      </c>
      <c r="H67" s="87" t="s">
        <v>165</v>
      </c>
      <c r="I67" s="88">
        <v>4.8000000000000001E-2</v>
      </c>
      <c r="J67" s="88">
        <v>4.8499999999999995E-2</v>
      </c>
      <c r="K67" s="84">
        <v>324664000</v>
      </c>
      <c r="L67" s="86">
        <v>101.5806</v>
      </c>
      <c r="M67" s="84">
        <v>329795.49647000001</v>
      </c>
      <c r="N67" s="74"/>
      <c r="O67" s="85">
        <f t="shared" si="0"/>
        <v>2.0719876076064254E-2</v>
      </c>
      <c r="P67" s="85">
        <f>M67/'סכום נכסי הקרן'!$C$42</f>
        <v>6.3311341533896911E-3</v>
      </c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</row>
    <row r="68" spans="2:31" s="122" customFormat="1">
      <c r="B68" s="77" t="s">
        <v>1990</v>
      </c>
      <c r="C68" s="74" t="s">
        <v>1991</v>
      </c>
      <c r="D68" s="74" t="s">
        <v>275</v>
      </c>
      <c r="E68" s="74"/>
      <c r="F68" s="97">
        <v>42005</v>
      </c>
      <c r="G68" s="84">
        <v>7.8199999999999994</v>
      </c>
      <c r="H68" s="87" t="s">
        <v>165</v>
      </c>
      <c r="I68" s="88">
        <v>4.8000000000000001E-2</v>
      </c>
      <c r="J68" s="88">
        <v>4.8499999999999995E-2</v>
      </c>
      <c r="K68" s="84">
        <v>18379000</v>
      </c>
      <c r="L68" s="86">
        <v>101.2745</v>
      </c>
      <c r="M68" s="84">
        <v>18613.238010000001</v>
      </c>
      <c r="N68" s="74"/>
      <c r="O68" s="85">
        <f t="shared" si="0"/>
        <v>1.1694034305182544E-3</v>
      </c>
      <c r="P68" s="85">
        <f>M68/'סכום נכסי הקרן'!$C$42</f>
        <v>3.5732115244636702E-4</v>
      </c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</row>
    <row r="69" spans="2:31" s="122" customFormat="1">
      <c r="B69" s="77" t="s">
        <v>1992</v>
      </c>
      <c r="C69" s="74" t="s">
        <v>1993</v>
      </c>
      <c r="D69" s="74" t="s">
        <v>275</v>
      </c>
      <c r="E69" s="74"/>
      <c r="F69" s="97">
        <v>42036</v>
      </c>
      <c r="G69" s="84">
        <v>7.9</v>
      </c>
      <c r="H69" s="87" t="s">
        <v>165</v>
      </c>
      <c r="I69" s="88">
        <v>4.8000000000000001E-2</v>
      </c>
      <c r="J69" s="88">
        <v>4.8500000000000008E-2</v>
      </c>
      <c r="K69" s="84">
        <v>129449000</v>
      </c>
      <c r="L69" s="86">
        <v>100.874938</v>
      </c>
      <c r="M69" s="84">
        <v>130581.59845999999</v>
      </c>
      <c r="N69" s="74"/>
      <c r="O69" s="85">
        <f t="shared" si="0"/>
        <v>8.2039766063079084E-3</v>
      </c>
      <c r="P69" s="85">
        <f>M69/'סכום נכסי הקרן'!$C$42</f>
        <v>2.5067947460268867E-3</v>
      </c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</row>
    <row r="70" spans="2:31" s="122" customFormat="1">
      <c r="B70" s="77" t="s">
        <v>1994</v>
      </c>
      <c r="C70" s="74" t="s">
        <v>1995</v>
      </c>
      <c r="D70" s="74" t="s">
        <v>275</v>
      </c>
      <c r="E70" s="74"/>
      <c r="F70" s="97">
        <v>42064</v>
      </c>
      <c r="G70" s="84">
        <v>7.98</v>
      </c>
      <c r="H70" s="87" t="s">
        <v>165</v>
      </c>
      <c r="I70" s="88">
        <v>4.8000000000000001E-2</v>
      </c>
      <c r="J70" s="88">
        <v>4.8500000000000008E-2</v>
      </c>
      <c r="K70" s="84">
        <v>455819000</v>
      </c>
      <c r="L70" s="86">
        <v>101.37949999999999</v>
      </c>
      <c r="M70" s="84">
        <v>462106.96814999997</v>
      </c>
      <c r="N70" s="74"/>
      <c r="O70" s="85">
        <f t="shared" si="0"/>
        <v>2.9032534453740627E-2</v>
      </c>
      <c r="P70" s="85">
        <f>M70/'סכום נכסי הקרן'!$C$42</f>
        <v>8.8711375379256011E-3</v>
      </c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</row>
    <row r="71" spans="2:31" s="122" customFormat="1">
      <c r="B71" s="77" t="s">
        <v>1996</v>
      </c>
      <c r="C71" s="74" t="s">
        <v>1997</v>
      </c>
      <c r="D71" s="74" t="s">
        <v>275</v>
      </c>
      <c r="E71" s="74"/>
      <c r="F71" s="97">
        <v>42095</v>
      </c>
      <c r="G71" s="84">
        <v>7.88</v>
      </c>
      <c r="H71" s="87" t="s">
        <v>165</v>
      </c>
      <c r="I71" s="88">
        <v>4.8000000000000001E-2</v>
      </c>
      <c r="J71" s="88">
        <v>4.8499999999999995E-2</v>
      </c>
      <c r="K71" s="84">
        <v>249662000</v>
      </c>
      <c r="L71" s="86">
        <v>104.1454</v>
      </c>
      <c r="M71" s="84">
        <v>260011.45947999999</v>
      </c>
      <c r="N71" s="74"/>
      <c r="O71" s="85">
        <f t="shared" si="0"/>
        <v>1.6335593652572117E-2</v>
      </c>
      <c r="P71" s="85">
        <f>M71/'סכום נכסי הקרן'!$C$42</f>
        <v>4.9914794137774767E-3</v>
      </c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</row>
    <row r="72" spans="2:31" s="122" customFormat="1">
      <c r="B72" s="77" t="s">
        <v>1998</v>
      </c>
      <c r="C72" s="74" t="s">
        <v>1999</v>
      </c>
      <c r="D72" s="74" t="s">
        <v>275</v>
      </c>
      <c r="E72" s="74"/>
      <c r="F72" s="97">
        <v>42125</v>
      </c>
      <c r="G72" s="84">
        <v>7.96</v>
      </c>
      <c r="H72" s="87" t="s">
        <v>165</v>
      </c>
      <c r="I72" s="88">
        <v>4.8000000000000001E-2</v>
      </c>
      <c r="J72" s="88">
        <v>4.8499999999999995E-2</v>
      </c>
      <c r="K72" s="84">
        <v>266579000</v>
      </c>
      <c r="L72" s="86">
        <v>103.4195</v>
      </c>
      <c r="M72" s="84">
        <v>275694.74711</v>
      </c>
      <c r="N72" s="74"/>
      <c r="O72" s="85">
        <f t="shared" si="0"/>
        <v>1.7320918739291216E-2</v>
      </c>
      <c r="P72" s="85">
        <f>M72/'סכום נכסי הקרן'!$C$42</f>
        <v>5.2925538645038211E-3</v>
      </c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</row>
    <row r="73" spans="2:31" s="122" customFormat="1">
      <c r="B73" s="77" t="s">
        <v>2000</v>
      </c>
      <c r="C73" s="74" t="s">
        <v>2001</v>
      </c>
      <c r="D73" s="74" t="s">
        <v>275</v>
      </c>
      <c r="E73" s="74"/>
      <c r="F73" s="97">
        <v>42156</v>
      </c>
      <c r="G73" s="84">
        <v>8.0400000000000009</v>
      </c>
      <c r="H73" s="87" t="s">
        <v>165</v>
      </c>
      <c r="I73" s="88">
        <v>4.8000000000000001E-2</v>
      </c>
      <c r="J73" s="88">
        <v>4.8500000000000008E-2</v>
      </c>
      <c r="K73" s="84">
        <v>67329000</v>
      </c>
      <c r="L73" s="86">
        <v>102.39019999999999</v>
      </c>
      <c r="M73" s="84">
        <v>68937.97077</v>
      </c>
      <c r="N73" s="74"/>
      <c r="O73" s="85">
        <f t="shared" si="0"/>
        <v>4.3311270971817944E-3</v>
      </c>
      <c r="P73" s="85">
        <f>M73/'סכום נכסי הקרן'!$C$42</f>
        <v>1.3234126780958925E-3</v>
      </c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</row>
    <row r="74" spans="2:31" s="122" customFormat="1">
      <c r="B74" s="77" t="s">
        <v>2002</v>
      </c>
      <c r="C74" s="74" t="s">
        <v>2003</v>
      </c>
      <c r="D74" s="74" t="s">
        <v>275</v>
      </c>
      <c r="E74" s="74"/>
      <c r="F74" s="97">
        <v>42218</v>
      </c>
      <c r="G74" s="84">
        <v>8.2100000000000009</v>
      </c>
      <c r="H74" s="87" t="s">
        <v>165</v>
      </c>
      <c r="I74" s="88">
        <v>4.8000000000000001E-2</v>
      </c>
      <c r="J74" s="88">
        <v>4.8500000000000008E-2</v>
      </c>
      <c r="K74" s="84">
        <v>91313000</v>
      </c>
      <c r="L74" s="86">
        <v>101.0615</v>
      </c>
      <c r="M74" s="84">
        <v>92282.299599999998</v>
      </c>
      <c r="N74" s="74"/>
      <c r="O74" s="85">
        <f t="shared" si="0"/>
        <v>5.7977681083955217E-3</v>
      </c>
      <c r="P74" s="85">
        <f>M74/'סכום נכסי הקרן'!$C$42</f>
        <v>1.7715572984000601E-3</v>
      </c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</row>
    <row r="75" spans="2:31" s="122" customFormat="1">
      <c r="B75" s="77" t="s">
        <v>2004</v>
      </c>
      <c r="C75" s="74" t="s">
        <v>2005</v>
      </c>
      <c r="D75" s="74" t="s">
        <v>275</v>
      </c>
      <c r="E75" s="74"/>
      <c r="F75" s="97">
        <v>42309</v>
      </c>
      <c r="G75" s="84">
        <v>8.26</v>
      </c>
      <c r="H75" s="87" t="s">
        <v>165</v>
      </c>
      <c r="I75" s="88">
        <v>4.8000000000000001E-2</v>
      </c>
      <c r="J75" s="88">
        <v>4.8499999999999995E-2</v>
      </c>
      <c r="K75" s="84">
        <v>218990000</v>
      </c>
      <c r="L75" s="86">
        <v>102.6917</v>
      </c>
      <c r="M75" s="84">
        <v>224884.44628</v>
      </c>
      <c r="N75" s="74"/>
      <c r="O75" s="85">
        <f t="shared" si="0"/>
        <v>1.4128688560729906E-2</v>
      </c>
      <c r="P75" s="85">
        <f>M75/'סכום נכסי הקרן'!$C$42</f>
        <v>4.3171408149866941E-3</v>
      </c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</row>
    <row r="76" spans="2:31" s="122" customFormat="1">
      <c r="B76" s="77" t="s">
        <v>2006</v>
      </c>
      <c r="C76" s="74" t="s">
        <v>2007</v>
      </c>
      <c r="D76" s="74" t="s">
        <v>275</v>
      </c>
      <c r="E76" s="74"/>
      <c r="F76" s="97">
        <v>42339</v>
      </c>
      <c r="G76" s="84">
        <v>8.35</v>
      </c>
      <c r="H76" s="87" t="s">
        <v>165</v>
      </c>
      <c r="I76" s="88">
        <v>4.8000000000000001E-2</v>
      </c>
      <c r="J76" s="88">
        <v>4.8500000000000015E-2</v>
      </c>
      <c r="K76" s="84">
        <v>161865000</v>
      </c>
      <c r="L76" s="86">
        <v>102.1837</v>
      </c>
      <c r="M76" s="84">
        <v>165399.70513999998</v>
      </c>
      <c r="N76" s="74"/>
      <c r="O76" s="85">
        <f t="shared" ref="O76:O139" si="1">M76/$M$11</f>
        <v>1.0391474202044209E-2</v>
      </c>
      <c r="P76" s="85">
        <f>M76/'סכום נכסי הקרן'!$C$42</f>
        <v>3.1752032195130181E-3</v>
      </c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</row>
    <row r="77" spans="2:31" s="122" customFormat="1">
      <c r="B77" s="77" t="s">
        <v>2008</v>
      </c>
      <c r="C77" s="74" t="s">
        <v>2009</v>
      </c>
      <c r="D77" s="74" t="s">
        <v>275</v>
      </c>
      <c r="E77" s="74"/>
      <c r="F77" s="97">
        <v>42370</v>
      </c>
      <c r="G77" s="84">
        <v>8.4300000000000015</v>
      </c>
      <c r="H77" s="87" t="s">
        <v>165</v>
      </c>
      <c r="I77" s="88">
        <v>4.8000000000000001E-2</v>
      </c>
      <c r="J77" s="88">
        <v>4.8500000000000008E-2</v>
      </c>
      <c r="K77" s="84">
        <v>82609000</v>
      </c>
      <c r="L77" s="86">
        <v>102.1909</v>
      </c>
      <c r="M77" s="84">
        <v>84418.904490000001</v>
      </c>
      <c r="N77" s="74"/>
      <c r="O77" s="85">
        <f t="shared" si="1"/>
        <v>5.303739008664772E-3</v>
      </c>
      <c r="P77" s="85">
        <f>M77/'סכום נכסי הקרן'!$C$42</f>
        <v>1.6206025101285742E-3</v>
      </c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</row>
    <row r="78" spans="2:31" s="122" customFormat="1">
      <c r="B78" s="77" t="s">
        <v>2010</v>
      </c>
      <c r="C78" s="74" t="s">
        <v>2011</v>
      </c>
      <c r="D78" s="74" t="s">
        <v>275</v>
      </c>
      <c r="E78" s="74"/>
      <c r="F78" s="97">
        <v>42461</v>
      </c>
      <c r="G78" s="84">
        <v>8.48</v>
      </c>
      <c r="H78" s="87" t="s">
        <v>165</v>
      </c>
      <c r="I78" s="88">
        <v>4.8000000000000001E-2</v>
      </c>
      <c r="J78" s="88">
        <v>4.8500000000000008E-2</v>
      </c>
      <c r="K78" s="84">
        <v>229747000</v>
      </c>
      <c r="L78" s="86">
        <v>104.3567</v>
      </c>
      <c r="M78" s="84">
        <v>239756.29154000001</v>
      </c>
      <c r="N78" s="74"/>
      <c r="O78" s="85">
        <f t="shared" si="1"/>
        <v>1.5063033614279277E-2</v>
      </c>
      <c r="P78" s="85">
        <f>M78/'סכום נכסי הקרן'!$C$42</f>
        <v>4.6026378834952619E-3</v>
      </c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</row>
    <row r="79" spans="2:31" s="122" customFormat="1">
      <c r="B79" s="77" t="s">
        <v>2012</v>
      </c>
      <c r="C79" s="74" t="s">
        <v>2013</v>
      </c>
      <c r="D79" s="74" t="s">
        <v>275</v>
      </c>
      <c r="E79" s="74"/>
      <c r="F79" s="97">
        <v>42491</v>
      </c>
      <c r="G79" s="84">
        <v>8.56</v>
      </c>
      <c r="H79" s="87" t="s">
        <v>165</v>
      </c>
      <c r="I79" s="88">
        <v>4.8000000000000001E-2</v>
      </c>
      <c r="J79" s="88">
        <v>4.8600000000000004E-2</v>
      </c>
      <c r="K79" s="84">
        <v>269102000</v>
      </c>
      <c r="L79" s="86">
        <v>104.1568</v>
      </c>
      <c r="M79" s="84">
        <v>280288.04269999999</v>
      </c>
      <c r="N79" s="74"/>
      <c r="O79" s="85">
        <f t="shared" si="1"/>
        <v>1.7609499136610831E-2</v>
      </c>
      <c r="P79" s="85">
        <f>M79/'סכום נכסי הקרן'!$C$42</f>
        <v>5.3807320564371016E-3</v>
      </c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</row>
    <row r="80" spans="2:31" s="122" customFormat="1">
      <c r="B80" s="77" t="s">
        <v>2014</v>
      </c>
      <c r="C80" s="74" t="s">
        <v>2015</v>
      </c>
      <c r="D80" s="74" t="s">
        <v>275</v>
      </c>
      <c r="E80" s="74"/>
      <c r="F80" s="97">
        <v>42522</v>
      </c>
      <c r="G80" s="84">
        <v>8.64</v>
      </c>
      <c r="H80" s="87" t="s">
        <v>165</v>
      </c>
      <c r="I80" s="88">
        <v>4.8000000000000001E-2</v>
      </c>
      <c r="J80" s="88">
        <v>4.8500000000000008E-2</v>
      </c>
      <c r="K80" s="84">
        <v>129532000</v>
      </c>
      <c r="L80" s="86">
        <v>103.3245</v>
      </c>
      <c r="M80" s="84">
        <v>133838.29480999999</v>
      </c>
      <c r="N80" s="74"/>
      <c r="O80" s="85">
        <f t="shared" si="1"/>
        <v>8.4085832352996086E-3</v>
      </c>
      <c r="P80" s="85">
        <f>M80/'סכום נכסי הקרן'!$C$42</f>
        <v>2.5693140396782482E-3</v>
      </c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</row>
    <row r="81" spans="2:31" s="122" customFormat="1">
      <c r="B81" s="77" t="s">
        <v>2016</v>
      </c>
      <c r="C81" s="74" t="s">
        <v>2017</v>
      </c>
      <c r="D81" s="74" t="s">
        <v>275</v>
      </c>
      <c r="E81" s="74"/>
      <c r="F81" s="97">
        <v>42552</v>
      </c>
      <c r="G81" s="84">
        <v>8.7200000000000006</v>
      </c>
      <c r="H81" s="87" t="s">
        <v>165</v>
      </c>
      <c r="I81" s="88">
        <v>4.8000000000000001E-2</v>
      </c>
      <c r="J81" s="88">
        <v>4.8499999999999995E-2</v>
      </c>
      <c r="K81" s="84">
        <v>12311000</v>
      </c>
      <c r="L81" s="86">
        <v>102.60380000000001</v>
      </c>
      <c r="M81" s="84">
        <v>12631.328710000002</v>
      </c>
      <c r="N81" s="74"/>
      <c r="O81" s="85">
        <f t="shared" si="1"/>
        <v>7.9358138103332167E-4</v>
      </c>
      <c r="P81" s="85">
        <f>M81/'סכום נכסי הקרן'!$C$42</f>
        <v>2.4248553256350279E-4</v>
      </c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</row>
    <row r="82" spans="2:31" s="122" customFormat="1">
      <c r="B82" s="77" t="s">
        <v>2018</v>
      </c>
      <c r="C82" s="74" t="s">
        <v>2019</v>
      </c>
      <c r="D82" s="74" t="s">
        <v>275</v>
      </c>
      <c r="E82" s="74"/>
      <c r="F82" s="97">
        <v>42583</v>
      </c>
      <c r="G82" s="84">
        <v>8.8099999999999987</v>
      </c>
      <c r="H82" s="87" t="s">
        <v>165</v>
      </c>
      <c r="I82" s="88">
        <v>4.8000000000000001E-2</v>
      </c>
      <c r="J82" s="88">
        <v>4.8499999999999995E-2</v>
      </c>
      <c r="K82" s="84">
        <v>257710000</v>
      </c>
      <c r="L82" s="86">
        <v>101.9011</v>
      </c>
      <c r="M82" s="84">
        <v>262609.18557999999</v>
      </c>
      <c r="N82" s="74"/>
      <c r="O82" s="85">
        <f t="shared" si="1"/>
        <v>1.6498799528479078E-2</v>
      </c>
      <c r="P82" s="85">
        <f>M82/'סכום נכסי הקרן'!$C$42</f>
        <v>5.041348355618403E-3</v>
      </c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</row>
    <row r="83" spans="2:31" s="122" customFormat="1">
      <c r="B83" s="77" t="s">
        <v>2020</v>
      </c>
      <c r="C83" s="74" t="s">
        <v>2021</v>
      </c>
      <c r="D83" s="74" t="s">
        <v>275</v>
      </c>
      <c r="E83" s="74"/>
      <c r="F83" s="97">
        <v>42644</v>
      </c>
      <c r="G83" s="84">
        <v>8.77</v>
      </c>
      <c r="H83" s="87" t="s">
        <v>165</v>
      </c>
      <c r="I83" s="88">
        <v>4.8000000000000001E-2</v>
      </c>
      <c r="J83" s="88">
        <v>4.8500000000000008E-2</v>
      </c>
      <c r="K83" s="84">
        <v>33201000</v>
      </c>
      <c r="L83" s="86">
        <v>103.41</v>
      </c>
      <c r="M83" s="84">
        <v>34332.997940000001</v>
      </c>
      <c r="N83" s="74"/>
      <c r="O83" s="85">
        <f t="shared" si="1"/>
        <v>2.1570199419059682E-3</v>
      </c>
      <c r="P83" s="85">
        <f>M83/'סכום נכסי הקרן'!$C$42</f>
        <v>6.5909576744618999E-4</v>
      </c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</row>
    <row r="84" spans="2:31" s="122" customFormat="1">
      <c r="B84" s="77" t="s">
        <v>2022</v>
      </c>
      <c r="C84" s="74" t="s">
        <v>2023</v>
      </c>
      <c r="D84" s="74" t="s">
        <v>275</v>
      </c>
      <c r="E84" s="74"/>
      <c r="F84" s="97">
        <v>42675</v>
      </c>
      <c r="G84" s="84">
        <v>8.8500000000000014</v>
      </c>
      <c r="H84" s="87" t="s">
        <v>165</v>
      </c>
      <c r="I84" s="88">
        <v>4.8000000000000001E-2</v>
      </c>
      <c r="J84" s="88">
        <v>4.8500000000000008E-2</v>
      </c>
      <c r="K84" s="84">
        <v>147742000</v>
      </c>
      <c r="L84" s="86">
        <v>103.10509999999999</v>
      </c>
      <c r="M84" s="84">
        <v>152330.00097999998</v>
      </c>
      <c r="N84" s="74"/>
      <c r="O84" s="85">
        <f t="shared" si="1"/>
        <v>9.5703512532938923E-3</v>
      </c>
      <c r="P84" s="85">
        <f>M84/'סכום נכסי הקרן'!$C$42</f>
        <v>2.9243021269639807E-3</v>
      </c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</row>
    <row r="85" spans="2:31" s="122" customFormat="1">
      <c r="B85" s="77" t="s">
        <v>2024</v>
      </c>
      <c r="C85" s="74" t="s">
        <v>2025</v>
      </c>
      <c r="D85" s="74" t="s">
        <v>275</v>
      </c>
      <c r="E85" s="74"/>
      <c r="F85" s="97">
        <v>42705</v>
      </c>
      <c r="G85" s="84">
        <v>8.93</v>
      </c>
      <c r="H85" s="87" t="s">
        <v>165</v>
      </c>
      <c r="I85" s="88">
        <v>4.8000000000000001E-2</v>
      </c>
      <c r="J85" s="88">
        <v>4.8499999999999995E-2</v>
      </c>
      <c r="K85" s="84">
        <v>47384000</v>
      </c>
      <c r="L85" s="86">
        <v>102.49160000000001</v>
      </c>
      <c r="M85" s="84">
        <v>48564.455529999999</v>
      </c>
      <c r="N85" s="74"/>
      <c r="O85" s="85">
        <f t="shared" si="1"/>
        <v>3.0511317196675767E-3</v>
      </c>
      <c r="P85" s="85">
        <f>M85/'סכום נכסי הקרן'!$C$42</f>
        <v>9.3229921675030156E-4</v>
      </c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</row>
    <row r="86" spans="2:31" s="122" customFormat="1">
      <c r="B86" s="77" t="s">
        <v>2026</v>
      </c>
      <c r="C86" s="74" t="s">
        <v>2027</v>
      </c>
      <c r="D86" s="74" t="s">
        <v>275</v>
      </c>
      <c r="E86" s="74"/>
      <c r="F86" s="97">
        <v>42736</v>
      </c>
      <c r="G86" s="84">
        <v>9.0200000000000014</v>
      </c>
      <c r="H86" s="87" t="s">
        <v>165</v>
      </c>
      <c r="I86" s="88">
        <v>4.8000000000000001E-2</v>
      </c>
      <c r="J86" s="88">
        <v>4.8500000000000008E-2</v>
      </c>
      <c r="K86" s="84">
        <v>273331000</v>
      </c>
      <c r="L86" s="86">
        <v>102.50020000000001</v>
      </c>
      <c r="M86" s="84">
        <v>280164.77265</v>
      </c>
      <c r="N86" s="74"/>
      <c r="O86" s="85">
        <f t="shared" si="1"/>
        <v>1.7601754518545308E-2</v>
      </c>
      <c r="P86" s="85">
        <f>M86/'סכום נכסי הקרן'!$C$42</f>
        <v>5.3783656225955285E-3</v>
      </c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</row>
    <row r="87" spans="2:31" s="122" customFormat="1">
      <c r="B87" s="77" t="s">
        <v>2028</v>
      </c>
      <c r="C87" s="74" t="s">
        <v>2029</v>
      </c>
      <c r="D87" s="74" t="s">
        <v>275</v>
      </c>
      <c r="E87" s="74"/>
      <c r="F87" s="97">
        <v>42767</v>
      </c>
      <c r="G87" s="84">
        <v>9.1</v>
      </c>
      <c r="H87" s="87" t="s">
        <v>165</v>
      </c>
      <c r="I87" s="88">
        <v>4.8000000000000001E-2</v>
      </c>
      <c r="J87" s="88">
        <v>4.8500000000000008E-2</v>
      </c>
      <c r="K87" s="84">
        <v>116623000</v>
      </c>
      <c r="L87" s="86">
        <v>102.09569999999999</v>
      </c>
      <c r="M87" s="84">
        <v>119067.09207</v>
      </c>
      <c r="N87" s="74"/>
      <c r="O87" s="85">
        <f t="shared" si="1"/>
        <v>7.4805611927212887E-3</v>
      </c>
      <c r="P87" s="85">
        <f>M87/'סכום נכסי הקרן'!$C$42</f>
        <v>2.2857490208867794E-3</v>
      </c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</row>
    <row r="88" spans="2:31" s="122" customFormat="1">
      <c r="B88" s="77" t="s">
        <v>2030</v>
      </c>
      <c r="C88" s="74" t="s">
        <v>2031</v>
      </c>
      <c r="D88" s="74" t="s">
        <v>275</v>
      </c>
      <c r="E88" s="74"/>
      <c r="F88" s="97">
        <v>42795</v>
      </c>
      <c r="G88" s="84">
        <v>9.1900000000000013</v>
      </c>
      <c r="H88" s="87" t="s">
        <v>165</v>
      </c>
      <c r="I88" s="88">
        <v>4.8000000000000001E-2</v>
      </c>
      <c r="J88" s="88">
        <v>4.8500000000000008E-2</v>
      </c>
      <c r="K88" s="84">
        <v>163029000</v>
      </c>
      <c r="L88" s="86">
        <v>101.8967</v>
      </c>
      <c r="M88" s="84">
        <v>166121.15766</v>
      </c>
      <c r="N88" s="74"/>
      <c r="O88" s="85">
        <f t="shared" si="1"/>
        <v>1.0436800493546569E-2</v>
      </c>
      <c r="P88" s="85">
        <f>M88/'סכום נכסי הקרן'!$C$42</f>
        <v>3.1890530529349753E-3</v>
      </c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</row>
    <row r="89" spans="2:31" s="122" customFormat="1">
      <c r="B89" s="77" t="s">
        <v>2032</v>
      </c>
      <c r="C89" s="74" t="s">
        <v>2033</v>
      </c>
      <c r="D89" s="74" t="s">
        <v>275</v>
      </c>
      <c r="E89" s="74"/>
      <c r="F89" s="97">
        <v>42826</v>
      </c>
      <c r="G89" s="84">
        <v>9.0500000000000007</v>
      </c>
      <c r="H89" s="87" t="s">
        <v>165</v>
      </c>
      <c r="I89" s="88">
        <v>4.8000000000000001E-2</v>
      </c>
      <c r="J89" s="88">
        <v>4.8499999999999995E-2</v>
      </c>
      <c r="K89" s="84">
        <v>116410000</v>
      </c>
      <c r="L89" s="86">
        <v>103.9308</v>
      </c>
      <c r="M89" s="84">
        <v>120985.79402</v>
      </c>
      <c r="N89" s="74"/>
      <c r="O89" s="85">
        <f t="shared" si="1"/>
        <v>7.6011064004528296E-3</v>
      </c>
      <c r="P89" s="85">
        <f>M89/'סכום נכסי הקרן'!$C$42</f>
        <v>2.3225826331581506E-3</v>
      </c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</row>
    <row r="90" spans="2:31" s="122" customFormat="1">
      <c r="B90" s="77" t="s">
        <v>2034</v>
      </c>
      <c r="C90" s="74" t="s">
        <v>2035</v>
      </c>
      <c r="D90" s="74" t="s">
        <v>275</v>
      </c>
      <c r="E90" s="74"/>
      <c r="F90" s="97">
        <v>42856</v>
      </c>
      <c r="G90" s="84">
        <v>9.1300000000000008</v>
      </c>
      <c r="H90" s="87" t="s">
        <v>165</v>
      </c>
      <c r="I90" s="88">
        <v>4.8000000000000001E-2</v>
      </c>
      <c r="J90" s="88">
        <v>4.8499999999999995E-2</v>
      </c>
      <c r="K90" s="84">
        <v>234187885</v>
      </c>
      <c r="L90" s="86">
        <v>103.210331</v>
      </c>
      <c r="M90" s="84">
        <v>241706.09112</v>
      </c>
      <c r="N90" s="74"/>
      <c r="O90" s="85">
        <f t="shared" si="1"/>
        <v>1.5185532575311744E-2</v>
      </c>
      <c r="P90" s="85">
        <f>M90/'סכום נכסי הקרן'!$C$42</f>
        <v>4.6400684816851482E-3</v>
      </c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</row>
    <row r="91" spans="2:31" s="122" customFormat="1">
      <c r="B91" s="77" t="s">
        <v>2036</v>
      </c>
      <c r="C91" s="74" t="s">
        <v>2037</v>
      </c>
      <c r="D91" s="74" t="s">
        <v>275</v>
      </c>
      <c r="E91" s="74"/>
      <c r="F91" s="97">
        <v>42887</v>
      </c>
      <c r="G91" s="84">
        <v>9.2200000000000006</v>
      </c>
      <c r="H91" s="87" t="s">
        <v>165</v>
      </c>
      <c r="I91" s="88">
        <v>4.8000000000000001E-2</v>
      </c>
      <c r="J91" s="88">
        <v>4.8499999999999995E-2</v>
      </c>
      <c r="K91" s="84">
        <v>172220000</v>
      </c>
      <c r="L91" s="86">
        <v>102.598133</v>
      </c>
      <c r="M91" s="84">
        <v>176694.50430999999</v>
      </c>
      <c r="N91" s="74"/>
      <c r="O91" s="85">
        <f t="shared" si="1"/>
        <v>1.1101086193752295E-2</v>
      </c>
      <c r="P91" s="85">
        <f>M91/'סכום נכסי הקרן'!$C$42</f>
        <v>3.3920311918360711E-3</v>
      </c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</row>
    <row r="92" spans="2:31" s="122" customFormat="1">
      <c r="B92" s="77" t="s">
        <v>2038</v>
      </c>
      <c r="C92" s="74" t="s">
        <v>2039</v>
      </c>
      <c r="D92" s="74" t="s">
        <v>275</v>
      </c>
      <c r="E92" s="74"/>
      <c r="F92" s="97">
        <v>42918</v>
      </c>
      <c r="G92" s="84">
        <v>9.2799999999999994</v>
      </c>
      <c r="H92" s="87" t="s">
        <v>165</v>
      </c>
      <c r="I92" s="88">
        <v>4.8000000000000001E-2</v>
      </c>
      <c r="J92" s="88">
        <v>5.0099999999999999E-2</v>
      </c>
      <c r="K92" s="84">
        <v>17000</v>
      </c>
      <c r="L92" s="86">
        <v>101.7719</v>
      </c>
      <c r="M92" s="84">
        <v>17.067700000000002</v>
      </c>
      <c r="N92" s="74"/>
      <c r="O92" s="85">
        <f t="shared" si="1"/>
        <v>1.0723027836603917E-6</v>
      </c>
      <c r="P92" s="85">
        <f>M92/'סכום נכסי הקרן'!$C$42</f>
        <v>3.2765122491488833E-7</v>
      </c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</row>
    <row r="93" spans="2:31" s="122" customFormat="1">
      <c r="B93" s="77" t="s">
        <v>2040</v>
      </c>
      <c r="C93" s="74" t="s">
        <v>2041</v>
      </c>
      <c r="D93" s="74" t="s">
        <v>275</v>
      </c>
      <c r="E93" s="74"/>
      <c r="F93" s="97">
        <v>42949</v>
      </c>
      <c r="G93" s="84">
        <v>9.39</v>
      </c>
      <c r="H93" s="87" t="s">
        <v>165</v>
      </c>
      <c r="I93" s="88">
        <v>4.8000000000000001E-2</v>
      </c>
      <c r="J93" s="88">
        <v>4.8500000000000015E-2</v>
      </c>
      <c r="K93" s="84">
        <v>189380000</v>
      </c>
      <c r="L93" s="86">
        <v>102.0937</v>
      </c>
      <c r="M93" s="84">
        <v>193344.99354</v>
      </c>
      <c r="N93" s="74"/>
      <c r="O93" s="85">
        <f t="shared" si="1"/>
        <v>1.2147177111136382E-2</v>
      </c>
      <c r="P93" s="85">
        <f>M93/'סכום נכסי הקרן'!$C$42</f>
        <v>3.7116731583366337E-3</v>
      </c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</row>
    <row r="94" spans="2:31" s="122" customFormat="1">
      <c r="B94" s="77" t="s">
        <v>2042</v>
      </c>
      <c r="C94" s="74" t="s">
        <v>2043</v>
      </c>
      <c r="D94" s="74" t="s">
        <v>275</v>
      </c>
      <c r="E94" s="74"/>
      <c r="F94" s="97">
        <v>43009</v>
      </c>
      <c r="G94" s="84">
        <v>9.33</v>
      </c>
      <c r="H94" s="87" t="s">
        <v>165</v>
      </c>
      <c r="I94" s="88">
        <v>4.8000000000000001E-2</v>
      </c>
      <c r="J94" s="88">
        <v>4.8500000000000008E-2</v>
      </c>
      <c r="K94" s="84">
        <v>181064000</v>
      </c>
      <c r="L94" s="86">
        <v>103.5273</v>
      </c>
      <c r="M94" s="84">
        <v>187450.61716999998</v>
      </c>
      <c r="N94" s="74"/>
      <c r="O94" s="85">
        <f t="shared" si="1"/>
        <v>1.1776854443788523E-2</v>
      </c>
      <c r="P94" s="85">
        <f>M94/'סכום נכסי הקרן'!$C$42</f>
        <v>3.5985179213838003E-3</v>
      </c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</row>
    <row r="95" spans="2:31" s="122" customFormat="1">
      <c r="B95" s="77" t="s">
        <v>2044</v>
      </c>
      <c r="C95" s="74" t="s">
        <v>2045</v>
      </c>
      <c r="D95" s="74" t="s">
        <v>275</v>
      </c>
      <c r="E95" s="74"/>
      <c r="F95" s="97">
        <v>43040</v>
      </c>
      <c r="G95" s="84">
        <v>9.41</v>
      </c>
      <c r="H95" s="87" t="s">
        <v>165</v>
      </c>
      <c r="I95" s="88">
        <v>4.8000000000000001E-2</v>
      </c>
      <c r="J95" s="88">
        <v>4.8500000000000008E-2</v>
      </c>
      <c r="K95" s="84">
        <v>200615000</v>
      </c>
      <c r="L95" s="86">
        <v>103.01600000000001</v>
      </c>
      <c r="M95" s="84">
        <v>206665.47325000001</v>
      </c>
      <c r="N95" s="74"/>
      <c r="O95" s="85">
        <f t="shared" si="1"/>
        <v>1.2984055394251551E-2</v>
      </c>
      <c r="P95" s="85">
        <f>M95/'סכום נכסי הקרן'!$C$42</f>
        <v>3.9673884271446995E-3</v>
      </c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</row>
    <row r="96" spans="2:31" s="122" customFormat="1">
      <c r="B96" s="77" t="s">
        <v>2046</v>
      </c>
      <c r="C96" s="74" t="s">
        <v>2047</v>
      </c>
      <c r="D96" s="74" t="s">
        <v>275</v>
      </c>
      <c r="E96" s="74"/>
      <c r="F96" s="97">
        <v>43070</v>
      </c>
      <c r="G96" s="84">
        <v>9.49</v>
      </c>
      <c r="H96" s="87" t="s">
        <v>165</v>
      </c>
      <c r="I96" s="88">
        <v>4.8000000000000001E-2</v>
      </c>
      <c r="J96" s="88">
        <v>4.8499999999999995E-2</v>
      </c>
      <c r="K96" s="84">
        <v>213512000</v>
      </c>
      <c r="L96" s="86">
        <v>102.30370000000001</v>
      </c>
      <c r="M96" s="84">
        <v>218430.62946999999</v>
      </c>
      <c r="N96" s="74"/>
      <c r="O96" s="85">
        <f t="shared" si="1"/>
        <v>1.3723218243663326E-2</v>
      </c>
      <c r="P96" s="85">
        <f>M96/'סכום נכסי הקרן'!$C$42</f>
        <v>4.1932459150779309E-3</v>
      </c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</row>
    <row r="97" spans="2:31" s="122" customFormat="1">
      <c r="B97" s="77" t="s">
        <v>2048</v>
      </c>
      <c r="C97" s="74" t="s">
        <v>2049</v>
      </c>
      <c r="D97" s="74" t="s">
        <v>275</v>
      </c>
      <c r="E97" s="74"/>
      <c r="F97" s="97">
        <v>43101</v>
      </c>
      <c r="G97" s="84">
        <v>9.58</v>
      </c>
      <c r="H97" s="87" t="s">
        <v>165</v>
      </c>
      <c r="I97" s="88">
        <v>4.8000000000000001E-2</v>
      </c>
      <c r="J97" s="88">
        <v>4.8500000000000008E-2</v>
      </c>
      <c r="K97" s="84">
        <v>242178000</v>
      </c>
      <c r="L97" s="86">
        <v>102.20489999999999</v>
      </c>
      <c r="M97" s="84">
        <v>247517.90093999999</v>
      </c>
      <c r="N97" s="74"/>
      <c r="O97" s="85">
        <f t="shared" si="1"/>
        <v>1.5550667880484134E-2</v>
      </c>
      <c r="P97" s="85">
        <f>M97/'סכום נכסי הקרן'!$C$42</f>
        <v>4.7516386760578745E-3</v>
      </c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</row>
    <row r="98" spans="2:31" s="122" customFormat="1">
      <c r="B98" s="77" t="s">
        <v>2050</v>
      </c>
      <c r="C98" s="74" t="s">
        <v>2051</v>
      </c>
      <c r="D98" s="74" t="s">
        <v>275</v>
      </c>
      <c r="E98" s="74"/>
      <c r="F98" s="97">
        <v>43132</v>
      </c>
      <c r="G98" s="84">
        <v>9.67</v>
      </c>
      <c r="H98" s="87" t="s">
        <v>165</v>
      </c>
      <c r="I98" s="88">
        <v>4.8000000000000001E-2</v>
      </c>
      <c r="J98" s="88">
        <v>4.8499999999999995E-2</v>
      </c>
      <c r="K98" s="84">
        <v>154147175</v>
      </c>
      <c r="L98" s="86">
        <v>101.6949</v>
      </c>
      <c r="M98" s="84">
        <v>156762.82734000002</v>
      </c>
      <c r="N98" s="74"/>
      <c r="O98" s="85">
        <f t="shared" si="1"/>
        <v>9.848849940598637E-3</v>
      </c>
      <c r="P98" s="85">
        <f>M98/'סכום נכסי הקרן'!$C$42</f>
        <v>3.0093997667566307E-3</v>
      </c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</row>
    <row r="99" spans="2:31" s="122" customFormat="1">
      <c r="B99" s="77" t="s">
        <v>2052</v>
      </c>
      <c r="C99" s="74" t="s">
        <v>2053</v>
      </c>
      <c r="D99" s="74" t="s">
        <v>275</v>
      </c>
      <c r="E99" s="74"/>
      <c r="F99" s="97">
        <v>43161</v>
      </c>
      <c r="G99" s="84">
        <v>9.75</v>
      </c>
      <c r="H99" s="87" t="s">
        <v>165</v>
      </c>
      <c r="I99" s="88">
        <v>4.8000000000000001E-2</v>
      </c>
      <c r="J99" s="88">
        <v>4.8500000000000008E-2</v>
      </c>
      <c r="K99" s="84">
        <v>14351000</v>
      </c>
      <c r="L99" s="86">
        <v>101.7927</v>
      </c>
      <c r="M99" s="84">
        <v>14608.27556</v>
      </c>
      <c r="N99" s="74"/>
      <c r="O99" s="85">
        <f t="shared" si="1"/>
        <v>9.1778590832192186E-4</v>
      </c>
      <c r="P99" s="85">
        <f>M99/'סכום נכסי הקרן'!$C$42</f>
        <v>2.8043728101198324E-4</v>
      </c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</row>
    <row r="100" spans="2:31" s="122" customFormat="1">
      <c r="B100" s="77" t="s">
        <v>2054</v>
      </c>
      <c r="C100" s="74" t="s">
        <v>2055</v>
      </c>
      <c r="D100" s="74" t="s">
        <v>275</v>
      </c>
      <c r="E100" s="74"/>
      <c r="F100" s="97">
        <v>43221</v>
      </c>
      <c r="G100" s="84">
        <v>9.6800000000000015</v>
      </c>
      <c r="H100" s="87" t="s">
        <v>165</v>
      </c>
      <c r="I100" s="88">
        <v>4.8000000000000001E-2</v>
      </c>
      <c r="J100" s="88">
        <v>4.8499999999999988E-2</v>
      </c>
      <c r="K100" s="84">
        <v>97522000</v>
      </c>
      <c r="L100" s="86">
        <v>103.01613500000001</v>
      </c>
      <c r="M100" s="84">
        <v>100463.39484000001</v>
      </c>
      <c r="N100" s="74"/>
      <c r="O100" s="85">
        <f t="shared" si="1"/>
        <v>6.3117571754193608E-3</v>
      </c>
      <c r="P100" s="85">
        <f>M100/'סכום נכסי הקרן'!$C$42</f>
        <v>1.928611024240763E-3</v>
      </c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</row>
    <row r="101" spans="2:31" s="122" customFormat="1">
      <c r="B101" s="77" t="s">
        <v>2056</v>
      </c>
      <c r="C101" s="74" t="s">
        <v>2057</v>
      </c>
      <c r="D101" s="74" t="s">
        <v>275</v>
      </c>
      <c r="E101" s="74"/>
      <c r="F101" s="97">
        <v>43252</v>
      </c>
      <c r="G101" s="84">
        <v>9.76</v>
      </c>
      <c r="H101" s="87" t="s">
        <v>165</v>
      </c>
      <c r="I101" s="88">
        <v>4.8000000000000001E-2</v>
      </c>
      <c r="J101" s="88">
        <v>4.8500000000000008E-2</v>
      </c>
      <c r="K101" s="84">
        <v>50597000</v>
      </c>
      <c r="L101" s="86">
        <v>102.2011</v>
      </c>
      <c r="M101" s="84">
        <v>51709.240869999994</v>
      </c>
      <c r="N101" s="74"/>
      <c r="O101" s="85">
        <f t="shared" si="1"/>
        <v>3.2487073786079367E-3</v>
      </c>
      <c r="P101" s="85">
        <f>M101/'סכום נכסי הקרן'!$C$42</f>
        <v>9.9267013777336733E-4</v>
      </c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</row>
    <row r="102" spans="2:31" s="122" customFormat="1">
      <c r="B102" s="77" t="s">
        <v>2058</v>
      </c>
      <c r="C102" s="74" t="s">
        <v>2059</v>
      </c>
      <c r="D102" s="74" t="s">
        <v>275</v>
      </c>
      <c r="E102" s="74"/>
      <c r="F102" s="97">
        <v>43282</v>
      </c>
      <c r="G102" s="84">
        <v>9.85</v>
      </c>
      <c r="H102" s="87" t="s">
        <v>165</v>
      </c>
      <c r="I102" s="88">
        <v>4.8000000000000001E-2</v>
      </c>
      <c r="J102" s="88">
        <v>4.8500000000000008E-2</v>
      </c>
      <c r="K102" s="84">
        <v>82742000</v>
      </c>
      <c r="L102" s="86">
        <v>101.2962</v>
      </c>
      <c r="M102" s="84">
        <v>83814.350529999996</v>
      </c>
      <c r="N102" s="74"/>
      <c r="O102" s="85">
        <f t="shared" si="1"/>
        <v>5.2657570372110366E-3</v>
      </c>
      <c r="P102" s="85">
        <f>M102/'סכום נכסי הקרן'!$C$42</f>
        <v>1.6089967960885366E-3</v>
      </c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</row>
    <row r="103" spans="2:31" s="122" customFormat="1">
      <c r="B103" s="77" t="s">
        <v>2060</v>
      </c>
      <c r="C103" s="74" t="s">
        <v>2061</v>
      </c>
      <c r="D103" s="74" t="s">
        <v>275</v>
      </c>
      <c r="E103" s="74"/>
      <c r="F103" s="97">
        <v>43313</v>
      </c>
      <c r="G103" s="84">
        <v>9.93</v>
      </c>
      <c r="H103" s="87" t="s">
        <v>165</v>
      </c>
      <c r="I103" s="88">
        <v>4.8000000000000001E-2</v>
      </c>
      <c r="J103" s="88">
        <v>4.8499999999999995E-2</v>
      </c>
      <c r="K103" s="84">
        <v>71243000</v>
      </c>
      <c r="L103" s="86">
        <v>100.787148</v>
      </c>
      <c r="M103" s="84">
        <v>71803.787970000005</v>
      </c>
      <c r="N103" s="74"/>
      <c r="O103" s="85">
        <f t="shared" si="1"/>
        <v>4.511176181769749E-3</v>
      </c>
      <c r="P103" s="85">
        <f>M103/'סכום נכסי הקרן'!$C$42</f>
        <v>1.3784282054347934E-3</v>
      </c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</row>
    <row r="104" spans="2:31" s="122" customFormat="1">
      <c r="B104" s="77" t="s">
        <v>2062</v>
      </c>
      <c r="C104" s="74" t="s">
        <v>2063</v>
      </c>
      <c r="D104" s="74" t="s">
        <v>275</v>
      </c>
      <c r="E104" s="74"/>
      <c r="F104" s="97">
        <v>43345</v>
      </c>
      <c r="G104" s="84">
        <v>10.02</v>
      </c>
      <c r="H104" s="87" t="s">
        <v>165</v>
      </c>
      <c r="I104" s="88">
        <v>4.8000000000000001E-2</v>
      </c>
      <c r="J104" s="88">
        <v>4.8499999999999995E-2</v>
      </c>
      <c r="K104" s="84">
        <v>22609000</v>
      </c>
      <c r="L104" s="86">
        <v>100.386754</v>
      </c>
      <c r="M104" s="84">
        <v>22696.441139999999</v>
      </c>
      <c r="N104" s="74"/>
      <c r="O104" s="85">
        <f t="shared" si="1"/>
        <v>1.4259365358897935E-3</v>
      </c>
      <c r="P104" s="85">
        <f>M104/'סכום נכסי הקרן'!$C$42</f>
        <v>4.3570702207852631E-4</v>
      </c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</row>
    <row r="105" spans="2:31" s="122" customFormat="1">
      <c r="B105" s="77" t="s">
        <v>2064</v>
      </c>
      <c r="C105" s="74" t="s">
        <v>2065</v>
      </c>
      <c r="D105" s="74" t="s">
        <v>275</v>
      </c>
      <c r="E105" s="74"/>
      <c r="F105" s="97">
        <v>43375</v>
      </c>
      <c r="G105" s="84">
        <v>9.8600000000000012</v>
      </c>
      <c r="H105" s="87" t="s">
        <v>165</v>
      </c>
      <c r="I105" s="88">
        <v>4.8000000000000001E-2</v>
      </c>
      <c r="J105" s="88">
        <v>4.8500000000000008E-2</v>
      </c>
      <c r="K105" s="84">
        <v>89576355</v>
      </c>
      <c r="L105" s="86">
        <v>102.3866</v>
      </c>
      <c r="M105" s="84">
        <v>91714.221569999994</v>
      </c>
      <c r="N105" s="74"/>
      <c r="O105" s="85">
        <f t="shared" si="1"/>
        <v>5.7620777896703673E-3</v>
      </c>
      <c r="P105" s="85">
        <f>M105/'סכום נכסי הקרן'!$C$42</f>
        <v>1.7606518183191624E-3</v>
      </c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</row>
    <row r="106" spans="2:31" s="122" customFormat="1">
      <c r="B106" s="77" t="s">
        <v>2066</v>
      </c>
      <c r="C106" s="74" t="s">
        <v>2067</v>
      </c>
      <c r="D106" s="74" t="s">
        <v>275</v>
      </c>
      <c r="E106" s="74"/>
      <c r="F106" s="97">
        <v>43435</v>
      </c>
      <c r="G106" s="84">
        <v>10.029999999999999</v>
      </c>
      <c r="H106" s="87" t="s">
        <v>165</v>
      </c>
      <c r="I106" s="88">
        <v>4.8000000000000001E-2</v>
      </c>
      <c r="J106" s="88">
        <v>4.8500000000000008E-2</v>
      </c>
      <c r="K106" s="84">
        <v>45901000</v>
      </c>
      <c r="L106" s="86">
        <v>101.5937</v>
      </c>
      <c r="M106" s="84">
        <v>46632.501689999997</v>
      </c>
      <c r="N106" s="74"/>
      <c r="O106" s="85">
        <f t="shared" si="1"/>
        <v>2.9297539429000343E-3</v>
      </c>
      <c r="P106" s="85">
        <f>M106/'סכום נכסי הקרן'!$C$42</f>
        <v>8.9521120593718531E-4</v>
      </c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</row>
    <row r="107" spans="2:31" s="122" customFormat="1">
      <c r="B107" s="77" t="s">
        <v>2068</v>
      </c>
      <c r="C107" s="74" t="s">
        <v>2069</v>
      </c>
      <c r="D107" s="74" t="s">
        <v>275</v>
      </c>
      <c r="E107" s="74"/>
      <c r="F107" s="97">
        <v>43497</v>
      </c>
      <c r="G107" s="84">
        <v>10.200000000000001</v>
      </c>
      <c r="H107" s="87" t="s">
        <v>165</v>
      </c>
      <c r="I107" s="88">
        <v>4.8000000000000001E-2</v>
      </c>
      <c r="J107" s="88">
        <v>4.8500000000000008E-2</v>
      </c>
      <c r="K107" s="84">
        <v>16684000</v>
      </c>
      <c r="L107" s="86">
        <v>100.87909999999999</v>
      </c>
      <c r="M107" s="84">
        <v>16833.55775</v>
      </c>
      <c r="N107" s="74"/>
      <c r="O107" s="85">
        <f t="shared" si="1"/>
        <v>1.0575924602748443E-3</v>
      </c>
      <c r="P107" s="85">
        <f>M107/'סכום נכסי הקרן'!$C$42</f>
        <v>3.2315636063810657E-4</v>
      </c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</row>
    <row r="108" spans="2:31" s="122" customFormat="1">
      <c r="B108" s="77" t="s">
        <v>2070</v>
      </c>
      <c r="C108" s="74" t="s">
        <v>2071</v>
      </c>
      <c r="D108" s="74" t="s">
        <v>275</v>
      </c>
      <c r="E108" s="74"/>
      <c r="F108" s="97">
        <v>43525</v>
      </c>
      <c r="G108" s="84">
        <v>10.280000000000001</v>
      </c>
      <c r="H108" s="87" t="s">
        <v>165</v>
      </c>
      <c r="I108" s="88">
        <v>4.8000000000000001E-2</v>
      </c>
      <c r="J108" s="88">
        <v>4.8500000000000008E-2</v>
      </c>
      <c r="K108" s="84">
        <v>202194000</v>
      </c>
      <c r="L108" s="86">
        <v>100.59672500000001</v>
      </c>
      <c r="M108" s="84">
        <v>203400.54313000001</v>
      </c>
      <c r="N108" s="74"/>
      <c r="O108" s="85">
        <f t="shared" si="1"/>
        <v>1.2778931466825322E-2</v>
      </c>
      <c r="P108" s="85">
        <f>M108/'סכום נכסי הקרן'!$C$42</f>
        <v>3.904711068562142E-3</v>
      </c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</row>
    <row r="109" spans="2:31" s="122" customFormat="1">
      <c r="B109" s="77" t="s">
        <v>2072</v>
      </c>
      <c r="C109" s="74" t="s">
        <v>2073</v>
      </c>
      <c r="D109" s="74" t="s">
        <v>275</v>
      </c>
      <c r="E109" s="74"/>
      <c r="F109" s="97">
        <v>43556</v>
      </c>
      <c r="G109" s="84">
        <v>10.119999999999999</v>
      </c>
      <c r="H109" s="87" t="s">
        <v>165</v>
      </c>
      <c r="I109" s="88">
        <v>4.8000000000000001E-2</v>
      </c>
      <c r="J109" s="88">
        <v>4.8499999999999995E-2</v>
      </c>
      <c r="K109" s="84">
        <v>95625000</v>
      </c>
      <c r="L109" s="86">
        <v>102.50230000000001</v>
      </c>
      <c r="M109" s="84">
        <v>98017.783980000007</v>
      </c>
      <c r="N109" s="74"/>
      <c r="O109" s="85">
        <f t="shared" si="1"/>
        <v>6.1581081580984517E-3</v>
      </c>
      <c r="P109" s="85">
        <f>M109/'סכום נכסי הקרן'!$C$42</f>
        <v>1.8816622617277032E-3</v>
      </c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</row>
    <row r="110" spans="2:31" s="122" customFormat="1">
      <c r="B110" s="77" t="s">
        <v>2074</v>
      </c>
      <c r="C110" s="74" t="s">
        <v>2075</v>
      </c>
      <c r="D110" s="74" t="s">
        <v>275</v>
      </c>
      <c r="E110" s="74"/>
      <c r="F110" s="97">
        <v>43586</v>
      </c>
      <c r="G110" s="84">
        <v>10.199999999999999</v>
      </c>
      <c r="H110" s="87" t="s">
        <v>165</v>
      </c>
      <c r="I110" s="88">
        <v>4.8000000000000001E-2</v>
      </c>
      <c r="J110" s="88">
        <v>4.8500000000000008E-2</v>
      </c>
      <c r="K110" s="84">
        <v>76921000</v>
      </c>
      <c r="L110" s="86">
        <v>101.996014</v>
      </c>
      <c r="M110" s="84">
        <v>78456.353950000004</v>
      </c>
      <c r="N110" s="74"/>
      <c r="O110" s="85">
        <f t="shared" si="1"/>
        <v>4.9291332011009081E-3</v>
      </c>
      <c r="P110" s="85">
        <f>M110/'סכום נכסי הקרן'!$C$42</f>
        <v>1.5061385232968435E-3</v>
      </c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</row>
    <row r="111" spans="2:31" s="122" customFormat="1">
      <c r="B111" s="77" t="s">
        <v>2076</v>
      </c>
      <c r="C111" s="74" t="s">
        <v>2077</v>
      </c>
      <c r="D111" s="74" t="s">
        <v>275</v>
      </c>
      <c r="E111" s="74"/>
      <c r="F111" s="97">
        <v>43647</v>
      </c>
      <c r="G111" s="84">
        <v>10.370000000000001</v>
      </c>
      <c r="H111" s="87" t="s">
        <v>165</v>
      </c>
      <c r="I111" s="88">
        <v>4.8000000000000001E-2</v>
      </c>
      <c r="J111" s="88">
        <v>4.8499999999999995E-2</v>
      </c>
      <c r="K111" s="84">
        <v>3438000</v>
      </c>
      <c r="L111" s="86">
        <v>101.193</v>
      </c>
      <c r="M111" s="84">
        <v>3479.0166099999997</v>
      </c>
      <c r="N111" s="74"/>
      <c r="O111" s="85">
        <f t="shared" si="1"/>
        <v>2.1857421886392066E-4</v>
      </c>
      <c r="P111" s="85">
        <f>M111/'סכום נכסי הקרן'!$C$42</f>
        <v>6.6787209393517712E-5</v>
      </c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</row>
    <row r="112" spans="2:31" s="122" customFormat="1">
      <c r="B112" s="77" t="s">
        <v>2078</v>
      </c>
      <c r="C112" s="74" t="s">
        <v>2079</v>
      </c>
      <c r="D112" s="74" t="s">
        <v>275</v>
      </c>
      <c r="E112" s="74"/>
      <c r="F112" s="97">
        <v>43678</v>
      </c>
      <c r="G112" s="84">
        <v>10.450000000000001</v>
      </c>
      <c r="H112" s="87" t="s">
        <v>165</v>
      </c>
      <c r="I112" s="88">
        <v>4.8000000000000001E-2</v>
      </c>
      <c r="J112" s="88">
        <v>4.8500000000000008E-2</v>
      </c>
      <c r="K112" s="84">
        <v>133249000</v>
      </c>
      <c r="L112" s="86">
        <v>100.79389999999999</v>
      </c>
      <c r="M112" s="84">
        <v>134306.86619999999</v>
      </c>
      <c r="N112" s="74"/>
      <c r="O112" s="85">
        <f t="shared" si="1"/>
        <v>8.4380219063472962E-3</v>
      </c>
      <c r="P112" s="85">
        <f>M112/'סכום נכסי הקרן'!$C$42</f>
        <v>2.5783092757026434E-3</v>
      </c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</row>
    <row r="113" spans="2:31" s="122" customFormat="1">
      <c r="B113" s="77" t="s">
        <v>2080</v>
      </c>
      <c r="C113" s="74" t="s">
        <v>2081</v>
      </c>
      <c r="D113" s="74" t="s">
        <v>275</v>
      </c>
      <c r="E113" s="74"/>
      <c r="F113" s="97">
        <v>43740</v>
      </c>
      <c r="G113" s="84">
        <v>10.37</v>
      </c>
      <c r="H113" s="87" t="s">
        <v>165</v>
      </c>
      <c r="I113" s="88">
        <v>4.8000000000000001E-2</v>
      </c>
      <c r="J113" s="88">
        <v>4.8499999999999995E-2</v>
      </c>
      <c r="K113" s="84">
        <v>202789000</v>
      </c>
      <c r="L113" s="86">
        <v>102.3867</v>
      </c>
      <c r="M113" s="84">
        <v>207628.88724000001</v>
      </c>
      <c r="N113" s="74"/>
      <c r="O113" s="85">
        <f t="shared" si="1"/>
        <v>1.304458326287441E-2</v>
      </c>
      <c r="P113" s="85">
        <f>M113/'סכום נכסי הקרן'!$C$42</f>
        <v>3.9858832315954242E-3</v>
      </c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</row>
    <row r="114" spans="2:31" s="122" customFormat="1">
      <c r="B114" s="77" t="s">
        <v>2082</v>
      </c>
      <c r="C114" s="74" t="s">
        <v>2083</v>
      </c>
      <c r="D114" s="74" t="s">
        <v>275</v>
      </c>
      <c r="E114" s="74"/>
      <c r="F114" s="97">
        <v>43770</v>
      </c>
      <c r="G114" s="84">
        <v>10.45</v>
      </c>
      <c r="H114" s="87" t="s">
        <v>165</v>
      </c>
      <c r="I114" s="88">
        <v>4.8000000000000001E-2</v>
      </c>
      <c r="J114" s="88">
        <v>4.8499999999999995E-2</v>
      </c>
      <c r="K114" s="84">
        <v>326601000</v>
      </c>
      <c r="L114" s="86">
        <v>101.9962</v>
      </c>
      <c r="M114" s="84">
        <v>333120.57733</v>
      </c>
      <c r="N114" s="74"/>
      <c r="O114" s="85">
        <f t="shared" si="1"/>
        <v>2.0928779060184779E-2</v>
      </c>
      <c r="P114" s="85">
        <f>M114/'סכום נכסי הקרן'!$C$42</f>
        <v>6.3949662348488237E-3</v>
      </c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</row>
    <row r="115" spans="2:31" s="122" customFormat="1">
      <c r="B115" s="77" t="s">
        <v>2084</v>
      </c>
      <c r="C115" s="74" t="s">
        <v>2085</v>
      </c>
      <c r="D115" s="74" t="s">
        <v>275</v>
      </c>
      <c r="E115" s="74"/>
      <c r="F115" s="97">
        <v>43800</v>
      </c>
      <c r="G115" s="84">
        <v>10.540000000000001</v>
      </c>
      <c r="H115" s="87" t="s">
        <v>165</v>
      </c>
      <c r="I115" s="88">
        <v>4.8000000000000001E-2</v>
      </c>
      <c r="J115" s="88">
        <v>4.8499999999999995E-2</v>
      </c>
      <c r="K115" s="84">
        <v>116464000</v>
      </c>
      <c r="L115" s="86">
        <v>101.5938</v>
      </c>
      <c r="M115" s="84">
        <v>118320.22808</v>
      </c>
      <c r="N115" s="74"/>
      <c r="O115" s="85">
        <f t="shared" si="1"/>
        <v>7.4336383890926385E-3</v>
      </c>
      <c r="P115" s="85">
        <f>M115/'סכום נכסי הקרן'!$C$42</f>
        <v>2.2714113596220323E-3</v>
      </c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</row>
    <row r="116" spans="2:31" s="122" customFormat="1">
      <c r="B116" s="77" t="s">
        <v>2086</v>
      </c>
      <c r="C116" s="74" t="s">
        <v>2087</v>
      </c>
      <c r="D116" s="74" t="s">
        <v>275</v>
      </c>
      <c r="E116" s="74"/>
      <c r="F116" s="97">
        <v>43831</v>
      </c>
      <c r="G116" s="84">
        <v>10.620000000000001</v>
      </c>
      <c r="H116" s="87" t="s">
        <v>165</v>
      </c>
      <c r="I116" s="88">
        <v>4.8000000000000001E-2</v>
      </c>
      <c r="J116" s="88">
        <v>4.8500000000000015E-2</v>
      </c>
      <c r="K116" s="84">
        <v>169849000</v>
      </c>
      <c r="L116" s="86">
        <v>101.193</v>
      </c>
      <c r="M116" s="84">
        <v>171875.36603999999</v>
      </c>
      <c r="N116" s="74"/>
      <c r="O116" s="85">
        <f t="shared" si="1"/>
        <v>1.0798316905461236E-2</v>
      </c>
      <c r="P116" s="85">
        <f>M116/'סכום נכסי הקרן'!$C$42</f>
        <v>3.2995174637297816E-3</v>
      </c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</row>
    <row r="117" spans="2:31" s="122" customFormat="1">
      <c r="B117" s="77" t="s">
        <v>2088</v>
      </c>
      <c r="C117" s="74" t="s">
        <v>2089</v>
      </c>
      <c r="D117" s="74" t="s">
        <v>275</v>
      </c>
      <c r="E117" s="74"/>
      <c r="F117" s="97">
        <v>43863</v>
      </c>
      <c r="G117" s="84">
        <v>10.71</v>
      </c>
      <c r="H117" s="87" t="s">
        <v>165</v>
      </c>
      <c r="I117" s="88">
        <v>4.8000000000000001E-2</v>
      </c>
      <c r="J117" s="88">
        <v>4.8499999999999995E-2</v>
      </c>
      <c r="K117" s="84">
        <v>103978000</v>
      </c>
      <c r="L117" s="86">
        <v>100.77809999999999</v>
      </c>
      <c r="M117" s="84">
        <v>104789.61033</v>
      </c>
      <c r="N117" s="74"/>
      <c r="O117" s="85">
        <f t="shared" si="1"/>
        <v>6.5835578815860787E-3</v>
      </c>
      <c r="P117" s="85">
        <f>M117/'סכום נכסי הקרן'!$C$42</f>
        <v>2.0116620389963691E-3</v>
      </c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</row>
    <row r="118" spans="2:31" s="122" customFormat="1">
      <c r="B118" s="77" t="s">
        <v>2090</v>
      </c>
      <c r="C118" s="74" t="s">
        <v>2091</v>
      </c>
      <c r="D118" s="74" t="s">
        <v>275</v>
      </c>
      <c r="E118" s="74"/>
      <c r="F118" s="97">
        <v>40057</v>
      </c>
      <c r="G118" s="84">
        <v>4.0299999999999994</v>
      </c>
      <c r="H118" s="87" t="s">
        <v>165</v>
      </c>
      <c r="I118" s="88">
        <v>4.8000000000000001E-2</v>
      </c>
      <c r="J118" s="88">
        <v>4.8499999999999995E-2</v>
      </c>
      <c r="K118" s="84">
        <v>107699160</v>
      </c>
      <c r="L118" s="86">
        <v>109.5801</v>
      </c>
      <c r="M118" s="84">
        <v>118016.79839</v>
      </c>
      <c r="N118" s="74"/>
      <c r="O118" s="85">
        <f t="shared" si="1"/>
        <v>7.4145749827032471E-3</v>
      </c>
      <c r="P118" s="85">
        <f>M118/'סכום נכסי הקרן'!$C$42</f>
        <v>2.2655863738533554E-3</v>
      </c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</row>
    <row r="119" spans="2:31" s="122" customFormat="1">
      <c r="B119" s="77" t="s">
        <v>2092</v>
      </c>
      <c r="C119" s="74" t="s">
        <v>2093</v>
      </c>
      <c r="D119" s="74" t="s">
        <v>275</v>
      </c>
      <c r="E119" s="74"/>
      <c r="F119" s="97">
        <v>40087</v>
      </c>
      <c r="G119" s="84">
        <v>4.01</v>
      </c>
      <c r="H119" s="87" t="s">
        <v>165</v>
      </c>
      <c r="I119" s="88">
        <v>4.8000000000000001E-2</v>
      </c>
      <c r="J119" s="88">
        <v>4.8499999999999995E-2</v>
      </c>
      <c r="K119" s="84">
        <v>100332000</v>
      </c>
      <c r="L119" s="86">
        <v>111.23390000000001</v>
      </c>
      <c r="M119" s="84">
        <v>111603.19637000001</v>
      </c>
      <c r="N119" s="74"/>
      <c r="O119" s="85">
        <f t="shared" si="1"/>
        <v>7.0116312176185611E-3</v>
      </c>
      <c r="P119" s="85">
        <f>M119/'סכום נכסי הקרן'!$C$42</f>
        <v>2.1424634833660844E-3</v>
      </c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</row>
    <row r="120" spans="2:31" s="122" customFormat="1">
      <c r="B120" s="77" t="s">
        <v>2094</v>
      </c>
      <c r="C120" s="74" t="s">
        <v>2095</v>
      </c>
      <c r="D120" s="74" t="s">
        <v>275</v>
      </c>
      <c r="E120" s="74"/>
      <c r="F120" s="97">
        <v>40118</v>
      </c>
      <c r="G120" s="84">
        <v>4.09</v>
      </c>
      <c r="H120" s="87" t="s">
        <v>165</v>
      </c>
      <c r="I120" s="88">
        <v>4.8000000000000001E-2</v>
      </c>
      <c r="J120" s="88">
        <v>4.8500000000000008E-2</v>
      </c>
      <c r="K120" s="84">
        <v>122827000</v>
      </c>
      <c r="L120" s="86">
        <v>111.111</v>
      </c>
      <c r="M120" s="84">
        <v>136474.25269999998</v>
      </c>
      <c r="N120" s="74"/>
      <c r="O120" s="85">
        <f t="shared" si="1"/>
        <v>8.5741910783633229E-3</v>
      </c>
      <c r="P120" s="85">
        <f>M120/'סכום נכסי הקרן'!$C$42</f>
        <v>2.619916922988979E-3</v>
      </c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</row>
    <row r="121" spans="2:31" s="122" customFormat="1">
      <c r="B121" s="77" t="s">
        <v>2096</v>
      </c>
      <c r="C121" s="74" t="s">
        <v>2097</v>
      </c>
      <c r="D121" s="74" t="s">
        <v>275</v>
      </c>
      <c r="E121" s="74"/>
      <c r="F121" s="97">
        <v>39509</v>
      </c>
      <c r="G121" s="84">
        <v>2.75</v>
      </c>
      <c r="H121" s="87" t="s">
        <v>165</v>
      </c>
      <c r="I121" s="88">
        <v>4.8000000000000001E-2</v>
      </c>
      <c r="J121" s="88">
        <v>4.8600000000000004E-2</v>
      </c>
      <c r="K121" s="84">
        <v>14639000</v>
      </c>
      <c r="L121" s="86">
        <v>117.4012</v>
      </c>
      <c r="M121" s="84">
        <v>17186.360410000001</v>
      </c>
      <c r="N121" s="74"/>
      <c r="O121" s="85">
        <f t="shared" si="1"/>
        <v>1.0797577944675469E-3</v>
      </c>
      <c r="P121" s="85">
        <f>M121/'סכום נכסי הקרן'!$C$42</f>
        <v>3.2992916679841115E-4</v>
      </c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</row>
    <row r="122" spans="2:31" s="122" customFormat="1">
      <c r="B122" s="77" t="s">
        <v>2098</v>
      </c>
      <c r="C122" s="74" t="s">
        <v>2099</v>
      </c>
      <c r="D122" s="74" t="s">
        <v>275</v>
      </c>
      <c r="E122" s="74"/>
      <c r="F122" s="97">
        <v>39600</v>
      </c>
      <c r="G122" s="84">
        <v>2.9300000000000006</v>
      </c>
      <c r="H122" s="87" t="s">
        <v>165</v>
      </c>
      <c r="I122" s="88">
        <v>4.8000000000000001E-2</v>
      </c>
      <c r="J122" s="88">
        <v>4.8500000000000008E-2</v>
      </c>
      <c r="K122" s="84">
        <v>38870946</v>
      </c>
      <c r="L122" s="86">
        <v>116.9833</v>
      </c>
      <c r="M122" s="84">
        <v>45475.135219999996</v>
      </c>
      <c r="N122" s="74"/>
      <c r="O122" s="85">
        <f t="shared" si="1"/>
        <v>2.8570407309560578E-3</v>
      </c>
      <c r="P122" s="85">
        <f>M122/'סכום נכסי הקרן'!$C$42</f>
        <v>8.7299306631843639E-4</v>
      </c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</row>
    <row r="123" spans="2:31" s="122" customFormat="1">
      <c r="B123" s="77" t="s">
        <v>2100</v>
      </c>
      <c r="C123" s="74" t="s">
        <v>2101</v>
      </c>
      <c r="D123" s="74" t="s">
        <v>275</v>
      </c>
      <c r="E123" s="74"/>
      <c r="F123" s="97">
        <v>39630</v>
      </c>
      <c r="G123" s="84">
        <v>3.02</v>
      </c>
      <c r="H123" s="87" t="s">
        <v>165</v>
      </c>
      <c r="I123" s="88">
        <v>4.8000000000000001E-2</v>
      </c>
      <c r="J123" s="88">
        <v>4.8499999999999995E-2</v>
      </c>
      <c r="K123" s="84">
        <v>19076000</v>
      </c>
      <c r="L123" s="86">
        <v>115.7513</v>
      </c>
      <c r="M123" s="84">
        <v>22080.66662</v>
      </c>
      <c r="N123" s="74"/>
      <c r="O123" s="85">
        <f t="shared" si="1"/>
        <v>1.3872496166269087E-3</v>
      </c>
      <c r="P123" s="85">
        <f>M123/'סכום נכסי הקרן'!$C$42</f>
        <v>4.238859052467694E-4</v>
      </c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</row>
    <row r="124" spans="2:31" s="122" customFormat="1">
      <c r="B124" s="77" t="s">
        <v>2102</v>
      </c>
      <c r="C124" s="74" t="s">
        <v>2103</v>
      </c>
      <c r="D124" s="74" t="s">
        <v>275</v>
      </c>
      <c r="E124" s="74"/>
      <c r="F124" s="97">
        <v>39904</v>
      </c>
      <c r="G124" s="84">
        <v>3.6100000000000003</v>
      </c>
      <c r="H124" s="87" t="s">
        <v>165</v>
      </c>
      <c r="I124" s="88">
        <v>4.8000000000000001E-2</v>
      </c>
      <c r="J124" s="88">
        <v>4.8500000000000015E-2</v>
      </c>
      <c r="K124" s="84">
        <v>156180000</v>
      </c>
      <c r="L124" s="86">
        <v>116.099</v>
      </c>
      <c r="M124" s="84">
        <v>181323.37872000001</v>
      </c>
      <c r="N124" s="74"/>
      <c r="O124" s="85">
        <f t="shared" si="1"/>
        <v>1.139190188157534E-2</v>
      </c>
      <c r="P124" s="85">
        <f>M124/'סכום נכסי הקרן'!$C$42</f>
        <v>3.480892395771791E-3</v>
      </c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2:31" s="122" customFormat="1">
      <c r="B125" s="77" t="s">
        <v>2104</v>
      </c>
      <c r="C125" s="74" t="s">
        <v>2105</v>
      </c>
      <c r="D125" s="74" t="s">
        <v>275</v>
      </c>
      <c r="E125" s="74"/>
      <c r="F125" s="97">
        <v>39965</v>
      </c>
      <c r="G125" s="84">
        <v>3.7700000000000005</v>
      </c>
      <c r="H125" s="87" t="s">
        <v>165</v>
      </c>
      <c r="I125" s="88">
        <v>4.8000000000000001E-2</v>
      </c>
      <c r="J125" s="88">
        <v>4.8499999999999995E-2</v>
      </c>
      <c r="K125" s="84">
        <v>63165923</v>
      </c>
      <c r="L125" s="86">
        <v>113.492777</v>
      </c>
      <c r="M125" s="84">
        <v>71688.759860000006</v>
      </c>
      <c r="N125" s="74"/>
      <c r="O125" s="85">
        <f t="shared" si="1"/>
        <v>4.5039493754307465E-3</v>
      </c>
      <c r="P125" s="85">
        <f>M125/'סכום נכסי הקרן'!$C$42</f>
        <v>1.3762199933651446E-3</v>
      </c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</row>
    <row r="126" spans="2:31" s="122" customFormat="1">
      <c r="B126" s="77" t="s">
        <v>2106</v>
      </c>
      <c r="C126" s="74" t="s">
        <v>2107</v>
      </c>
      <c r="D126" s="74" t="s">
        <v>275</v>
      </c>
      <c r="E126" s="74"/>
      <c r="F126" s="97">
        <v>39995</v>
      </c>
      <c r="G126" s="84">
        <v>3.85</v>
      </c>
      <c r="H126" s="87" t="s">
        <v>165</v>
      </c>
      <c r="I126" s="88">
        <v>4.8000000000000001E-2</v>
      </c>
      <c r="J126" s="88">
        <v>4.8500000000000008E-2</v>
      </c>
      <c r="K126" s="84">
        <v>108515000</v>
      </c>
      <c r="L126" s="86">
        <v>112.5973</v>
      </c>
      <c r="M126" s="84">
        <v>122184.70673999999</v>
      </c>
      <c r="N126" s="74"/>
      <c r="O126" s="85">
        <f t="shared" si="1"/>
        <v>7.6764298152668846E-3</v>
      </c>
      <c r="P126" s="85">
        <f>M126/'סכום נכסי הקרן'!$C$42</f>
        <v>2.3455983424379035E-3</v>
      </c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27" spans="2:31" s="122" customFormat="1">
      <c r="B127" s="77" t="s">
        <v>2108</v>
      </c>
      <c r="C127" s="74" t="s">
        <v>2109</v>
      </c>
      <c r="D127" s="74" t="s">
        <v>275</v>
      </c>
      <c r="E127" s="74"/>
      <c r="F127" s="97">
        <v>40027</v>
      </c>
      <c r="G127" s="84">
        <v>3.9400000000000004</v>
      </c>
      <c r="H127" s="87" t="s">
        <v>165</v>
      </c>
      <c r="I127" s="88">
        <v>4.8000000000000001E-2</v>
      </c>
      <c r="J127" s="88">
        <v>4.8500000000000008E-2</v>
      </c>
      <c r="K127" s="84">
        <v>135237859</v>
      </c>
      <c r="L127" s="86">
        <v>111.1704</v>
      </c>
      <c r="M127" s="84">
        <v>150344.00203999999</v>
      </c>
      <c r="N127" s="74"/>
      <c r="O127" s="85">
        <f t="shared" si="1"/>
        <v>9.4455780154406033E-3</v>
      </c>
      <c r="P127" s="85">
        <f>M127/'סכום נכסי הקרן'!$C$42</f>
        <v>2.8861766041711808E-3</v>
      </c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</row>
    <row r="128" spans="2:31" s="122" customFormat="1">
      <c r="B128" s="77" t="s">
        <v>2110</v>
      </c>
      <c r="C128" s="74" t="s">
        <v>2111</v>
      </c>
      <c r="D128" s="74" t="s">
        <v>275</v>
      </c>
      <c r="E128" s="74"/>
      <c r="F128" s="97">
        <v>40179</v>
      </c>
      <c r="G128" s="84">
        <v>4.26</v>
      </c>
      <c r="H128" s="87" t="s">
        <v>165</v>
      </c>
      <c r="I128" s="88">
        <v>4.8000000000000001E-2</v>
      </c>
      <c r="J128" s="88">
        <v>4.8499999999999995E-2</v>
      </c>
      <c r="K128" s="84">
        <v>52790000</v>
      </c>
      <c r="L128" s="86">
        <v>109.7146</v>
      </c>
      <c r="M128" s="84">
        <v>57918.329020000005</v>
      </c>
      <c r="N128" s="74"/>
      <c r="O128" s="85">
        <f t="shared" si="1"/>
        <v>3.6388022658650227E-3</v>
      </c>
      <c r="P128" s="85">
        <f>M128/'סכום נכסי הקרן'!$C$42</f>
        <v>1.1118669444873371E-3</v>
      </c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</row>
    <row r="129" spans="2:31" s="122" customFormat="1">
      <c r="B129" s="77" t="s">
        <v>2112</v>
      </c>
      <c r="C129" s="74" t="s">
        <v>2113</v>
      </c>
      <c r="D129" s="74" t="s">
        <v>275</v>
      </c>
      <c r="E129" s="74"/>
      <c r="F129" s="97">
        <v>40210</v>
      </c>
      <c r="G129" s="84">
        <v>4.3500000000000005</v>
      </c>
      <c r="H129" s="87" t="s">
        <v>165</v>
      </c>
      <c r="I129" s="88">
        <v>4.8000000000000001E-2</v>
      </c>
      <c r="J129" s="88">
        <v>4.8499999999999995E-2</v>
      </c>
      <c r="K129" s="84">
        <v>74753000</v>
      </c>
      <c r="L129" s="86">
        <v>109.282</v>
      </c>
      <c r="M129" s="84">
        <v>81691.528219999993</v>
      </c>
      <c r="N129" s="74"/>
      <c r="O129" s="85">
        <f t="shared" si="1"/>
        <v>5.1323876744832301E-3</v>
      </c>
      <c r="P129" s="85">
        <f>M129/'סכום נכסי הקרן'!$C$42</f>
        <v>1.5682446543150022E-3</v>
      </c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</row>
    <row r="130" spans="2:31" s="122" customFormat="1">
      <c r="B130" s="77" t="s">
        <v>2114</v>
      </c>
      <c r="C130" s="74" t="s">
        <v>2115</v>
      </c>
      <c r="D130" s="74" t="s">
        <v>275</v>
      </c>
      <c r="E130" s="74"/>
      <c r="F130" s="97">
        <v>40238</v>
      </c>
      <c r="G130" s="84">
        <v>4.43</v>
      </c>
      <c r="H130" s="87" t="s">
        <v>165</v>
      </c>
      <c r="I130" s="88">
        <v>4.8000000000000001E-2</v>
      </c>
      <c r="J130" s="88">
        <v>4.8499999999999995E-2</v>
      </c>
      <c r="K130" s="84">
        <v>113855000</v>
      </c>
      <c r="L130" s="86">
        <v>109.57980000000001</v>
      </c>
      <c r="M130" s="84">
        <v>124762.0588</v>
      </c>
      <c r="N130" s="74"/>
      <c r="O130" s="85">
        <f t="shared" si="1"/>
        <v>7.8383556628275307E-3</v>
      </c>
      <c r="P130" s="85">
        <f>M130/'סכום נכסי הקרן'!$C$42</f>
        <v>2.3950761607435872E-3</v>
      </c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</row>
    <row r="131" spans="2:31" s="122" customFormat="1">
      <c r="B131" s="77" t="s">
        <v>2116</v>
      </c>
      <c r="C131" s="74" t="s">
        <v>2117</v>
      </c>
      <c r="D131" s="74" t="s">
        <v>275</v>
      </c>
      <c r="E131" s="74"/>
      <c r="F131" s="97">
        <v>40300</v>
      </c>
      <c r="G131" s="84">
        <v>4.49</v>
      </c>
      <c r="H131" s="87" t="s">
        <v>165</v>
      </c>
      <c r="I131" s="88">
        <v>4.8000000000000001E-2</v>
      </c>
      <c r="J131" s="88">
        <v>4.8500000000000008E-2</v>
      </c>
      <c r="K131" s="84">
        <v>18001000</v>
      </c>
      <c r="L131" s="86">
        <v>111.5307</v>
      </c>
      <c r="M131" s="84">
        <v>20076.642309999999</v>
      </c>
      <c r="N131" s="74"/>
      <c r="O131" s="85">
        <f t="shared" si="1"/>
        <v>1.2613439089957635E-3</v>
      </c>
      <c r="P131" s="85">
        <f>M131/'סכום נכסי הקרן'!$C$42</f>
        <v>3.8541434669285096E-4</v>
      </c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</row>
    <row r="132" spans="2:31" s="122" customFormat="1">
      <c r="B132" s="77" t="s">
        <v>2118</v>
      </c>
      <c r="C132" s="74" t="s">
        <v>2119</v>
      </c>
      <c r="D132" s="74" t="s">
        <v>275</v>
      </c>
      <c r="E132" s="74"/>
      <c r="F132" s="97">
        <v>40360</v>
      </c>
      <c r="G132" s="84">
        <v>4.6500000000000004</v>
      </c>
      <c r="H132" s="87" t="s">
        <v>165</v>
      </c>
      <c r="I132" s="88">
        <v>4.8000000000000001E-2</v>
      </c>
      <c r="J132" s="88">
        <v>4.8499999999999995E-2</v>
      </c>
      <c r="K132" s="84">
        <v>45687000</v>
      </c>
      <c r="L132" s="86">
        <v>109.2979</v>
      </c>
      <c r="M132" s="84">
        <v>49934.913140000004</v>
      </c>
      <c r="N132" s="74"/>
      <c r="O132" s="85">
        <f t="shared" si="1"/>
        <v>3.1372326887548919E-3</v>
      </c>
      <c r="P132" s="85">
        <f>M132/'סכום נכסי הקרן'!$C$42</f>
        <v>9.5860809929513365E-4</v>
      </c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</row>
    <row r="133" spans="2:31" s="122" customFormat="1">
      <c r="B133" s="77" t="s">
        <v>2120</v>
      </c>
      <c r="C133" s="74" t="s">
        <v>2121</v>
      </c>
      <c r="D133" s="74" t="s">
        <v>275</v>
      </c>
      <c r="E133" s="74"/>
      <c r="F133" s="97">
        <v>40422</v>
      </c>
      <c r="G133" s="84">
        <v>4.82</v>
      </c>
      <c r="H133" s="87" t="s">
        <v>165</v>
      </c>
      <c r="I133" s="88">
        <v>4.8000000000000001E-2</v>
      </c>
      <c r="J133" s="88">
        <v>4.8499999999999995E-2</v>
      </c>
      <c r="K133" s="84">
        <v>89024000</v>
      </c>
      <c r="L133" s="86">
        <v>107.6183</v>
      </c>
      <c r="M133" s="84">
        <v>95806.372370000012</v>
      </c>
      <c r="N133" s="74"/>
      <c r="O133" s="85">
        <f t="shared" si="1"/>
        <v>6.0191730452700152E-3</v>
      </c>
      <c r="P133" s="85">
        <f>M133/'סכום נכסי הקרן'!$C$42</f>
        <v>1.839209457729068E-3</v>
      </c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</row>
    <row r="134" spans="2:31" s="122" customFormat="1">
      <c r="B134" s="77" t="s">
        <v>2122</v>
      </c>
      <c r="C134" s="74" t="s">
        <v>2123</v>
      </c>
      <c r="D134" s="74" t="s">
        <v>275</v>
      </c>
      <c r="E134" s="74"/>
      <c r="F134" s="97">
        <v>40483</v>
      </c>
      <c r="G134" s="84">
        <v>4.87</v>
      </c>
      <c r="H134" s="87" t="s">
        <v>165</v>
      </c>
      <c r="I134" s="88">
        <v>4.8000000000000001E-2</v>
      </c>
      <c r="J134" s="88">
        <v>4.8499999999999995E-2</v>
      </c>
      <c r="K134" s="84">
        <v>190101000</v>
      </c>
      <c r="L134" s="86">
        <v>108.51779999999999</v>
      </c>
      <c r="M134" s="84">
        <v>206293.57972000001</v>
      </c>
      <c r="N134" s="74"/>
      <c r="O134" s="85">
        <f t="shared" si="1"/>
        <v>1.2960690648712065E-2</v>
      </c>
      <c r="P134" s="85">
        <f>M134/'סכום נכסי הקרן'!$C$42</f>
        <v>3.9602491306582116E-3</v>
      </c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</row>
    <row r="135" spans="2:31" s="122" customFormat="1">
      <c r="B135" s="77" t="s">
        <v>2124</v>
      </c>
      <c r="C135" s="74" t="s">
        <v>2125</v>
      </c>
      <c r="D135" s="74" t="s">
        <v>275</v>
      </c>
      <c r="E135" s="74"/>
      <c r="F135" s="97">
        <v>40513</v>
      </c>
      <c r="G135" s="84">
        <v>4.96</v>
      </c>
      <c r="H135" s="87" t="s">
        <v>165</v>
      </c>
      <c r="I135" s="88">
        <v>4.8000000000000001E-2</v>
      </c>
      <c r="J135" s="88">
        <v>4.8499999999999995E-2</v>
      </c>
      <c r="K135" s="84">
        <v>54968000</v>
      </c>
      <c r="L135" s="86">
        <v>107.7902</v>
      </c>
      <c r="M135" s="84">
        <v>59250.091340000006</v>
      </c>
      <c r="N135" s="74"/>
      <c r="O135" s="85">
        <f t="shared" si="1"/>
        <v>3.7224721477419026E-3</v>
      </c>
      <c r="P135" s="85">
        <f>M135/'סכום נכסי הקרן'!$C$42</f>
        <v>1.1374329876825827E-3</v>
      </c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</row>
    <row r="136" spans="2:31" s="122" customFormat="1">
      <c r="B136" s="77" t="s">
        <v>2126</v>
      </c>
      <c r="C136" s="74" t="s">
        <v>2127</v>
      </c>
      <c r="D136" s="74" t="s">
        <v>275</v>
      </c>
      <c r="E136" s="74"/>
      <c r="F136" s="97">
        <v>40544</v>
      </c>
      <c r="G136" s="84">
        <v>5.04</v>
      </c>
      <c r="H136" s="87" t="s">
        <v>165</v>
      </c>
      <c r="I136" s="88">
        <v>4.8000000000000001E-2</v>
      </c>
      <c r="J136" s="88">
        <v>4.8500000000000008E-2</v>
      </c>
      <c r="K136" s="84">
        <v>162014000</v>
      </c>
      <c r="L136" s="86">
        <v>107.26609999999999</v>
      </c>
      <c r="M136" s="84">
        <v>173786.13909000001</v>
      </c>
      <c r="N136" s="74"/>
      <c r="O136" s="85">
        <f t="shared" si="1"/>
        <v>1.0918363968654183E-2</v>
      </c>
      <c r="P136" s="85">
        <f>M136/'סכום נכסי הקרן'!$C$42</f>
        <v>3.3361988637055757E-3</v>
      </c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</row>
    <row r="137" spans="2:31" s="122" customFormat="1">
      <c r="B137" s="77" t="s">
        <v>2128</v>
      </c>
      <c r="C137" s="74" t="s">
        <v>2129</v>
      </c>
      <c r="D137" s="74" t="s">
        <v>275</v>
      </c>
      <c r="E137" s="74"/>
      <c r="F137" s="97">
        <v>40575</v>
      </c>
      <c r="G137" s="84">
        <v>5.13</v>
      </c>
      <c r="H137" s="87" t="s">
        <v>165</v>
      </c>
      <c r="I137" s="88">
        <v>4.8000000000000001E-2</v>
      </c>
      <c r="J137" s="88">
        <v>4.8499999999999995E-2</v>
      </c>
      <c r="K137" s="84">
        <v>61690000</v>
      </c>
      <c r="L137" s="86">
        <v>106.4485</v>
      </c>
      <c r="M137" s="84">
        <v>65668.096270000009</v>
      </c>
      <c r="N137" s="74"/>
      <c r="O137" s="85">
        <f t="shared" si="1"/>
        <v>4.1256925319755793E-3</v>
      </c>
      <c r="P137" s="85">
        <f>M137/'סכום נכסי הקרן'!$C$42</f>
        <v>1.2606404015007477E-3</v>
      </c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</row>
    <row r="138" spans="2:31" s="122" customFormat="1">
      <c r="B138" s="77" t="s">
        <v>2130</v>
      </c>
      <c r="C138" s="74" t="s">
        <v>2131</v>
      </c>
      <c r="D138" s="74" t="s">
        <v>275</v>
      </c>
      <c r="E138" s="74"/>
      <c r="F138" s="97">
        <v>40634</v>
      </c>
      <c r="G138" s="84">
        <v>5.1700000000000008</v>
      </c>
      <c r="H138" s="87" t="s">
        <v>165</v>
      </c>
      <c r="I138" s="88">
        <v>4.8000000000000001E-2</v>
      </c>
      <c r="J138" s="88">
        <v>4.8500000000000008E-2</v>
      </c>
      <c r="K138" s="84">
        <v>31637000</v>
      </c>
      <c r="L138" s="86">
        <v>107.6048</v>
      </c>
      <c r="M138" s="84">
        <v>34042.922119999996</v>
      </c>
      <c r="N138" s="74"/>
      <c r="O138" s="85">
        <f t="shared" si="1"/>
        <v>2.1387955115926525E-3</v>
      </c>
      <c r="P138" s="85">
        <f>M138/'סכום נכסי הקרן'!$C$42</f>
        <v>6.5352713794478135E-4</v>
      </c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</row>
    <row r="139" spans="2:31" s="122" customFormat="1">
      <c r="B139" s="77" t="s">
        <v>2132</v>
      </c>
      <c r="C139" s="74" t="s">
        <v>2133</v>
      </c>
      <c r="D139" s="74" t="s">
        <v>275</v>
      </c>
      <c r="E139" s="74"/>
      <c r="F139" s="97">
        <v>40664</v>
      </c>
      <c r="G139" s="84">
        <v>5.25</v>
      </c>
      <c r="H139" s="87" t="s">
        <v>165</v>
      </c>
      <c r="I139" s="88">
        <v>4.8000000000000001E-2</v>
      </c>
      <c r="J139" s="88">
        <v>4.8499999999999995E-2</v>
      </c>
      <c r="K139" s="84">
        <v>126116316</v>
      </c>
      <c r="L139" s="86">
        <v>106.97580000000001</v>
      </c>
      <c r="M139" s="84">
        <v>134914.86715999999</v>
      </c>
      <c r="N139" s="74"/>
      <c r="O139" s="85">
        <f t="shared" si="1"/>
        <v>8.4762204405303548E-3</v>
      </c>
      <c r="P139" s="85">
        <f>M139/'סכום נכסי הקרן'!$C$42</f>
        <v>2.5899811623243574E-3</v>
      </c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</row>
    <row r="140" spans="2:31" s="122" customFormat="1">
      <c r="B140" s="77" t="s">
        <v>2134</v>
      </c>
      <c r="C140" s="74" t="s">
        <v>2135</v>
      </c>
      <c r="D140" s="74" t="s">
        <v>275</v>
      </c>
      <c r="E140" s="74"/>
      <c r="F140" s="97">
        <v>40848</v>
      </c>
      <c r="G140" s="84">
        <v>5.62</v>
      </c>
      <c r="H140" s="87" t="s">
        <v>165</v>
      </c>
      <c r="I140" s="88">
        <v>4.8000000000000001E-2</v>
      </c>
      <c r="J140" s="88">
        <v>4.8500000000000008E-2</v>
      </c>
      <c r="K140" s="84">
        <v>62000</v>
      </c>
      <c r="L140" s="86">
        <v>105.4294</v>
      </c>
      <c r="M140" s="84">
        <v>65.364190000000008</v>
      </c>
      <c r="N140" s="74"/>
      <c r="O140" s="85">
        <f t="shared" ref="O140:O142" si="2">M140/$M$11</f>
        <v>4.1065991837627065E-6</v>
      </c>
      <c r="P140" s="85">
        <f>M140/'סכום נכסי הקרן'!$C$42</f>
        <v>1.2548062667535458E-6</v>
      </c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</row>
    <row r="141" spans="2:31" s="122" customFormat="1">
      <c r="B141" s="77" t="s">
        <v>2136</v>
      </c>
      <c r="C141" s="74">
        <v>8789</v>
      </c>
      <c r="D141" s="74" t="s">
        <v>275</v>
      </c>
      <c r="E141" s="74"/>
      <c r="F141" s="97">
        <v>41000</v>
      </c>
      <c r="G141" s="84">
        <v>5.8900000000000006</v>
      </c>
      <c r="H141" s="87" t="s">
        <v>165</v>
      </c>
      <c r="I141" s="88">
        <v>4.8000000000000001E-2</v>
      </c>
      <c r="J141" s="88">
        <v>4.8100000000000004E-2</v>
      </c>
      <c r="K141" s="84">
        <v>65000</v>
      </c>
      <c r="L141" s="86">
        <v>105.8477</v>
      </c>
      <c r="M141" s="84">
        <v>68.956679999999992</v>
      </c>
      <c r="N141" s="74"/>
      <c r="O141" s="85">
        <f t="shared" si="2"/>
        <v>4.3323025314470513E-6</v>
      </c>
      <c r="P141" s="85">
        <f>M141/'סכום נכסי הקרן'!$C$42</f>
        <v>1.3237718420211263E-6</v>
      </c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</row>
    <row r="142" spans="2:31" s="122" customFormat="1">
      <c r="B142" s="77" t="s">
        <v>2137</v>
      </c>
      <c r="C142" s="74" t="s">
        <v>2138</v>
      </c>
      <c r="D142" s="74" t="s">
        <v>275</v>
      </c>
      <c r="E142" s="74"/>
      <c r="F142" s="97">
        <v>41640</v>
      </c>
      <c r="G142" s="84">
        <v>7.17</v>
      </c>
      <c r="H142" s="87" t="s">
        <v>165</v>
      </c>
      <c r="I142" s="88">
        <v>4.8000000000000001E-2</v>
      </c>
      <c r="J142" s="88">
        <v>4.8499999999999995E-2</v>
      </c>
      <c r="K142" s="84">
        <v>158418000</v>
      </c>
      <c r="L142" s="86">
        <v>101.1836</v>
      </c>
      <c r="M142" s="84">
        <v>160293.06333</v>
      </c>
      <c r="N142" s="74"/>
      <c r="O142" s="85">
        <f t="shared" si="2"/>
        <v>1.0070642090627937E-2</v>
      </c>
      <c r="P142" s="85">
        <f>M142/'סכום נכסי הקרן'!$C$42</f>
        <v>3.0771702423545216E-3</v>
      </c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</row>
    <row r="143" spans="2:31" s="122" customFormat="1">
      <c r="B143" s="121"/>
      <c r="C143" s="121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</row>
    <row r="144" spans="2:31" s="122" customFormat="1">
      <c r="B144" s="121"/>
      <c r="C144" s="121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</row>
    <row r="145" spans="2:31" s="122" customFormat="1">
      <c r="B145" s="121"/>
      <c r="C145" s="121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</row>
    <row r="146" spans="2:31" s="122" customFormat="1">
      <c r="B146" s="124" t="s">
        <v>115</v>
      </c>
      <c r="C146" s="121"/>
      <c r="H146" s="7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</row>
    <row r="147" spans="2:31" s="122" customFormat="1">
      <c r="B147" s="124" t="s">
        <v>243</v>
      </c>
      <c r="C147" s="121"/>
      <c r="H147" s="7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</row>
    <row r="148" spans="2:31" s="122" customFormat="1">
      <c r="B148" s="124" t="s">
        <v>251</v>
      </c>
      <c r="C148" s="121"/>
      <c r="H148" s="7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</row>
    <row r="149" spans="2:31" s="122" customFormat="1">
      <c r="B149" s="121"/>
      <c r="C149" s="121"/>
      <c r="H149" s="7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</row>
    <row r="150" spans="2:31" s="122" customFormat="1">
      <c r="B150" s="121"/>
      <c r="C150" s="121"/>
      <c r="H150" s="7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</row>
    <row r="151" spans="2:31" s="122" customFormat="1">
      <c r="B151" s="121"/>
      <c r="C151" s="121"/>
      <c r="H151" s="7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</row>
    <row r="152" spans="2:31" s="122" customFormat="1">
      <c r="B152" s="121"/>
      <c r="C152" s="121"/>
      <c r="H152" s="7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</row>
    <row r="153" spans="2:31" s="122" customFormat="1">
      <c r="B153" s="121"/>
      <c r="C153" s="121"/>
      <c r="H153" s="7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</row>
    <row r="154" spans="2:31">
      <c r="H154" s="77"/>
    </row>
    <row r="155" spans="2:31">
      <c r="H155" s="77"/>
    </row>
    <row r="156" spans="2:31">
      <c r="H156" s="77"/>
    </row>
    <row r="157" spans="2:31">
      <c r="H157" s="77"/>
    </row>
  </sheetData>
  <sheetProtection sheet="1" objects="1" scenarios="1"/>
  <mergeCells count="2">
    <mergeCell ref="B6:P6"/>
    <mergeCell ref="B7:P7"/>
  </mergeCells>
  <phoneticPr fontId="5" type="noConversion"/>
  <dataValidations count="1">
    <dataValidation allowBlank="1" showInputMessage="1" showErrorMessage="1" sqref="C5:C1048576 A1:B1048576 Z25:XFD27 D1:P1048576 Q28:XFD1048576 Q1:XFD24 Q25:X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>
      <selection activeCell="L18" sqref="L1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180</v>
      </c>
      <c r="C1" s="68" t="s" vm="1">
        <v>270</v>
      </c>
    </row>
    <row r="2" spans="2:65">
      <c r="B2" s="47" t="s">
        <v>179</v>
      </c>
      <c r="C2" s="68" t="s">
        <v>271</v>
      </c>
    </row>
    <row r="3" spans="2:65">
      <c r="B3" s="47" t="s">
        <v>181</v>
      </c>
      <c r="C3" s="68" t="s">
        <v>272</v>
      </c>
    </row>
    <row r="4" spans="2:65">
      <c r="B4" s="47" t="s">
        <v>182</v>
      </c>
      <c r="C4" s="68">
        <v>2102</v>
      </c>
    </row>
    <row r="6" spans="2:65" ht="26.25" customHeight="1">
      <c r="B6" s="163" t="s">
        <v>211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5"/>
    </row>
    <row r="7" spans="2:65" ht="26.25" customHeight="1">
      <c r="B7" s="163" t="s">
        <v>93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5"/>
    </row>
    <row r="8" spans="2:65" s="3" customFormat="1" ht="78.75">
      <c r="B8" s="22" t="s">
        <v>119</v>
      </c>
      <c r="C8" s="30" t="s">
        <v>47</v>
      </c>
      <c r="D8" s="30" t="s">
        <v>121</v>
      </c>
      <c r="E8" s="30" t="s">
        <v>120</v>
      </c>
      <c r="F8" s="30" t="s">
        <v>68</v>
      </c>
      <c r="G8" s="30" t="s">
        <v>14</v>
      </c>
      <c r="H8" s="30" t="s">
        <v>69</v>
      </c>
      <c r="I8" s="30" t="s">
        <v>107</v>
      </c>
      <c r="J8" s="30" t="s">
        <v>17</v>
      </c>
      <c r="K8" s="30" t="s">
        <v>106</v>
      </c>
      <c r="L8" s="30" t="s">
        <v>16</v>
      </c>
      <c r="M8" s="59" t="s">
        <v>18</v>
      </c>
      <c r="N8" s="30" t="s">
        <v>245</v>
      </c>
      <c r="O8" s="30" t="s">
        <v>244</v>
      </c>
      <c r="P8" s="30" t="s">
        <v>114</v>
      </c>
      <c r="Q8" s="30" t="s">
        <v>61</v>
      </c>
      <c r="R8" s="30" t="s">
        <v>183</v>
      </c>
      <c r="S8" s="31" t="s">
        <v>185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252</v>
      </c>
      <c r="O9" s="32"/>
      <c r="P9" s="32" t="s">
        <v>248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116</v>
      </c>
      <c r="R10" s="19" t="s">
        <v>117</v>
      </c>
      <c r="S10" s="20" t="s">
        <v>186</v>
      </c>
      <c r="T10" s="5"/>
      <c r="BJ10" s="1"/>
    </row>
    <row r="11" spans="2:65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5"/>
      <c r="BJ11" s="1"/>
      <c r="BM11" s="1"/>
    </row>
    <row r="12" spans="2:65" ht="20.25" customHeight="1">
      <c r="B12" s="89" t="s">
        <v>261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2:65">
      <c r="B13" s="89" t="s">
        <v>115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2:65">
      <c r="B14" s="89" t="s">
        <v>243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2:65">
      <c r="B15" s="89" t="s">
        <v>251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6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5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BX540"/>
  <sheetViews>
    <sheetView rightToLeft="1" zoomScale="80" zoomScaleNormal="80" workbookViewId="0">
      <selection activeCell="A23" sqref="A23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8.42578125" style="2" bestFit="1" customWidth="1"/>
    <col min="4" max="4" width="9.28515625" style="2" bestFit="1" customWidth="1"/>
    <col min="5" max="5" width="11.28515625" style="2" bestFit="1" customWidth="1"/>
    <col min="6" max="6" width="34.7109375" style="1" bestFit="1" customWidth="1"/>
    <col min="7" max="7" width="6" style="1" bestFit="1" customWidth="1"/>
    <col min="8" max="8" width="11.140625" style="1" bestFit="1" customWidth="1"/>
    <col min="9" max="9" width="12.28515625" style="1" bestFit="1" customWidth="1"/>
    <col min="10" max="10" width="6.7109375" style="1" bestFit="1" customWidth="1"/>
    <col min="11" max="11" width="12.7109375" style="1" bestFit="1" customWidth="1"/>
    <col min="12" max="12" width="7.42578125" style="1" bestFit="1" customWidth="1"/>
    <col min="13" max="13" width="10" style="1" bestFit="1" customWidth="1"/>
    <col min="14" max="14" width="16.7109375" style="1" bestFit="1" customWidth="1"/>
    <col min="15" max="15" width="8" style="1" bestFit="1" customWidth="1"/>
    <col min="16" max="16" width="12.28515625" style="1" bestFit="1" customWidth="1"/>
    <col min="17" max="17" width="11.42578125" style="1" bestFit="1" customWidth="1"/>
    <col min="18" max="18" width="12.140625" style="1" bestFit="1" customWidth="1"/>
    <col min="19" max="19" width="10.7109375" style="1" bestFit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76">
      <c r="B1" s="47" t="s">
        <v>180</v>
      </c>
      <c r="C1" s="68" t="s" vm="1">
        <v>270</v>
      </c>
    </row>
    <row r="2" spans="2:76">
      <c r="B2" s="47" t="s">
        <v>179</v>
      </c>
      <c r="C2" s="68" t="s">
        <v>271</v>
      </c>
    </row>
    <row r="3" spans="2:76">
      <c r="B3" s="47" t="s">
        <v>181</v>
      </c>
      <c r="C3" s="68" t="s">
        <v>272</v>
      </c>
    </row>
    <row r="4" spans="2:76">
      <c r="B4" s="47" t="s">
        <v>182</v>
      </c>
      <c r="C4" s="68">
        <v>2102</v>
      </c>
    </row>
    <row r="6" spans="2:76" ht="26.25" customHeight="1">
      <c r="B6" s="163" t="s">
        <v>211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5"/>
    </row>
    <row r="7" spans="2:76" ht="26.25" customHeight="1">
      <c r="B7" s="163" t="s">
        <v>94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5"/>
    </row>
    <row r="8" spans="2:76" s="3" customFormat="1" ht="47.25">
      <c r="B8" s="22" t="s">
        <v>119</v>
      </c>
      <c r="C8" s="30" t="s">
        <v>47</v>
      </c>
      <c r="D8" s="30" t="s">
        <v>121</v>
      </c>
      <c r="E8" s="30" t="s">
        <v>120</v>
      </c>
      <c r="F8" s="30" t="s">
        <v>68</v>
      </c>
      <c r="G8" s="30" t="s">
        <v>14</v>
      </c>
      <c r="H8" s="30" t="s">
        <v>69</v>
      </c>
      <c r="I8" s="30" t="s">
        <v>107</v>
      </c>
      <c r="J8" s="30" t="s">
        <v>17</v>
      </c>
      <c r="K8" s="30" t="s">
        <v>106</v>
      </c>
      <c r="L8" s="30" t="s">
        <v>16</v>
      </c>
      <c r="M8" s="59" t="s">
        <v>18</v>
      </c>
      <c r="N8" s="59" t="s">
        <v>245</v>
      </c>
      <c r="O8" s="30" t="s">
        <v>244</v>
      </c>
      <c r="P8" s="30" t="s">
        <v>114</v>
      </c>
      <c r="Q8" s="30" t="s">
        <v>61</v>
      </c>
      <c r="R8" s="30" t="s">
        <v>183</v>
      </c>
      <c r="S8" s="31" t="s">
        <v>185</v>
      </c>
      <c r="BU8" s="1"/>
    </row>
    <row r="9" spans="2:76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252</v>
      </c>
      <c r="O9" s="32"/>
      <c r="P9" s="32" t="s">
        <v>248</v>
      </c>
      <c r="Q9" s="32" t="s">
        <v>19</v>
      </c>
      <c r="R9" s="32" t="s">
        <v>19</v>
      </c>
      <c r="S9" s="33" t="s">
        <v>19</v>
      </c>
      <c r="BU9" s="1"/>
    </row>
    <row r="10" spans="2:7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116</v>
      </c>
      <c r="R10" s="19" t="s">
        <v>117</v>
      </c>
      <c r="S10" s="20" t="s">
        <v>186</v>
      </c>
      <c r="BU10" s="1"/>
    </row>
    <row r="11" spans="2:76" s="123" customFormat="1" ht="18" customHeight="1">
      <c r="B11" s="98" t="s">
        <v>54</v>
      </c>
      <c r="C11" s="70"/>
      <c r="D11" s="70"/>
      <c r="E11" s="70"/>
      <c r="F11" s="70"/>
      <c r="G11" s="70"/>
      <c r="H11" s="70"/>
      <c r="I11" s="70"/>
      <c r="J11" s="80">
        <v>5.57070029776383</v>
      </c>
      <c r="K11" s="70"/>
      <c r="L11" s="70"/>
      <c r="M11" s="79">
        <v>2.4023551333480594E-2</v>
      </c>
      <c r="N11" s="78"/>
      <c r="O11" s="80"/>
      <c r="P11" s="78">
        <v>902158.98155000014</v>
      </c>
      <c r="Q11" s="70"/>
      <c r="R11" s="79">
        <f>P11/$P$11</f>
        <v>1</v>
      </c>
      <c r="S11" s="79">
        <f>P11/'סכום נכסי הקרן'!$C$42</f>
        <v>1.7318882765271576E-2</v>
      </c>
      <c r="BU11" s="122"/>
      <c r="BX11" s="122"/>
    </row>
    <row r="12" spans="2:76" s="122" customFormat="1" ht="17.25" customHeight="1">
      <c r="B12" s="99" t="s">
        <v>238</v>
      </c>
      <c r="C12" s="72"/>
      <c r="D12" s="72"/>
      <c r="E12" s="72"/>
      <c r="F12" s="72"/>
      <c r="G12" s="72"/>
      <c r="H12" s="72"/>
      <c r="I12" s="72"/>
      <c r="J12" s="83">
        <v>5.3169111515982079</v>
      </c>
      <c r="K12" s="72"/>
      <c r="L12" s="72"/>
      <c r="M12" s="82">
        <v>2.256297460628949E-2</v>
      </c>
      <c r="N12" s="81"/>
      <c r="O12" s="83"/>
      <c r="P12" s="81">
        <v>845760.08317</v>
      </c>
      <c r="Q12" s="72"/>
      <c r="R12" s="82">
        <f t="shared" ref="R12:R25" si="0">P12/$P$11</f>
        <v>0.93748452375533509</v>
      </c>
      <c r="S12" s="82">
        <f>P12/'סכום נכסי הקרן'!$C$42</f>
        <v>1.6236184561175104E-2</v>
      </c>
    </row>
    <row r="13" spans="2:76" s="122" customFormat="1">
      <c r="B13" s="100" t="s">
        <v>62</v>
      </c>
      <c r="C13" s="72"/>
      <c r="D13" s="72"/>
      <c r="E13" s="72"/>
      <c r="F13" s="72"/>
      <c r="G13" s="72"/>
      <c r="H13" s="72"/>
      <c r="I13" s="72"/>
      <c r="J13" s="83">
        <v>6.0767525697274891</v>
      </c>
      <c r="K13" s="72"/>
      <c r="L13" s="72"/>
      <c r="M13" s="82">
        <v>1.9297528827387164E-2</v>
      </c>
      <c r="N13" s="81"/>
      <c r="O13" s="83"/>
      <c r="P13" s="81">
        <v>566782.06845000002</v>
      </c>
      <c r="Q13" s="72"/>
      <c r="R13" s="82">
        <f t="shared" si="0"/>
        <v>0.62825076293782633</v>
      </c>
      <c r="S13" s="82">
        <f>P13/'סכום נכסי הקרן'!$C$42</f>
        <v>1.088060131051264E-2</v>
      </c>
    </row>
    <row r="14" spans="2:76" s="122" customFormat="1">
      <c r="B14" s="101" t="s">
        <v>2139</v>
      </c>
      <c r="C14" s="74" t="s">
        <v>2140</v>
      </c>
      <c r="D14" s="87" t="s">
        <v>2141</v>
      </c>
      <c r="E14" s="74" t="s">
        <v>400</v>
      </c>
      <c r="F14" s="87" t="s">
        <v>159</v>
      </c>
      <c r="G14" s="74" t="s">
        <v>355</v>
      </c>
      <c r="H14" s="74" t="s">
        <v>356</v>
      </c>
      <c r="I14" s="97">
        <v>39076</v>
      </c>
      <c r="J14" s="86">
        <v>7.5700000000000012</v>
      </c>
      <c r="K14" s="87" t="s">
        <v>165</v>
      </c>
      <c r="L14" s="88">
        <v>4.9000000000000002E-2</v>
      </c>
      <c r="M14" s="85">
        <v>1.5499999999999998E-2</v>
      </c>
      <c r="N14" s="84">
        <v>34820965</v>
      </c>
      <c r="O14" s="86">
        <v>154.69999999999999</v>
      </c>
      <c r="P14" s="84">
        <v>53868.030840000007</v>
      </c>
      <c r="Q14" s="85">
        <v>1.773778124571506E-2</v>
      </c>
      <c r="R14" s="85">
        <f t="shared" si="0"/>
        <v>5.9710130854596484E-2</v>
      </c>
      <c r="S14" s="85">
        <f>P14/'סכום נכסי הקרן'!$C$42</f>
        <v>1.0341127561697815E-3</v>
      </c>
    </row>
    <row r="15" spans="2:76" s="122" customFormat="1">
      <c r="B15" s="101" t="s">
        <v>2142</v>
      </c>
      <c r="C15" s="74" t="s">
        <v>2143</v>
      </c>
      <c r="D15" s="87" t="s">
        <v>2141</v>
      </c>
      <c r="E15" s="74" t="s">
        <v>400</v>
      </c>
      <c r="F15" s="87" t="s">
        <v>159</v>
      </c>
      <c r="G15" s="74" t="s">
        <v>355</v>
      </c>
      <c r="H15" s="74" t="s">
        <v>356</v>
      </c>
      <c r="I15" s="97">
        <v>42639</v>
      </c>
      <c r="J15" s="86">
        <v>11.19</v>
      </c>
      <c r="K15" s="87" t="s">
        <v>165</v>
      </c>
      <c r="L15" s="88">
        <v>4.0999999999999995E-2</v>
      </c>
      <c r="M15" s="85">
        <v>2.06E-2</v>
      </c>
      <c r="N15" s="84">
        <v>145647612.88</v>
      </c>
      <c r="O15" s="86">
        <v>131.69</v>
      </c>
      <c r="P15" s="84">
        <v>191803.35562000002</v>
      </c>
      <c r="Q15" s="85">
        <v>3.4576844925663409E-2</v>
      </c>
      <c r="R15" s="85">
        <f t="shared" si="0"/>
        <v>0.21260482857518362</v>
      </c>
      <c r="S15" s="85">
        <f>P15/'סכום נכסי הקרן'!$C$42</f>
        <v>3.6820781014242653E-3</v>
      </c>
    </row>
    <row r="16" spans="2:76" s="122" customFormat="1">
      <c r="B16" s="101" t="s">
        <v>2144</v>
      </c>
      <c r="C16" s="74" t="s">
        <v>2145</v>
      </c>
      <c r="D16" s="87" t="s">
        <v>2141</v>
      </c>
      <c r="E16" s="74" t="s">
        <v>2146</v>
      </c>
      <c r="F16" s="87" t="s">
        <v>1351</v>
      </c>
      <c r="G16" s="74" t="s">
        <v>370</v>
      </c>
      <c r="H16" s="74" t="s">
        <v>163</v>
      </c>
      <c r="I16" s="97">
        <v>42796</v>
      </c>
      <c r="J16" s="86">
        <v>6.91</v>
      </c>
      <c r="K16" s="87" t="s">
        <v>165</v>
      </c>
      <c r="L16" s="88">
        <v>2.1400000000000002E-2</v>
      </c>
      <c r="M16" s="85">
        <v>1.3899999999999999E-2</v>
      </c>
      <c r="N16" s="84">
        <v>45400000</v>
      </c>
      <c r="O16" s="86">
        <v>106.92</v>
      </c>
      <c r="P16" s="84">
        <v>48541.68146</v>
      </c>
      <c r="Q16" s="85">
        <v>0.17485345431857222</v>
      </c>
      <c r="R16" s="85">
        <f t="shared" si="0"/>
        <v>5.3806127803106826E-2</v>
      </c>
      <c r="S16" s="85">
        <f>P16/'סכום נכסי הקרן'!$C$42</f>
        <v>9.3186201947522654E-4</v>
      </c>
    </row>
    <row r="17" spans="2:19" s="122" customFormat="1">
      <c r="B17" s="101" t="s">
        <v>2147</v>
      </c>
      <c r="C17" s="74" t="s">
        <v>2148</v>
      </c>
      <c r="D17" s="87" t="s">
        <v>2141</v>
      </c>
      <c r="E17" s="74" t="s">
        <v>375</v>
      </c>
      <c r="F17" s="87" t="s">
        <v>362</v>
      </c>
      <c r="G17" s="74" t="s">
        <v>427</v>
      </c>
      <c r="H17" s="74" t="s">
        <v>356</v>
      </c>
      <c r="I17" s="97">
        <v>38519</v>
      </c>
      <c r="J17" s="86">
        <v>4.6499999999999995</v>
      </c>
      <c r="K17" s="87" t="s">
        <v>165</v>
      </c>
      <c r="L17" s="88">
        <v>6.0499999999999998E-2</v>
      </c>
      <c r="M17" s="85">
        <v>9.7000000000000003E-3</v>
      </c>
      <c r="N17" s="84">
        <v>99000</v>
      </c>
      <c r="O17" s="86">
        <v>168.11</v>
      </c>
      <c r="P17" s="84">
        <v>166.42891</v>
      </c>
      <c r="Q17" s="74"/>
      <c r="R17" s="85">
        <f t="shared" si="0"/>
        <v>1.8447847153730971E-4</v>
      </c>
      <c r="S17" s="85">
        <f>P17/'סכום נכסי הקרן'!$C$42</f>
        <v>3.1949610212711559E-6</v>
      </c>
    </row>
    <row r="18" spans="2:19" s="122" customFormat="1">
      <c r="B18" s="101" t="s">
        <v>2149</v>
      </c>
      <c r="C18" s="74" t="s">
        <v>2150</v>
      </c>
      <c r="D18" s="87" t="s">
        <v>2141</v>
      </c>
      <c r="E18" s="74" t="s">
        <v>437</v>
      </c>
      <c r="F18" s="87" t="s">
        <v>159</v>
      </c>
      <c r="G18" s="74" t="s">
        <v>416</v>
      </c>
      <c r="H18" s="74" t="s">
        <v>163</v>
      </c>
      <c r="I18" s="97">
        <v>39350</v>
      </c>
      <c r="J18" s="86">
        <v>3.52</v>
      </c>
      <c r="K18" s="87" t="s">
        <v>165</v>
      </c>
      <c r="L18" s="88">
        <v>5.5999999999999994E-2</v>
      </c>
      <c r="M18" s="85">
        <v>0.01</v>
      </c>
      <c r="N18" s="84">
        <v>11327061.85</v>
      </c>
      <c r="O18" s="86">
        <v>143.28</v>
      </c>
      <c r="P18" s="84">
        <v>16229.413550000001</v>
      </c>
      <c r="Q18" s="85">
        <v>1.5164319505580819E-2</v>
      </c>
      <c r="R18" s="85">
        <f t="shared" si="0"/>
        <v>1.798952721405736E-2</v>
      </c>
      <c r="S18" s="85">
        <f>P18/'סכום נכסי הקרן'!$C$42</f>
        <v>3.1155851282292201E-4</v>
      </c>
    </row>
    <row r="19" spans="2:19" s="122" customFormat="1">
      <c r="B19" s="101" t="s">
        <v>2151</v>
      </c>
      <c r="C19" s="74" t="s">
        <v>2152</v>
      </c>
      <c r="D19" s="87" t="s">
        <v>2141</v>
      </c>
      <c r="E19" s="74" t="s">
        <v>491</v>
      </c>
      <c r="F19" s="87" t="s">
        <v>492</v>
      </c>
      <c r="G19" s="74" t="s">
        <v>464</v>
      </c>
      <c r="H19" s="74" t="s">
        <v>163</v>
      </c>
      <c r="I19" s="97">
        <v>42919</v>
      </c>
      <c r="J19" s="86">
        <v>1.5000000000000002</v>
      </c>
      <c r="K19" s="87" t="s">
        <v>165</v>
      </c>
      <c r="L19" s="88">
        <v>0.06</v>
      </c>
      <c r="M19" s="85">
        <v>1.8400000000000003E-2</v>
      </c>
      <c r="N19" s="84">
        <v>112491858</v>
      </c>
      <c r="O19" s="86">
        <v>113.55</v>
      </c>
      <c r="P19" s="84">
        <v>127734.50584999999</v>
      </c>
      <c r="Q19" s="85">
        <v>3.0397053257104248E-2</v>
      </c>
      <c r="R19" s="85">
        <f t="shared" si="0"/>
        <v>0.14158757875528682</v>
      </c>
      <c r="S19" s="85">
        <f>P19/'סכום נכסי הקרן'!$C$42</f>
        <v>2.4521386774814685E-3</v>
      </c>
    </row>
    <row r="20" spans="2:19" s="122" customFormat="1">
      <c r="B20" s="101" t="s">
        <v>2153</v>
      </c>
      <c r="C20" s="74" t="s">
        <v>2154</v>
      </c>
      <c r="D20" s="87" t="s">
        <v>2141</v>
      </c>
      <c r="E20" s="74" t="s">
        <v>2155</v>
      </c>
      <c r="F20" s="87" t="s">
        <v>159</v>
      </c>
      <c r="G20" s="74" t="s">
        <v>464</v>
      </c>
      <c r="H20" s="74" t="s">
        <v>163</v>
      </c>
      <c r="I20" s="97">
        <v>38495</v>
      </c>
      <c r="J20" s="86">
        <v>0.25</v>
      </c>
      <c r="K20" s="87" t="s">
        <v>165</v>
      </c>
      <c r="L20" s="88">
        <v>4.9500000000000002E-2</v>
      </c>
      <c r="M20" s="85">
        <v>1.7299999999999999E-2</v>
      </c>
      <c r="N20" s="84">
        <v>106078.94</v>
      </c>
      <c r="O20" s="86">
        <v>124.57</v>
      </c>
      <c r="P20" s="84">
        <v>132.14252999999999</v>
      </c>
      <c r="Q20" s="85">
        <v>2.7994048566253905E-3</v>
      </c>
      <c r="R20" s="85">
        <f t="shared" si="0"/>
        <v>1.4647366229504893E-4</v>
      </c>
      <c r="S20" s="85">
        <f>P20/'סכום נכסי הקרן'!$C$42</f>
        <v>2.5367601854879319E-6</v>
      </c>
    </row>
    <row r="21" spans="2:19" s="122" customFormat="1">
      <c r="B21" s="101" t="s">
        <v>2156</v>
      </c>
      <c r="C21" s="74" t="s">
        <v>2157</v>
      </c>
      <c r="D21" s="87" t="s">
        <v>2141</v>
      </c>
      <c r="E21" s="74" t="s">
        <v>405</v>
      </c>
      <c r="F21" s="87" t="s">
        <v>362</v>
      </c>
      <c r="G21" s="74" t="s">
        <v>549</v>
      </c>
      <c r="H21" s="74" t="s">
        <v>356</v>
      </c>
      <c r="I21" s="97">
        <v>39656</v>
      </c>
      <c r="J21" s="86">
        <v>2.42</v>
      </c>
      <c r="K21" s="87" t="s">
        <v>165</v>
      </c>
      <c r="L21" s="88">
        <v>5.7500000000000002E-2</v>
      </c>
      <c r="M21" s="85">
        <v>1.0700000000000001E-2</v>
      </c>
      <c r="N21" s="84">
        <v>93899674</v>
      </c>
      <c r="O21" s="86">
        <v>133.43</v>
      </c>
      <c r="P21" s="84">
        <v>125290.33525</v>
      </c>
      <c r="Q21" s="85">
        <v>7.2119565284178191E-2</v>
      </c>
      <c r="R21" s="85">
        <f t="shared" si="0"/>
        <v>0.1388783327687306</v>
      </c>
      <c r="S21" s="85">
        <f>P21/'סכום נכסי הקרן'!$C$42</f>
        <v>2.4052175638580187E-3</v>
      </c>
    </row>
    <row r="22" spans="2:19" s="122" customFormat="1">
      <c r="B22" s="101" t="s">
        <v>2158</v>
      </c>
      <c r="C22" s="74" t="s">
        <v>2159</v>
      </c>
      <c r="D22" s="87" t="s">
        <v>2141</v>
      </c>
      <c r="E22" s="74"/>
      <c r="F22" s="87" t="s">
        <v>682</v>
      </c>
      <c r="G22" s="74" t="s">
        <v>712</v>
      </c>
      <c r="H22" s="74" t="s">
        <v>356</v>
      </c>
      <c r="I22" s="97">
        <v>38445</v>
      </c>
      <c r="J22" s="86">
        <v>0.5</v>
      </c>
      <c r="K22" s="87" t="s">
        <v>165</v>
      </c>
      <c r="L22" s="88">
        <v>6.7000000000000004E-2</v>
      </c>
      <c r="M22" s="85">
        <v>5.8400000000000001E-2</v>
      </c>
      <c r="N22" s="84">
        <v>834801.16</v>
      </c>
      <c r="O22" s="86">
        <v>126.8</v>
      </c>
      <c r="P22" s="84">
        <v>1058.52781</v>
      </c>
      <c r="Q22" s="85">
        <v>2.0757245544197878E-2</v>
      </c>
      <c r="R22" s="85">
        <f t="shared" si="0"/>
        <v>1.173327353213668E-3</v>
      </c>
      <c r="S22" s="85">
        <f>P22/'סכום נכסי הקרן'!$C$42</f>
        <v>2.0320718875593908E-5</v>
      </c>
    </row>
    <row r="23" spans="2:19" s="122" customFormat="1">
      <c r="B23" s="101" t="s">
        <v>2160</v>
      </c>
      <c r="C23" s="74" t="s">
        <v>2161</v>
      </c>
      <c r="D23" s="87" t="s">
        <v>2141</v>
      </c>
      <c r="E23" s="74"/>
      <c r="F23" s="87" t="s">
        <v>682</v>
      </c>
      <c r="G23" s="74" t="s">
        <v>712</v>
      </c>
      <c r="H23" s="74" t="s">
        <v>356</v>
      </c>
      <c r="I23" s="97">
        <v>38890</v>
      </c>
      <c r="J23" s="86">
        <v>0.62</v>
      </c>
      <c r="K23" s="87" t="s">
        <v>165</v>
      </c>
      <c r="L23" s="88">
        <v>6.7000000000000004E-2</v>
      </c>
      <c r="M23" s="85">
        <v>5.8400000000000001E-2</v>
      </c>
      <c r="N23" s="84">
        <v>623186.04</v>
      </c>
      <c r="O23" s="86">
        <v>126.24</v>
      </c>
      <c r="P23" s="84">
        <v>786.71010999999999</v>
      </c>
      <c r="Q23" s="85">
        <v>2.6781409297517184E-2</v>
      </c>
      <c r="R23" s="85">
        <f t="shared" si="0"/>
        <v>8.7203045814425375E-4</v>
      </c>
      <c r="S23" s="85">
        <f>P23/'סכום נכסי הקרן'!$C$42</f>
        <v>1.5102593272346393E-5</v>
      </c>
    </row>
    <row r="24" spans="2:19" s="122" customFormat="1">
      <c r="B24" s="101" t="s">
        <v>2162</v>
      </c>
      <c r="C24" s="74" t="s">
        <v>2163</v>
      </c>
      <c r="D24" s="87" t="s">
        <v>2141</v>
      </c>
      <c r="E24" s="74"/>
      <c r="F24" s="87" t="s">
        <v>682</v>
      </c>
      <c r="G24" s="74" t="s">
        <v>712</v>
      </c>
      <c r="H24" s="74" t="s">
        <v>356</v>
      </c>
      <c r="I24" s="97">
        <v>38376</v>
      </c>
      <c r="J24" s="86">
        <v>0.42999999999999994</v>
      </c>
      <c r="K24" s="87" t="s">
        <v>165</v>
      </c>
      <c r="L24" s="88">
        <v>7.0000000000000007E-2</v>
      </c>
      <c r="M24" s="85">
        <v>5.6799999999999996E-2</v>
      </c>
      <c r="N24" s="84">
        <v>417282.34</v>
      </c>
      <c r="O24" s="86">
        <v>126.05</v>
      </c>
      <c r="P24" s="84">
        <v>525.98441000000003</v>
      </c>
      <c r="Q24" s="85">
        <v>2.2891403752275455E-2</v>
      </c>
      <c r="R24" s="85">
        <f t="shared" si="0"/>
        <v>5.8302851355124317E-4</v>
      </c>
      <c r="S24" s="85">
        <f>P24/'סכום נכסי הקרן'!$C$42</f>
        <v>1.0097402475004531E-5</v>
      </c>
    </row>
    <row r="25" spans="2:19" s="122" customFormat="1">
      <c r="B25" s="101" t="s">
        <v>2164</v>
      </c>
      <c r="C25" s="74" t="s">
        <v>2165</v>
      </c>
      <c r="D25" s="87" t="s">
        <v>2141</v>
      </c>
      <c r="E25" s="74" t="s">
        <v>2166</v>
      </c>
      <c r="F25" s="87" t="s">
        <v>721</v>
      </c>
      <c r="G25" s="74" t="s">
        <v>725</v>
      </c>
      <c r="H25" s="74"/>
      <c r="I25" s="97">
        <v>39104</v>
      </c>
      <c r="J25" s="86">
        <v>1.1300000000000001</v>
      </c>
      <c r="K25" s="87" t="s">
        <v>165</v>
      </c>
      <c r="L25" s="88">
        <v>5.5999999999999994E-2</v>
      </c>
      <c r="M25" s="135">
        <v>2.2977000000000003</v>
      </c>
      <c r="N25" s="84">
        <v>2663730.73</v>
      </c>
      <c r="O25" s="86">
        <v>24.212399999999999</v>
      </c>
      <c r="P25" s="84">
        <v>644.95210999999995</v>
      </c>
      <c r="Q25" s="85">
        <v>4.6341702398269647E-3</v>
      </c>
      <c r="R25" s="85">
        <f t="shared" si="0"/>
        <v>7.1489850812315493E-4</v>
      </c>
      <c r="S25" s="85">
        <f>P25/'סכום נכסי הקרן'!$C$42</f>
        <v>1.238124345125247E-5</v>
      </c>
    </row>
    <row r="26" spans="2:19" s="122" customFormat="1">
      <c r="B26" s="102"/>
      <c r="C26" s="74"/>
      <c r="D26" s="74"/>
      <c r="E26" s="74"/>
      <c r="F26" s="74"/>
      <c r="G26" s="74"/>
      <c r="H26" s="74"/>
      <c r="I26" s="74"/>
      <c r="J26" s="86"/>
      <c r="K26" s="74"/>
      <c r="L26" s="74"/>
      <c r="M26" s="85"/>
      <c r="N26" s="84"/>
      <c r="O26" s="86"/>
      <c r="P26" s="74"/>
      <c r="Q26" s="74"/>
      <c r="R26" s="85"/>
      <c r="S26" s="74"/>
    </row>
    <row r="27" spans="2:19" s="122" customFormat="1">
      <c r="B27" s="100" t="s">
        <v>63</v>
      </c>
      <c r="C27" s="72"/>
      <c r="D27" s="72"/>
      <c r="E27" s="72"/>
      <c r="F27" s="72"/>
      <c r="G27" s="72"/>
      <c r="H27" s="72"/>
      <c r="I27" s="72"/>
      <c r="J27" s="83">
        <v>4.1753310599188529</v>
      </c>
      <c r="K27" s="72"/>
      <c r="L27" s="72"/>
      <c r="M27" s="82">
        <v>2.5554413012712135E-2</v>
      </c>
      <c r="N27" s="81"/>
      <c r="O27" s="83"/>
      <c r="P27" s="81">
        <v>224717.89640999996</v>
      </c>
      <c r="Q27" s="72"/>
      <c r="R27" s="82">
        <f t="shared" ref="R27:R33" si="1">P27/$P$11</f>
        <v>0.24908901979107045</v>
      </c>
      <c r="S27" s="82">
        <f>P27/'סכום נכסי הקרן'!$C$42</f>
        <v>4.3139435318779607E-3</v>
      </c>
    </row>
    <row r="28" spans="2:19" s="122" customFormat="1">
      <c r="B28" s="101" t="s">
        <v>2167</v>
      </c>
      <c r="C28" s="74" t="s">
        <v>2168</v>
      </c>
      <c r="D28" s="87" t="s">
        <v>2141</v>
      </c>
      <c r="E28" s="74" t="s">
        <v>2146</v>
      </c>
      <c r="F28" s="87" t="s">
        <v>1351</v>
      </c>
      <c r="G28" s="74" t="s">
        <v>370</v>
      </c>
      <c r="H28" s="74" t="s">
        <v>163</v>
      </c>
      <c r="I28" s="97">
        <v>42796</v>
      </c>
      <c r="J28" s="86">
        <v>6.5000000000000009</v>
      </c>
      <c r="K28" s="87" t="s">
        <v>165</v>
      </c>
      <c r="L28" s="88">
        <v>3.7400000000000003E-2</v>
      </c>
      <c r="M28" s="85">
        <v>2.6799999999999997E-2</v>
      </c>
      <c r="N28" s="84">
        <v>53916041</v>
      </c>
      <c r="O28" s="86">
        <v>107.2</v>
      </c>
      <c r="P28" s="84">
        <v>57797.997149999996</v>
      </c>
      <c r="Q28" s="85">
        <v>0.10467955259407678</v>
      </c>
      <c r="R28" s="85">
        <f t="shared" si="1"/>
        <v>6.406631018703289E-2</v>
      </c>
      <c r="S28" s="85">
        <f>P28/'סכום נכסי הקרן'!$C$42</f>
        <v>1.1095569153327467E-3</v>
      </c>
    </row>
    <row r="29" spans="2:19" s="122" customFormat="1">
      <c r="B29" s="101" t="s">
        <v>2169</v>
      </c>
      <c r="C29" s="74" t="s">
        <v>2170</v>
      </c>
      <c r="D29" s="87" t="s">
        <v>2141</v>
      </c>
      <c r="E29" s="74" t="s">
        <v>2146</v>
      </c>
      <c r="F29" s="87" t="s">
        <v>1351</v>
      </c>
      <c r="G29" s="74" t="s">
        <v>370</v>
      </c>
      <c r="H29" s="74" t="s">
        <v>163</v>
      </c>
      <c r="I29" s="97">
        <v>42796</v>
      </c>
      <c r="J29" s="86">
        <v>3.3199999999999994</v>
      </c>
      <c r="K29" s="87" t="s">
        <v>165</v>
      </c>
      <c r="L29" s="88">
        <v>2.5000000000000001E-2</v>
      </c>
      <c r="M29" s="85">
        <v>1.7000000000000001E-2</v>
      </c>
      <c r="N29" s="84">
        <v>62095768.770000003</v>
      </c>
      <c r="O29" s="86">
        <v>102.78</v>
      </c>
      <c r="P29" s="84">
        <v>63822.03183</v>
      </c>
      <c r="Q29" s="85">
        <v>9.9888440125445843E-2</v>
      </c>
      <c r="R29" s="85">
        <f t="shared" si="1"/>
        <v>7.0743663960810221E-2</v>
      </c>
      <c r="S29" s="85">
        <f>P29/'סכום נכסי הקרן'!$C$42</f>
        <v>1.2252012225230401E-3</v>
      </c>
    </row>
    <row r="30" spans="2:19" s="122" customFormat="1">
      <c r="B30" s="101" t="s">
        <v>2171</v>
      </c>
      <c r="C30" s="74" t="s">
        <v>2172</v>
      </c>
      <c r="D30" s="87" t="s">
        <v>2141</v>
      </c>
      <c r="E30" s="74" t="s">
        <v>2173</v>
      </c>
      <c r="F30" s="87" t="s">
        <v>3376</v>
      </c>
      <c r="G30" s="74" t="s">
        <v>464</v>
      </c>
      <c r="H30" s="74" t="s">
        <v>163</v>
      </c>
      <c r="I30" s="97">
        <v>42598</v>
      </c>
      <c r="J30" s="86">
        <v>4.67</v>
      </c>
      <c r="K30" s="87" t="s">
        <v>165</v>
      </c>
      <c r="L30" s="88">
        <v>3.1E-2</v>
      </c>
      <c r="M30" s="85">
        <v>2.8499999999999998E-2</v>
      </c>
      <c r="N30" s="84">
        <v>39651929.140000001</v>
      </c>
      <c r="O30" s="86">
        <v>101.29</v>
      </c>
      <c r="P30" s="84">
        <v>40163.439030000001</v>
      </c>
      <c r="Q30" s="85">
        <v>5.9132951541949419E-2</v>
      </c>
      <c r="R30" s="85">
        <f t="shared" si="1"/>
        <v>4.4519247551019402E-2</v>
      </c>
      <c r="S30" s="85">
        <f>P30/'סכום נכסי הקרן'!$C$42</f>
        <v>7.7102362913420873E-4</v>
      </c>
    </row>
    <row r="31" spans="2:19" s="122" customFormat="1">
      <c r="B31" s="101" t="s">
        <v>2174</v>
      </c>
      <c r="C31" s="74" t="s">
        <v>2175</v>
      </c>
      <c r="D31" s="87" t="s">
        <v>2141</v>
      </c>
      <c r="E31" s="74" t="s">
        <v>2176</v>
      </c>
      <c r="F31" s="87" t="s">
        <v>160</v>
      </c>
      <c r="G31" s="74" t="s">
        <v>557</v>
      </c>
      <c r="H31" s="74" t="s">
        <v>163</v>
      </c>
      <c r="I31" s="97">
        <v>43741</v>
      </c>
      <c r="J31" s="86">
        <v>1.4800000000000002</v>
      </c>
      <c r="K31" s="87" t="s">
        <v>165</v>
      </c>
      <c r="L31" s="88">
        <v>1.34E-2</v>
      </c>
      <c r="M31" s="85">
        <v>2.5300000000000003E-2</v>
      </c>
      <c r="N31" s="84">
        <v>34477000</v>
      </c>
      <c r="O31" s="86">
        <v>98.29</v>
      </c>
      <c r="P31" s="84">
        <v>33887.443299999999</v>
      </c>
      <c r="Q31" s="85">
        <v>6.8954000000000001E-2</v>
      </c>
      <c r="R31" s="85">
        <f t="shared" si="1"/>
        <v>3.7562607027176023E-2</v>
      </c>
      <c r="S31" s="85">
        <f>P31/'סכום נכסי הקרן'!$C$42</f>
        <v>6.5054238746162783E-4</v>
      </c>
    </row>
    <row r="32" spans="2:19" s="122" customFormat="1">
      <c r="B32" s="101" t="s">
        <v>2177</v>
      </c>
      <c r="C32" s="74" t="s">
        <v>2178</v>
      </c>
      <c r="D32" s="87" t="s">
        <v>2141</v>
      </c>
      <c r="E32" s="74" t="s">
        <v>2179</v>
      </c>
      <c r="F32" s="87" t="s">
        <v>3376</v>
      </c>
      <c r="G32" s="74" t="s">
        <v>660</v>
      </c>
      <c r="H32" s="74" t="s">
        <v>356</v>
      </c>
      <c r="I32" s="97">
        <v>43312</v>
      </c>
      <c r="J32" s="86">
        <v>4</v>
      </c>
      <c r="K32" s="87" t="s">
        <v>165</v>
      </c>
      <c r="L32" s="88">
        <v>3.5499999999999997E-2</v>
      </c>
      <c r="M32" s="85">
        <v>3.8399999999999997E-2</v>
      </c>
      <c r="N32" s="84">
        <v>27997440</v>
      </c>
      <c r="O32" s="86">
        <v>99.85</v>
      </c>
      <c r="P32" s="84">
        <v>27955.44384</v>
      </c>
      <c r="Q32" s="85">
        <v>9.1137499999999996E-2</v>
      </c>
      <c r="R32" s="85">
        <f t="shared" si="1"/>
        <v>3.0987269884482808E-2</v>
      </c>
      <c r="S32" s="85">
        <f>P32/'סכום נכסי הקרן'!$C$42</f>
        <v>5.3666489434518825E-4</v>
      </c>
    </row>
    <row r="33" spans="2:19" s="122" customFormat="1">
      <c r="B33" s="101" t="s">
        <v>2180</v>
      </c>
      <c r="C33" s="74" t="s">
        <v>2181</v>
      </c>
      <c r="D33" s="87" t="s">
        <v>2141</v>
      </c>
      <c r="E33" s="74" t="s">
        <v>2182</v>
      </c>
      <c r="F33" s="87" t="s">
        <v>3376</v>
      </c>
      <c r="G33" s="74" t="s">
        <v>705</v>
      </c>
      <c r="H33" s="74" t="s">
        <v>163</v>
      </c>
      <c r="I33" s="97">
        <v>41903</v>
      </c>
      <c r="J33" s="86">
        <v>1.06</v>
      </c>
      <c r="K33" s="87" t="s">
        <v>165</v>
      </c>
      <c r="L33" s="88">
        <v>5.1500000000000004E-2</v>
      </c>
      <c r="M33" s="85">
        <v>3.0300000000000004E-2</v>
      </c>
      <c r="N33" s="84">
        <v>1058823.57</v>
      </c>
      <c r="O33" s="86">
        <v>103.09</v>
      </c>
      <c r="P33" s="84">
        <v>1091.54126</v>
      </c>
      <c r="Q33" s="85">
        <v>5.294106997080656E-2</v>
      </c>
      <c r="R33" s="85">
        <f t="shared" si="1"/>
        <v>1.2099211805491556E-3</v>
      </c>
      <c r="S33" s="85">
        <f>P33/'סכום נכסי הקרן'!$C$42</f>
        <v>2.0954483081149806E-5</v>
      </c>
    </row>
    <row r="34" spans="2:19" s="122" customFormat="1">
      <c r="B34" s="102"/>
      <c r="C34" s="74"/>
      <c r="D34" s="74"/>
      <c r="E34" s="74"/>
      <c r="F34" s="74"/>
      <c r="G34" s="74"/>
      <c r="H34" s="74"/>
      <c r="I34" s="74"/>
      <c r="J34" s="86"/>
      <c r="K34" s="74"/>
      <c r="L34" s="74"/>
      <c r="M34" s="85"/>
      <c r="N34" s="84"/>
      <c r="O34" s="86"/>
      <c r="P34" s="74"/>
      <c r="Q34" s="74"/>
      <c r="R34" s="85"/>
      <c r="S34" s="74"/>
    </row>
    <row r="35" spans="2:19" s="122" customFormat="1">
      <c r="B35" s="100" t="s">
        <v>49</v>
      </c>
      <c r="C35" s="72"/>
      <c r="D35" s="72"/>
      <c r="E35" s="72"/>
      <c r="F35" s="72"/>
      <c r="G35" s="72"/>
      <c r="H35" s="72"/>
      <c r="I35" s="72"/>
      <c r="J35" s="83">
        <v>2.1077214317983302</v>
      </c>
      <c r="K35" s="72"/>
      <c r="L35" s="72"/>
      <c r="M35" s="82">
        <v>4.428364908607587E-2</v>
      </c>
      <c r="N35" s="81"/>
      <c r="O35" s="83"/>
      <c r="P35" s="81">
        <v>54260.118310000005</v>
      </c>
      <c r="Q35" s="72"/>
      <c r="R35" s="82">
        <f t="shared" ref="R35:R39" si="2">P35/$P$11</f>
        <v>6.0144741026438207E-2</v>
      </c>
      <c r="S35" s="82">
        <f>P35/'סכום נכסי הקרן'!$C$42</f>
        <v>1.0416397187845029E-3</v>
      </c>
    </row>
    <row r="36" spans="2:19" s="122" customFormat="1">
      <c r="B36" s="101" t="s">
        <v>2183</v>
      </c>
      <c r="C36" s="74" t="s">
        <v>2184</v>
      </c>
      <c r="D36" s="87" t="s">
        <v>2141</v>
      </c>
      <c r="E36" s="74" t="s">
        <v>2185</v>
      </c>
      <c r="F36" s="87" t="s">
        <v>721</v>
      </c>
      <c r="G36" s="74" t="s">
        <v>464</v>
      </c>
      <c r="H36" s="74" t="s">
        <v>163</v>
      </c>
      <c r="I36" s="97">
        <v>38421</v>
      </c>
      <c r="J36" s="86">
        <v>3.65</v>
      </c>
      <c r="K36" s="87" t="s">
        <v>164</v>
      </c>
      <c r="L36" s="88">
        <v>7.9699999999999993E-2</v>
      </c>
      <c r="M36" s="85">
        <v>2.2300000000000004E-2</v>
      </c>
      <c r="N36" s="84">
        <v>518442.31</v>
      </c>
      <c r="O36" s="86">
        <v>124.2</v>
      </c>
      <c r="P36" s="84">
        <v>2295.52261</v>
      </c>
      <c r="Q36" s="85">
        <v>6.9174539431766857E-3</v>
      </c>
      <c r="R36" s="85">
        <f t="shared" si="2"/>
        <v>2.544476812785326E-3</v>
      </c>
      <c r="S36" s="85">
        <f>P36/'סכום נכסי הקרן'!$C$42</f>
        <v>4.4067495619580929E-5</v>
      </c>
    </row>
    <row r="37" spans="2:19" s="122" customFormat="1">
      <c r="B37" s="101" t="s">
        <v>2186</v>
      </c>
      <c r="C37" s="74" t="s">
        <v>2187</v>
      </c>
      <c r="D37" s="87" t="s">
        <v>2141</v>
      </c>
      <c r="E37" s="74" t="s">
        <v>1159</v>
      </c>
      <c r="F37" s="87" t="s">
        <v>191</v>
      </c>
      <c r="G37" s="74" t="s">
        <v>549</v>
      </c>
      <c r="H37" s="74" t="s">
        <v>356</v>
      </c>
      <c r="I37" s="97">
        <v>42954</v>
      </c>
      <c r="J37" s="86">
        <v>0.46</v>
      </c>
      <c r="K37" s="87" t="s">
        <v>164</v>
      </c>
      <c r="L37" s="88">
        <v>3.7000000000000005E-2</v>
      </c>
      <c r="M37" s="85">
        <v>3.1599999999999996E-2</v>
      </c>
      <c r="N37" s="84">
        <v>2222278</v>
      </c>
      <c r="O37" s="86">
        <v>100.4</v>
      </c>
      <c r="P37" s="84">
        <v>7954.1111000000001</v>
      </c>
      <c r="Q37" s="85">
        <v>3.3067644783048626E-2</v>
      </c>
      <c r="R37" s="85">
        <f t="shared" si="2"/>
        <v>8.8167509969629028E-3</v>
      </c>
      <c r="S37" s="85">
        <f>P37/'סכום נכסי הקרן'!$C$42</f>
        <v>1.5269627688699179E-4</v>
      </c>
    </row>
    <row r="38" spans="2:19" s="122" customFormat="1">
      <c r="B38" s="101" t="s">
        <v>2188</v>
      </c>
      <c r="C38" s="74" t="s">
        <v>2189</v>
      </c>
      <c r="D38" s="87" t="s">
        <v>2141</v>
      </c>
      <c r="E38" s="74" t="s">
        <v>1159</v>
      </c>
      <c r="F38" s="87" t="s">
        <v>191</v>
      </c>
      <c r="G38" s="74" t="s">
        <v>549</v>
      </c>
      <c r="H38" s="74" t="s">
        <v>356</v>
      </c>
      <c r="I38" s="97">
        <v>42625</v>
      </c>
      <c r="J38" s="86">
        <v>2.3499999999999996</v>
      </c>
      <c r="K38" s="87" t="s">
        <v>164</v>
      </c>
      <c r="L38" s="88">
        <v>4.4500000000000005E-2</v>
      </c>
      <c r="M38" s="85">
        <v>4.4700000000000004E-2</v>
      </c>
      <c r="N38" s="84">
        <v>12099424</v>
      </c>
      <c r="O38" s="86">
        <v>100.24</v>
      </c>
      <c r="P38" s="84">
        <v>43237.968270000005</v>
      </c>
      <c r="Q38" s="85">
        <v>8.8234402508817464E-2</v>
      </c>
      <c r="R38" s="85">
        <f t="shared" si="2"/>
        <v>4.7927215883516242E-2</v>
      </c>
      <c r="S38" s="85">
        <f>P38/'סכום נכסי הקרן'!$C$42</f>
        <v>8.3004583315247958E-4</v>
      </c>
    </row>
    <row r="39" spans="2:19" s="122" customFormat="1">
      <c r="B39" s="101" t="s">
        <v>2190</v>
      </c>
      <c r="C39" s="74" t="s">
        <v>2191</v>
      </c>
      <c r="D39" s="87" t="s">
        <v>2141</v>
      </c>
      <c r="E39" s="74" t="s">
        <v>2192</v>
      </c>
      <c r="F39" s="87" t="s">
        <v>159</v>
      </c>
      <c r="G39" s="74" t="s">
        <v>725</v>
      </c>
      <c r="H39" s="74"/>
      <c r="I39" s="97">
        <v>41840</v>
      </c>
      <c r="J39" s="86">
        <v>0.93</v>
      </c>
      <c r="K39" s="87" t="s">
        <v>164</v>
      </c>
      <c r="L39" s="88">
        <v>4.2300000000000004E-2</v>
      </c>
      <c r="M39" s="85">
        <v>0.21690000000000001</v>
      </c>
      <c r="N39" s="84">
        <v>250282.54</v>
      </c>
      <c r="O39" s="86">
        <v>86.58</v>
      </c>
      <c r="P39" s="84">
        <v>772.51632999999993</v>
      </c>
      <c r="Q39" s="85">
        <v>1.8162858695220701E-2</v>
      </c>
      <c r="R39" s="85">
        <f t="shared" si="2"/>
        <v>8.5629733317373719E-4</v>
      </c>
      <c r="S39" s="85">
        <f>P39/'סכום נכסי הקרן'!$C$42</f>
        <v>1.4830113125450649E-5</v>
      </c>
    </row>
    <row r="40" spans="2:19" s="122" customFormat="1">
      <c r="B40" s="102"/>
      <c r="C40" s="74"/>
      <c r="D40" s="74"/>
      <c r="E40" s="74"/>
      <c r="F40" s="74"/>
      <c r="G40" s="74"/>
      <c r="H40" s="74"/>
      <c r="I40" s="74"/>
      <c r="J40" s="86"/>
      <c r="K40" s="74"/>
      <c r="L40" s="74"/>
      <c r="M40" s="85"/>
      <c r="N40" s="84"/>
      <c r="O40" s="86"/>
      <c r="P40" s="74"/>
      <c r="Q40" s="74"/>
      <c r="R40" s="85"/>
      <c r="S40" s="74"/>
    </row>
    <row r="41" spans="2:19" s="122" customFormat="1">
      <c r="B41" s="99" t="s">
        <v>237</v>
      </c>
      <c r="C41" s="72"/>
      <c r="D41" s="72"/>
      <c r="E41" s="72"/>
      <c r="F41" s="72"/>
      <c r="G41" s="72"/>
      <c r="H41" s="72"/>
      <c r="I41" s="72"/>
      <c r="J41" s="83">
        <v>9.3765322472190444</v>
      </c>
      <c r="K41" s="72"/>
      <c r="L41" s="72"/>
      <c r="M41" s="82">
        <v>4.5926416987739041E-2</v>
      </c>
      <c r="N41" s="81"/>
      <c r="O41" s="83"/>
      <c r="P41" s="81">
        <v>56398.898380000006</v>
      </c>
      <c r="Q41" s="72"/>
      <c r="R41" s="82">
        <f t="shared" ref="R41:R45" si="3">P41/$P$11</f>
        <v>6.2515476244664775E-2</v>
      </c>
      <c r="S41" s="82">
        <f>P41/'סכום נכסי הקרן'!$C$42</f>
        <v>1.0826982040964695E-3</v>
      </c>
    </row>
    <row r="42" spans="2:19" s="122" customFormat="1">
      <c r="B42" s="100" t="s">
        <v>71</v>
      </c>
      <c r="C42" s="72"/>
      <c r="D42" s="72"/>
      <c r="E42" s="72"/>
      <c r="F42" s="72"/>
      <c r="G42" s="72"/>
      <c r="H42" s="72"/>
      <c r="I42" s="72"/>
      <c r="J42" s="83">
        <v>9.3765322472190444</v>
      </c>
      <c r="K42" s="72"/>
      <c r="L42" s="72"/>
      <c r="M42" s="82">
        <v>4.5926416987739041E-2</v>
      </c>
      <c r="N42" s="81"/>
      <c r="O42" s="83"/>
      <c r="P42" s="81">
        <v>56398.898380000006</v>
      </c>
      <c r="Q42" s="72"/>
      <c r="R42" s="82">
        <f t="shared" si="3"/>
        <v>6.2515476244664775E-2</v>
      </c>
      <c r="S42" s="82">
        <f>P42/'סכום נכסי הקרן'!$C$42</f>
        <v>1.0826982040964695E-3</v>
      </c>
    </row>
    <row r="43" spans="2:19" s="122" customFormat="1">
      <c r="B43" s="101" t="s">
        <v>2193</v>
      </c>
      <c r="C43" s="74">
        <v>4824</v>
      </c>
      <c r="D43" s="87" t="s">
        <v>2141</v>
      </c>
      <c r="E43" s="74"/>
      <c r="F43" s="87" t="s">
        <v>1016</v>
      </c>
      <c r="G43" s="74" t="s">
        <v>930</v>
      </c>
      <c r="H43" s="74" t="s">
        <v>931</v>
      </c>
      <c r="I43" s="97">
        <v>42825</v>
      </c>
      <c r="J43" s="86">
        <v>15.98</v>
      </c>
      <c r="K43" s="87" t="s">
        <v>173</v>
      </c>
      <c r="L43" s="88">
        <v>4.555E-2</v>
      </c>
      <c r="M43" s="85">
        <v>5.4600000000000003E-2</v>
      </c>
      <c r="N43" s="84">
        <v>8688000</v>
      </c>
      <c r="O43" s="86">
        <v>87.43</v>
      </c>
      <c r="P43" s="84">
        <v>18991.314190000001</v>
      </c>
      <c r="Q43" s="85">
        <v>5.2155433758156788E-2</v>
      </c>
      <c r="R43" s="85">
        <f t="shared" si="3"/>
        <v>2.1050961724474557E-2</v>
      </c>
      <c r="S43" s="85">
        <f>P43/'סכום נכסי הקרן'!$C$42</f>
        <v>3.6457913820239399E-4</v>
      </c>
    </row>
    <row r="44" spans="2:19" s="122" customFormat="1">
      <c r="B44" s="101" t="s">
        <v>2194</v>
      </c>
      <c r="C44" s="74">
        <v>4279</v>
      </c>
      <c r="D44" s="87" t="s">
        <v>2141</v>
      </c>
      <c r="E44" s="74"/>
      <c r="F44" s="87" t="s">
        <v>957</v>
      </c>
      <c r="G44" s="74" t="s">
        <v>1103</v>
      </c>
      <c r="H44" s="74" t="s">
        <v>959</v>
      </c>
      <c r="I44" s="97">
        <v>43465</v>
      </c>
      <c r="J44" s="86">
        <v>1.57</v>
      </c>
      <c r="K44" s="87" t="s">
        <v>164</v>
      </c>
      <c r="L44" s="88">
        <v>0.06</v>
      </c>
      <c r="M44" s="85">
        <v>3.6900000000000002E-2</v>
      </c>
      <c r="N44" s="84">
        <v>5460659.1600000001</v>
      </c>
      <c r="O44" s="86">
        <v>106.74</v>
      </c>
      <c r="P44" s="84">
        <v>20779.342530000002</v>
      </c>
      <c r="Q44" s="85">
        <v>6.6189808000000003E-3</v>
      </c>
      <c r="R44" s="85">
        <f t="shared" si="3"/>
        <v>2.3032905457859538E-2</v>
      </c>
      <c r="S44" s="85">
        <f>P44/'סכום נכסי הקרן'!$C$42</f>
        <v>3.9890418936825318E-4</v>
      </c>
    </row>
    <row r="45" spans="2:19" s="122" customFormat="1">
      <c r="B45" s="101" t="s">
        <v>2195</v>
      </c>
      <c r="C45" s="74">
        <v>5168</v>
      </c>
      <c r="D45" s="87" t="s">
        <v>2141</v>
      </c>
      <c r="E45" s="74"/>
      <c r="F45" s="87" t="s">
        <v>1016</v>
      </c>
      <c r="G45" s="74" t="s">
        <v>725</v>
      </c>
      <c r="H45" s="74"/>
      <c r="I45" s="97">
        <v>43465</v>
      </c>
      <c r="J45" s="86">
        <v>11.59</v>
      </c>
      <c r="K45" s="87" t="s">
        <v>173</v>
      </c>
      <c r="L45" s="88">
        <v>3.9510000000000003E-2</v>
      </c>
      <c r="M45" s="85">
        <v>4.7299999999999995E-2</v>
      </c>
      <c r="N45" s="84">
        <v>7166000</v>
      </c>
      <c r="O45" s="86">
        <v>92.81</v>
      </c>
      <c r="P45" s="84">
        <v>16628.24166</v>
      </c>
      <c r="Q45" s="85">
        <v>1.8162601667228492E-2</v>
      </c>
      <c r="R45" s="85">
        <f t="shared" si="3"/>
        <v>1.843160906233068E-2</v>
      </c>
      <c r="S45" s="85">
        <f>P45/'סכום נכסי הקרן'!$C$42</f>
        <v>3.192148765258222E-4</v>
      </c>
    </row>
    <row r="46" spans="2:19" s="122" customFormat="1">
      <c r="B46" s="121"/>
    </row>
    <row r="47" spans="2:19" s="122" customFormat="1">
      <c r="B47" s="121"/>
    </row>
    <row r="48" spans="2:19">
      <c r="C48" s="1"/>
      <c r="D48" s="1"/>
      <c r="E48" s="1"/>
    </row>
    <row r="49" spans="2:5">
      <c r="B49" s="89" t="s">
        <v>261</v>
      </c>
      <c r="C49" s="1"/>
      <c r="D49" s="1"/>
      <c r="E49" s="1"/>
    </row>
    <row r="50" spans="2:5">
      <c r="B50" s="89" t="s">
        <v>115</v>
      </c>
      <c r="C50" s="1"/>
      <c r="D50" s="1"/>
      <c r="E50" s="1"/>
    </row>
    <row r="51" spans="2:5">
      <c r="B51" s="89" t="s">
        <v>243</v>
      </c>
      <c r="C51" s="1"/>
      <c r="D51" s="1"/>
      <c r="E51" s="1"/>
    </row>
    <row r="52" spans="2:5">
      <c r="B52" s="89" t="s">
        <v>251</v>
      </c>
      <c r="C52" s="1"/>
      <c r="D52" s="1"/>
      <c r="E52" s="1"/>
    </row>
    <row r="53" spans="2:5">
      <c r="C53" s="1"/>
      <c r="D53" s="1"/>
      <c r="E53" s="1"/>
    </row>
    <row r="54" spans="2:5">
      <c r="C54" s="1"/>
      <c r="D54" s="1"/>
      <c r="E54" s="1"/>
    </row>
    <row r="55" spans="2:5">
      <c r="C55" s="1"/>
      <c r="D55" s="1"/>
      <c r="E55" s="1"/>
    </row>
    <row r="56" spans="2:5">
      <c r="C56" s="1"/>
      <c r="D56" s="1"/>
      <c r="E56" s="1"/>
    </row>
    <row r="57" spans="2:5">
      <c r="C57" s="1"/>
      <c r="D57" s="1"/>
      <c r="E57" s="1"/>
    </row>
    <row r="58" spans="2:5">
      <c r="C58" s="1"/>
      <c r="D58" s="1"/>
      <c r="E58" s="1"/>
    </row>
    <row r="59" spans="2:5">
      <c r="C59" s="1"/>
      <c r="D59" s="1"/>
      <c r="E59" s="1"/>
    </row>
    <row r="60" spans="2:5">
      <c r="C60" s="1"/>
      <c r="D60" s="1"/>
      <c r="E60" s="1"/>
    </row>
    <row r="61" spans="2:5">
      <c r="C61" s="1"/>
      <c r="D61" s="1"/>
      <c r="E61" s="1"/>
    </row>
    <row r="62" spans="2:5">
      <c r="C62" s="1"/>
      <c r="D62" s="1"/>
      <c r="E62" s="1"/>
    </row>
    <row r="63" spans="2:5">
      <c r="C63" s="1"/>
      <c r="D63" s="1"/>
      <c r="E63" s="1"/>
    </row>
    <row r="64" spans="2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5" type="noConversion"/>
  <conditionalFormatting sqref="B12:B45">
    <cfRule type="cellIs" dxfId="6" priority="1" operator="equal">
      <formula>"NR3"</formula>
    </cfRule>
  </conditionalFormatting>
  <dataValidations count="2">
    <dataValidation allowBlank="1" showInputMessage="1" showErrorMessage="1" sqref="C5:C1048576 A1:B1048576 AC32:XFD35 D1:E1048576 G1:S1048576 F39:F1048576 F1:F21 T1:XFD31 T36:XFD1048576 T32:AA35 F25:F36"/>
    <dataValidation type="list" allowBlank="1" showInputMessage="1" showErrorMessage="1" sqref="F37:F38">
      <formula1>$BC$6:$BC$29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Y405"/>
  <sheetViews>
    <sheetView rightToLeft="1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8.42578125" style="2" bestFit="1" customWidth="1"/>
    <col min="4" max="4" width="5.7109375" style="2" bestFit="1" customWidth="1"/>
    <col min="5" max="5" width="11.28515625" style="2" bestFit="1" customWidth="1"/>
    <col min="6" max="6" width="28.855468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22" width="5.7109375" style="1" customWidth="1"/>
    <col min="23" max="16384" width="9.140625" style="1"/>
  </cols>
  <sheetData>
    <row r="1" spans="2:77">
      <c r="B1" s="47" t="s">
        <v>180</v>
      </c>
      <c r="C1" s="68" t="s" vm="1">
        <v>270</v>
      </c>
    </row>
    <row r="2" spans="2:77">
      <c r="B2" s="47" t="s">
        <v>179</v>
      </c>
      <c r="C2" s="68" t="s">
        <v>271</v>
      </c>
    </row>
    <row r="3" spans="2:77">
      <c r="B3" s="47" t="s">
        <v>181</v>
      </c>
      <c r="C3" s="68" t="s">
        <v>272</v>
      </c>
    </row>
    <row r="4" spans="2:77">
      <c r="B4" s="47" t="s">
        <v>182</v>
      </c>
      <c r="C4" s="68">
        <v>2102</v>
      </c>
    </row>
    <row r="6" spans="2:77" ht="26.25" customHeight="1">
      <c r="B6" s="163" t="s">
        <v>211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5"/>
    </row>
    <row r="7" spans="2:77" ht="26.25" customHeight="1">
      <c r="B7" s="163" t="s">
        <v>95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5"/>
    </row>
    <row r="8" spans="2:77" s="3" customFormat="1" ht="63">
      <c r="B8" s="22" t="s">
        <v>119</v>
      </c>
      <c r="C8" s="30" t="s">
        <v>47</v>
      </c>
      <c r="D8" s="30" t="s">
        <v>121</v>
      </c>
      <c r="E8" s="30" t="s">
        <v>120</v>
      </c>
      <c r="F8" s="30" t="s">
        <v>68</v>
      </c>
      <c r="G8" s="30" t="s">
        <v>106</v>
      </c>
      <c r="H8" s="30" t="s">
        <v>245</v>
      </c>
      <c r="I8" s="30" t="s">
        <v>244</v>
      </c>
      <c r="J8" s="30" t="s">
        <v>114</v>
      </c>
      <c r="K8" s="30" t="s">
        <v>61</v>
      </c>
      <c r="L8" s="30" t="s">
        <v>183</v>
      </c>
      <c r="M8" s="31" t="s">
        <v>185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Y8" s="1"/>
    </row>
    <row r="9" spans="2:77" s="3" customFormat="1" ht="14.25" customHeight="1">
      <c r="B9" s="15"/>
      <c r="C9" s="32"/>
      <c r="D9" s="16"/>
      <c r="E9" s="16"/>
      <c r="F9" s="32"/>
      <c r="G9" s="32"/>
      <c r="H9" s="32" t="s">
        <v>252</v>
      </c>
      <c r="I9" s="32"/>
      <c r="J9" s="32" t="s">
        <v>248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Y9" s="1"/>
    </row>
    <row r="10" spans="2:77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Y10" s="1"/>
    </row>
    <row r="11" spans="2:77" s="123" customFormat="1" ht="18" customHeight="1">
      <c r="B11" s="69" t="s">
        <v>30</v>
      </c>
      <c r="C11" s="70"/>
      <c r="D11" s="70"/>
      <c r="E11" s="70"/>
      <c r="F11" s="70"/>
      <c r="G11" s="70"/>
      <c r="H11" s="78"/>
      <c r="I11" s="78"/>
      <c r="J11" s="78">
        <v>1109322.97474</v>
      </c>
      <c r="K11" s="70"/>
      <c r="L11" s="79">
        <f>J11/$J$11</f>
        <v>1</v>
      </c>
      <c r="M11" s="79">
        <f>J11/'סכום נכסי הקרן'!$C$42</f>
        <v>2.1295841355296184E-2</v>
      </c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Y11" s="122"/>
    </row>
    <row r="12" spans="2:77" s="122" customFormat="1" ht="17.25" customHeight="1">
      <c r="B12" s="71" t="s">
        <v>238</v>
      </c>
      <c r="C12" s="72"/>
      <c r="D12" s="72"/>
      <c r="E12" s="72"/>
      <c r="F12" s="72"/>
      <c r="G12" s="72"/>
      <c r="H12" s="81"/>
      <c r="I12" s="81"/>
      <c r="J12" s="81">
        <v>77280.300189999994</v>
      </c>
      <c r="K12" s="72"/>
      <c r="L12" s="82">
        <f t="shared" ref="L12:L17" si="0">J12/$J$11</f>
        <v>6.966438264574186E-2</v>
      </c>
      <c r="M12" s="82">
        <f>J12/'סכום נכסי הקרן'!$C$42</f>
        <v>1.4835616409383675E-3</v>
      </c>
    </row>
    <row r="13" spans="2:77" s="122" customFormat="1">
      <c r="B13" s="92" t="s">
        <v>238</v>
      </c>
      <c r="C13" s="72"/>
      <c r="D13" s="72"/>
      <c r="E13" s="72"/>
      <c r="F13" s="72"/>
      <c r="G13" s="72"/>
      <c r="H13" s="81"/>
      <c r="I13" s="81"/>
      <c r="J13" s="81">
        <v>77280.300189999994</v>
      </c>
      <c r="K13" s="72"/>
      <c r="L13" s="82">
        <f t="shared" si="0"/>
        <v>6.966438264574186E-2</v>
      </c>
      <c r="M13" s="82">
        <f>J13/'סכום נכסי הקרן'!$C$42</f>
        <v>1.4835616409383675E-3</v>
      </c>
    </row>
    <row r="14" spans="2:77" s="122" customFormat="1">
      <c r="B14" s="77" t="s">
        <v>2196</v>
      </c>
      <c r="C14" s="74">
        <v>5992</v>
      </c>
      <c r="D14" s="87" t="s">
        <v>28</v>
      </c>
      <c r="E14" s="74" t="s">
        <v>2166</v>
      </c>
      <c r="F14" s="87" t="s">
        <v>721</v>
      </c>
      <c r="G14" s="87" t="s">
        <v>165</v>
      </c>
      <c r="H14" s="84">
        <v>126513</v>
      </c>
      <c r="I14" s="84">
        <v>0</v>
      </c>
      <c r="J14" s="84">
        <v>1.3000000000000002E-4</v>
      </c>
      <c r="K14" s="85">
        <v>4.6341758241758239E-3</v>
      </c>
      <c r="L14" s="85">
        <f t="shared" si="0"/>
        <v>1.1718859426892251E-10</v>
      </c>
      <c r="M14" s="85">
        <f>J14/'סכום נכסי הקרן'!$C$42</f>
        <v>2.4956297122011452E-12</v>
      </c>
    </row>
    <row r="15" spans="2:77" s="122" customFormat="1">
      <c r="B15" s="77" t="s">
        <v>2197</v>
      </c>
      <c r="C15" s="74">
        <v>2007</v>
      </c>
      <c r="D15" s="87" t="s">
        <v>28</v>
      </c>
      <c r="E15" s="74" t="s">
        <v>2198</v>
      </c>
      <c r="F15" s="87" t="s">
        <v>3376</v>
      </c>
      <c r="G15" s="87" t="s">
        <v>165</v>
      </c>
      <c r="H15" s="84">
        <v>546391.75</v>
      </c>
      <c r="I15" s="84">
        <v>565.67470000000003</v>
      </c>
      <c r="J15" s="84">
        <v>3090.7998900000002</v>
      </c>
      <c r="K15" s="85">
        <v>0.04</v>
      </c>
      <c r="L15" s="85">
        <f t="shared" si="0"/>
        <v>2.7862038021203095E-3</v>
      </c>
      <c r="M15" s="85">
        <f>J15/'סכום נכסי הקרן'!$C$42</f>
        <v>5.9334554153477159E-5</v>
      </c>
    </row>
    <row r="16" spans="2:77" s="122" customFormat="1">
      <c r="B16" s="77" t="s">
        <v>2199</v>
      </c>
      <c r="C16" s="74" t="s">
        <v>2200</v>
      </c>
      <c r="D16" s="87" t="s">
        <v>28</v>
      </c>
      <c r="E16" s="74" t="s">
        <v>2201</v>
      </c>
      <c r="F16" s="87" t="s">
        <v>3376</v>
      </c>
      <c r="G16" s="87" t="s">
        <v>164</v>
      </c>
      <c r="H16" s="84">
        <v>2727145.12</v>
      </c>
      <c r="I16" s="84">
        <v>740.98019999999997</v>
      </c>
      <c r="J16" s="84">
        <v>72040.113110000006</v>
      </c>
      <c r="K16" s="85">
        <v>4.7048045224215684E-2</v>
      </c>
      <c r="L16" s="85">
        <f t="shared" si="0"/>
        <v>6.4940612202577491E-2</v>
      </c>
      <c r="M16" s="85">
        <f>J16/'סכום נכסי הקרן'!$C$42</f>
        <v>1.3829649749819018E-3</v>
      </c>
    </row>
    <row r="17" spans="2:13" s="122" customFormat="1">
      <c r="B17" s="77" t="s">
        <v>2202</v>
      </c>
      <c r="C17" s="74" t="s">
        <v>2203</v>
      </c>
      <c r="D17" s="87" t="s">
        <v>28</v>
      </c>
      <c r="E17" s="74" t="s">
        <v>2192</v>
      </c>
      <c r="F17" s="87" t="s">
        <v>159</v>
      </c>
      <c r="G17" s="87" t="s">
        <v>164</v>
      </c>
      <c r="H17" s="84">
        <v>37216.89</v>
      </c>
      <c r="I17" s="84">
        <v>1620</v>
      </c>
      <c r="J17" s="84">
        <v>2149.38706</v>
      </c>
      <c r="K17" s="85">
        <v>3.7956570334482316E-3</v>
      </c>
      <c r="L17" s="85">
        <f t="shared" si="0"/>
        <v>1.937566523855478E-3</v>
      </c>
      <c r="M17" s="85">
        <f>J17/'סכום נכסי הקרן'!$C$42</f>
        <v>4.126210930735896E-5</v>
      </c>
    </row>
    <row r="18" spans="2:13" s="122" customFormat="1">
      <c r="B18" s="73"/>
      <c r="C18" s="74"/>
      <c r="D18" s="74"/>
      <c r="E18" s="74"/>
      <c r="F18" s="74"/>
      <c r="G18" s="74"/>
      <c r="H18" s="84"/>
      <c r="I18" s="84"/>
      <c r="J18" s="74"/>
      <c r="K18" s="74"/>
      <c r="L18" s="85"/>
      <c r="M18" s="74"/>
    </row>
    <row r="19" spans="2:13" s="122" customFormat="1">
      <c r="B19" s="71" t="s">
        <v>237</v>
      </c>
      <c r="C19" s="72"/>
      <c r="D19" s="72"/>
      <c r="E19" s="72"/>
      <c r="F19" s="72"/>
      <c r="G19" s="72"/>
      <c r="H19" s="81"/>
      <c r="I19" s="81"/>
      <c r="J19" s="81">
        <v>1032042.67455</v>
      </c>
      <c r="K19" s="72"/>
      <c r="L19" s="82">
        <f t="shared" ref="L19:L49" si="1">J19/$J$11</f>
        <v>0.93033561735425818</v>
      </c>
      <c r="M19" s="82">
        <f>J19/'סכום נכסי הקרן'!$C$42</f>
        <v>1.9812279714357818E-2</v>
      </c>
    </row>
    <row r="20" spans="2:13" s="122" customFormat="1">
      <c r="B20" s="92" t="s">
        <v>66</v>
      </c>
      <c r="C20" s="72"/>
      <c r="D20" s="72"/>
      <c r="E20" s="72"/>
      <c r="F20" s="72"/>
      <c r="G20" s="72"/>
      <c r="H20" s="81"/>
      <c r="I20" s="81"/>
      <c r="J20" s="81">
        <v>1032042.67455</v>
      </c>
      <c r="K20" s="72"/>
      <c r="L20" s="82">
        <f t="shared" si="1"/>
        <v>0.93033561735425818</v>
      </c>
      <c r="M20" s="82">
        <f>J20/'סכום נכסי הקרן'!$C$42</f>
        <v>1.9812279714357818E-2</v>
      </c>
    </row>
    <row r="21" spans="2:13" s="122" customFormat="1">
      <c r="B21" s="77" t="s">
        <v>2204</v>
      </c>
      <c r="C21" s="74">
        <v>3610</v>
      </c>
      <c r="D21" s="87" t="s">
        <v>28</v>
      </c>
      <c r="E21" s="74"/>
      <c r="F21" s="87" t="s">
        <v>1032</v>
      </c>
      <c r="G21" s="87" t="s">
        <v>164</v>
      </c>
      <c r="H21" s="84">
        <v>640731</v>
      </c>
      <c r="I21" s="84">
        <v>495.5949</v>
      </c>
      <c r="J21" s="84">
        <v>11320.408519999999</v>
      </c>
      <c r="K21" s="85">
        <v>9.3797475949917775E-2</v>
      </c>
      <c r="L21" s="85">
        <f t="shared" si="1"/>
        <v>1.0204790469297948E-2</v>
      </c>
      <c r="M21" s="85">
        <f>J21/'סכום נכסי הקרן'!$C$42</f>
        <v>2.1731959889820758E-4</v>
      </c>
    </row>
    <row r="22" spans="2:13" s="122" customFormat="1">
      <c r="B22" s="77" t="s">
        <v>2205</v>
      </c>
      <c r="C22" s="74" t="s">
        <v>2206</v>
      </c>
      <c r="D22" s="87" t="s">
        <v>28</v>
      </c>
      <c r="E22" s="74"/>
      <c r="F22" s="87" t="s">
        <v>1032</v>
      </c>
      <c r="G22" s="87" t="s">
        <v>164</v>
      </c>
      <c r="H22" s="84">
        <v>6782.73</v>
      </c>
      <c r="I22" s="84">
        <v>126288.81</v>
      </c>
      <c r="J22" s="84">
        <v>30537.185300000001</v>
      </c>
      <c r="K22" s="85">
        <v>8.0024970011563556E-2</v>
      </c>
      <c r="L22" s="85">
        <f t="shared" si="1"/>
        <v>2.7527767832589263E-2</v>
      </c>
      <c r="M22" s="85">
        <f>J22/'סכום נכסי הקרן'!$C$42</f>
        <v>5.8622697662824639E-4</v>
      </c>
    </row>
    <row r="23" spans="2:13" s="122" customFormat="1">
      <c r="B23" s="77" t="s">
        <v>2207</v>
      </c>
      <c r="C23" s="74">
        <v>6824</v>
      </c>
      <c r="D23" s="87" t="s">
        <v>28</v>
      </c>
      <c r="E23" s="74"/>
      <c r="F23" s="87" t="s">
        <v>1032</v>
      </c>
      <c r="G23" s="87" t="s">
        <v>164</v>
      </c>
      <c r="H23" s="84">
        <v>218987.15</v>
      </c>
      <c r="I23" s="84">
        <v>8851.1345000000001</v>
      </c>
      <c r="J23" s="84">
        <v>69099.850189999997</v>
      </c>
      <c r="K23" s="85">
        <v>0.13302579488107966</v>
      </c>
      <c r="L23" s="85">
        <f t="shared" si="1"/>
        <v>6.2290110061224889E-2</v>
      </c>
      <c r="M23" s="85">
        <f>J23/'סכום נכסי הקרן'!$C$42</f>
        <v>1.3265203018677839E-3</v>
      </c>
    </row>
    <row r="24" spans="2:13" s="122" customFormat="1">
      <c r="B24" s="77" t="s">
        <v>2208</v>
      </c>
      <c r="C24" s="74" t="s">
        <v>2209</v>
      </c>
      <c r="D24" s="87" t="s">
        <v>28</v>
      </c>
      <c r="E24" s="74"/>
      <c r="F24" s="87" t="s">
        <v>1032</v>
      </c>
      <c r="G24" s="87" t="s">
        <v>164</v>
      </c>
      <c r="H24" s="84">
        <v>2647573.34</v>
      </c>
      <c r="I24" s="84">
        <v>301.95740000000001</v>
      </c>
      <c r="J24" s="84">
        <v>28500.548010000002</v>
      </c>
      <c r="K24" s="85">
        <v>0.10746636048842099</v>
      </c>
      <c r="L24" s="85">
        <f t="shared" si="1"/>
        <v>2.5691839670660278E-2</v>
      </c>
      <c r="M24" s="85">
        <f>J24/'סכום נכסי הקרן'!$C$42</f>
        <v>5.4712934175208631E-4</v>
      </c>
    </row>
    <row r="25" spans="2:13" s="122" customFormat="1">
      <c r="B25" s="77" t="s">
        <v>2210</v>
      </c>
      <c r="C25" s="74" t="s">
        <v>2211</v>
      </c>
      <c r="D25" s="87" t="s">
        <v>28</v>
      </c>
      <c r="E25" s="74"/>
      <c r="F25" s="87" t="s">
        <v>1032</v>
      </c>
      <c r="G25" s="87" t="s">
        <v>164</v>
      </c>
      <c r="H25" s="84">
        <v>7464347.21</v>
      </c>
      <c r="I25" s="84">
        <v>94.408199999999994</v>
      </c>
      <c r="J25" s="84">
        <v>25122.397570000001</v>
      </c>
      <c r="K25" s="85">
        <v>0.17283111184030633</v>
      </c>
      <c r="L25" s="85">
        <f t="shared" si="1"/>
        <v>2.2646603506871494E-2</v>
      </c>
      <c r="M25" s="85">
        <f>J25/'סכום נכסי הקרן'!$C$42</f>
        <v>4.8227847551862956E-4</v>
      </c>
    </row>
    <row r="26" spans="2:13" s="122" customFormat="1">
      <c r="B26" s="77" t="s">
        <v>2212</v>
      </c>
      <c r="C26" s="74">
        <v>6900</v>
      </c>
      <c r="D26" s="87" t="s">
        <v>28</v>
      </c>
      <c r="E26" s="74"/>
      <c r="F26" s="87" t="s">
        <v>1032</v>
      </c>
      <c r="G26" s="87" t="s">
        <v>164</v>
      </c>
      <c r="H26" s="84">
        <v>342710.83</v>
      </c>
      <c r="I26" s="84">
        <v>10070.1158</v>
      </c>
      <c r="J26" s="84">
        <v>123033.05879000001</v>
      </c>
      <c r="K26" s="85">
        <v>9.56029473677633E-2</v>
      </c>
      <c r="L26" s="85">
        <f t="shared" si="1"/>
        <v>0.11090824006312153</v>
      </c>
      <c r="M26" s="85">
        <f>J26/'סכום נכסי הקרן'!$C$42</f>
        <v>2.3618842853793402E-3</v>
      </c>
    </row>
    <row r="27" spans="2:13" s="122" customFormat="1">
      <c r="B27" s="77" t="s">
        <v>2213</v>
      </c>
      <c r="C27" s="74" t="s">
        <v>2214</v>
      </c>
      <c r="D27" s="87" t="s">
        <v>28</v>
      </c>
      <c r="E27" s="74"/>
      <c r="F27" s="87" t="s">
        <v>1032</v>
      </c>
      <c r="G27" s="87" t="s">
        <v>164</v>
      </c>
      <c r="H27" s="84">
        <v>4955.33</v>
      </c>
      <c r="I27" s="84">
        <v>0</v>
      </c>
      <c r="J27" s="84">
        <v>0</v>
      </c>
      <c r="K27" s="85">
        <v>9.5059991233194155E-2</v>
      </c>
      <c r="L27" s="85">
        <f t="shared" si="1"/>
        <v>0</v>
      </c>
      <c r="M27" s="85">
        <f>J27/'סכום נכסי הקרן'!$C$42</f>
        <v>0</v>
      </c>
    </row>
    <row r="28" spans="2:13" s="122" customFormat="1">
      <c r="B28" s="77" t="s">
        <v>2215</v>
      </c>
      <c r="C28" s="74">
        <v>7019</v>
      </c>
      <c r="D28" s="87" t="s">
        <v>28</v>
      </c>
      <c r="E28" s="74"/>
      <c r="F28" s="87" t="s">
        <v>1032</v>
      </c>
      <c r="G28" s="87" t="s">
        <v>164</v>
      </c>
      <c r="H28" s="84">
        <v>181568.1</v>
      </c>
      <c r="I28" s="84">
        <v>10283.0326</v>
      </c>
      <c r="J28" s="84">
        <v>66561.070130000007</v>
      </c>
      <c r="K28" s="85">
        <v>7.3215184877756426E-2</v>
      </c>
      <c r="L28" s="85">
        <f t="shared" si="1"/>
        <v>6.0001524935152817E-2</v>
      </c>
      <c r="M28" s="85">
        <f>J28/'סכום נכסי הקרן'!$C$42</f>
        <v>1.2777829560948627E-3</v>
      </c>
    </row>
    <row r="29" spans="2:13" s="122" customFormat="1">
      <c r="B29" s="77" t="s">
        <v>2216</v>
      </c>
      <c r="C29" s="74">
        <v>2994</v>
      </c>
      <c r="D29" s="87" t="s">
        <v>28</v>
      </c>
      <c r="E29" s="74"/>
      <c r="F29" s="87" t="s">
        <v>1032</v>
      </c>
      <c r="G29" s="87" t="s">
        <v>166</v>
      </c>
      <c r="H29" s="84">
        <v>25107.32</v>
      </c>
      <c r="I29" s="84">
        <v>21144.653300000002</v>
      </c>
      <c r="J29" s="84">
        <v>20706.130160000001</v>
      </c>
      <c r="K29" s="85">
        <v>4.6466498002356547E-2</v>
      </c>
      <c r="L29" s="85">
        <f t="shared" si="1"/>
        <v>1.8665556047690299E-2</v>
      </c>
      <c r="M29" s="85">
        <f>J29/'סכום נכסי הקרן'!$C$42</f>
        <v>3.9749872040000189E-4</v>
      </c>
    </row>
    <row r="30" spans="2:13" s="122" customFormat="1">
      <c r="B30" s="77" t="s">
        <v>2217</v>
      </c>
      <c r="C30" s="74" t="s">
        <v>2218</v>
      </c>
      <c r="D30" s="87" t="s">
        <v>28</v>
      </c>
      <c r="E30" s="74"/>
      <c r="F30" s="87" t="s">
        <v>1032</v>
      </c>
      <c r="G30" s="87" t="s">
        <v>166</v>
      </c>
      <c r="H30" s="84">
        <v>19.399999999999999</v>
      </c>
      <c r="I30" s="84">
        <v>0</v>
      </c>
      <c r="J30" s="84">
        <v>0</v>
      </c>
      <c r="K30" s="85">
        <v>6.5486182584253538E-4</v>
      </c>
      <c r="L30" s="85">
        <f t="shared" si="1"/>
        <v>0</v>
      </c>
      <c r="M30" s="85">
        <f>J30/'סכום נכסי הקרן'!$C$42</f>
        <v>0</v>
      </c>
    </row>
    <row r="31" spans="2:13" s="122" customFormat="1">
      <c r="B31" s="77" t="s">
        <v>3274</v>
      </c>
      <c r="C31" s="74">
        <v>4654</v>
      </c>
      <c r="D31" s="87" t="s">
        <v>28</v>
      </c>
      <c r="E31" s="74"/>
      <c r="F31" s="87" t="s">
        <v>1032</v>
      </c>
      <c r="G31" s="87" t="s">
        <v>167</v>
      </c>
      <c r="H31" s="84">
        <v>2768309.5</v>
      </c>
      <c r="I31" s="84">
        <v>448.69069999999999</v>
      </c>
      <c r="J31" s="84">
        <v>54635.658380000001</v>
      </c>
      <c r="K31" s="85">
        <v>0.28025</v>
      </c>
      <c r="L31" s="85">
        <f t="shared" si="1"/>
        <v>4.9251353865455962E-2</v>
      </c>
      <c r="M31" s="85">
        <f>J31/'סכום נכסי הקרן'!$C$42</f>
        <v>1.0488490184523036E-3</v>
      </c>
    </row>
    <row r="32" spans="2:13" s="122" customFormat="1">
      <c r="B32" s="77" t="s">
        <v>2219</v>
      </c>
      <c r="C32" s="74" t="s">
        <v>2220</v>
      </c>
      <c r="D32" s="87" t="s">
        <v>28</v>
      </c>
      <c r="E32" s="74"/>
      <c r="F32" s="87" t="s">
        <v>1032</v>
      </c>
      <c r="G32" s="87" t="s">
        <v>164</v>
      </c>
      <c r="H32" s="84">
        <v>403.96</v>
      </c>
      <c r="I32" s="84">
        <v>0</v>
      </c>
      <c r="J32" s="84">
        <v>0</v>
      </c>
      <c r="K32" s="85">
        <v>7.6315673636577113E-3</v>
      </c>
      <c r="L32" s="85">
        <f t="shared" si="1"/>
        <v>0</v>
      </c>
      <c r="M32" s="85">
        <f>J32/'סכום נכסי הקרן'!$C$42</f>
        <v>0</v>
      </c>
    </row>
    <row r="33" spans="2:13" s="122" customFormat="1">
      <c r="B33" s="77" t="s">
        <v>2221</v>
      </c>
      <c r="C33" s="74" t="s">
        <v>2222</v>
      </c>
      <c r="D33" s="87" t="s">
        <v>28</v>
      </c>
      <c r="E33" s="74"/>
      <c r="F33" s="87" t="s">
        <v>1032</v>
      </c>
      <c r="G33" s="87" t="s">
        <v>166</v>
      </c>
      <c r="H33" s="84">
        <v>3355.13</v>
      </c>
      <c r="I33" s="84">
        <v>0</v>
      </c>
      <c r="J33" s="84">
        <v>0</v>
      </c>
      <c r="K33" s="85">
        <v>9.8000058418039493E-2</v>
      </c>
      <c r="L33" s="85">
        <f t="shared" si="1"/>
        <v>0</v>
      </c>
      <c r="M33" s="85">
        <f>J33/'סכום נכסי הקרן'!$C$42</f>
        <v>0</v>
      </c>
    </row>
    <row r="34" spans="2:13" s="122" customFormat="1">
      <c r="B34" s="77" t="s">
        <v>2223</v>
      </c>
      <c r="C34" s="74">
        <v>5771</v>
      </c>
      <c r="D34" s="87" t="s">
        <v>28</v>
      </c>
      <c r="E34" s="74"/>
      <c r="F34" s="87" t="s">
        <v>1032</v>
      </c>
      <c r="G34" s="87" t="s">
        <v>166</v>
      </c>
      <c r="H34" s="84">
        <v>16551350.43</v>
      </c>
      <c r="I34" s="84">
        <v>112.6198</v>
      </c>
      <c r="J34" s="84">
        <v>72701.973259999999</v>
      </c>
      <c r="K34" s="85">
        <v>0.15925535518749806</v>
      </c>
      <c r="L34" s="85">
        <f t="shared" si="1"/>
        <v>6.5537246514739939E-2</v>
      </c>
      <c r="M34" s="85">
        <f>J34/'סכום נכסי הקרן'!$C$42</f>
        <v>1.3956708046408395E-3</v>
      </c>
    </row>
    <row r="35" spans="2:13" s="122" customFormat="1">
      <c r="B35" s="77" t="s">
        <v>2224</v>
      </c>
      <c r="C35" s="74" t="s">
        <v>2225</v>
      </c>
      <c r="D35" s="87" t="s">
        <v>28</v>
      </c>
      <c r="E35" s="74"/>
      <c r="F35" s="87" t="s">
        <v>1032</v>
      </c>
      <c r="G35" s="87" t="s">
        <v>164</v>
      </c>
      <c r="H35" s="84">
        <v>358646</v>
      </c>
      <c r="I35" s="84">
        <v>432.72469999999998</v>
      </c>
      <c r="J35" s="84">
        <v>5532.7011399999992</v>
      </c>
      <c r="K35" s="85">
        <v>9.9795660506274309E-2</v>
      </c>
      <c r="L35" s="85">
        <f t="shared" si="1"/>
        <v>4.9874574546666522E-3</v>
      </c>
      <c r="M35" s="85">
        <f>J35/'סכום נכסי הקרן'!$C$42</f>
        <v>1.0621210272087034E-4</v>
      </c>
    </row>
    <row r="36" spans="2:13" s="122" customFormat="1">
      <c r="B36" s="77" t="s">
        <v>2226</v>
      </c>
      <c r="C36" s="74">
        <v>7021</v>
      </c>
      <c r="D36" s="87" t="s">
        <v>28</v>
      </c>
      <c r="E36" s="74"/>
      <c r="F36" s="87" t="s">
        <v>1032</v>
      </c>
      <c r="G36" s="87" t="s">
        <v>164</v>
      </c>
      <c r="H36" s="84">
        <v>390000</v>
      </c>
      <c r="I36" s="84">
        <v>47.636899999999997</v>
      </c>
      <c r="J36" s="84">
        <v>662.31964000000005</v>
      </c>
      <c r="K36" s="85">
        <v>1.9700000004697692E-2</v>
      </c>
      <c r="L36" s="85">
        <f t="shared" si="1"/>
        <v>5.9704851975614468E-4</v>
      </c>
      <c r="M36" s="85">
        <f>J36/'סכום נכסי הקרן'!$C$42</f>
        <v>1.2714650558141277E-5</v>
      </c>
    </row>
    <row r="37" spans="2:13" s="122" customFormat="1">
      <c r="B37" s="77" t="s">
        <v>2227</v>
      </c>
      <c r="C37" s="74" t="s">
        <v>2228</v>
      </c>
      <c r="D37" s="87" t="s">
        <v>28</v>
      </c>
      <c r="E37" s="74"/>
      <c r="F37" s="87" t="s">
        <v>1032</v>
      </c>
      <c r="G37" s="87" t="s">
        <v>164</v>
      </c>
      <c r="H37" s="84">
        <v>2096048</v>
      </c>
      <c r="I37" s="84">
        <v>350.5693</v>
      </c>
      <c r="J37" s="84">
        <v>26195.979350000001</v>
      </c>
      <c r="K37" s="85">
        <v>4.7661225375800892E-2</v>
      </c>
      <c r="L37" s="85">
        <f t="shared" si="1"/>
        <v>2.3614384580955553E-2</v>
      </c>
      <c r="M37" s="85">
        <f>J37/'סכום נכסי הקרן'!$C$42</f>
        <v>5.0288818773898186E-4</v>
      </c>
    </row>
    <row r="38" spans="2:13" s="122" customFormat="1">
      <c r="B38" s="77" t="s">
        <v>2229</v>
      </c>
      <c r="C38" s="74">
        <v>7022</v>
      </c>
      <c r="D38" s="87" t="s">
        <v>28</v>
      </c>
      <c r="E38" s="74"/>
      <c r="F38" s="87" t="s">
        <v>1032</v>
      </c>
      <c r="G38" s="87" t="s">
        <v>164</v>
      </c>
      <c r="H38" s="84">
        <v>660000</v>
      </c>
      <c r="I38" s="84">
        <v>4.4448999999999996</v>
      </c>
      <c r="J38" s="84">
        <v>104.58405</v>
      </c>
      <c r="K38" s="85">
        <v>0.02</v>
      </c>
      <c r="L38" s="85">
        <f t="shared" si="1"/>
        <v>9.4277367711159257E-5</v>
      </c>
      <c r="M38" s="85">
        <f>J38/'סכום נכסי הקרן'!$C$42</f>
        <v>2.0077158661717703E-6</v>
      </c>
    </row>
    <row r="39" spans="2:13" s="122" customFormat="1">
      <c r="B39" s="77" t="s">
        <v>2230</v>
      </c>
      <c r="C39" s="74">
        <v>4637</v>
      </c>
      <c r="D39" s="87" t="s">
        <v>28</v>
      </c>
      <c r="E39" s="74"/>
      <c r="F39" s="87" t="s">
        <v>1032</v>
      </c>
      <c r="G39" s="87" t="s">
        <v>167</v>
      </c>
      <c r="H39" s="84">
        <v>14265000.789999999</v>
      </c>
      <c r="I39" s="84">
        <v>31.996200000000002</v>
      </c>
      <c r="J39" s="84">
        <v>20076.346030000001</v>
      </c>
      <c r="K39" s="85">
        <v>0.1117144728750344</v>
      </c>
      <c r="L39" s="85">
        <f t="shared" si="1"/>
        <v>1.8097836687016637E-2</v>
      </c>
      <c r="M39" s="85">
        <f>J39/'סכום נכסי הקרן'!$C$42</f>
        <v>3.8540865896076536E-4</v>
      </c>
    </row>
    <row r="40" spans="2:13" s="122" customFormat="1">
      <c r="B40" s="77" t="s">
        <v>2231</v>
      </c>
      <c r="C40" s="74" t="s">
        <v>2232</v>
      </c>
      <c r="D40" s="87" t="s">
        <v>28</v>
      </c>
      <c r="E40" s="74"/>
      <c r="F40" s="87" t="s">
        <v>1032</v>
      </c>
      <c r="G40" s="87" t="s">
        <v>164</v>
      </c>
      <c r="H40" s="84">
        <v>111710.66</v>
      </c>
      <c r="I40" s="84">
        <v>11393.1955</v>
      </c>
      <c r="J40" s="84">
        <v>45373.231659999998</v>
      </c>
      <c r="K40" s="85">
        <v>0.13410644101351457</v>
      </c>
      <c r="L40" s="85">
        <f t="shared" si="1"/>
        <v>4.0901732582104368E-2</v>
      </c>
      <c r="M40" s="85">
        <f>J40/'סכום נכסי הקרן'!$C$42</f>
        <v>8.7103680822524362E-4</v>
      </c>
    </row>
    <row r="41" spans="2:13" s="122" customFormat="1">
      <c r="B41" s="77" t="s">
        <v>2233</v>
      </c>
      <c r="C41" s="74" t="s">
        <v>2234</v>
      </c>
      <c r="D41" s="87" t="s">
        <v>28</v>
      </c>
      <c r="E41" s="74"/>
      <c r="F41" s="87" t="s">
        <v>1032</v>
      </c>
      <c r="G41" s="87" t="s">
        <v>166</v>
      </c>
      <c r="H41" s="84">
        <v>15832516.42</v>
      </c>
      <c r="I41" s="84">
        <v>105.43680000000001</v>
      </c>
      <c r="J41" s="84">
        <v>65108.872799999997</v>
      </c>
      <c r="K41" s="85">
        <v>0.28381436422686968</v>
      </c>
      <c r="L41" s="85">
        <f t="shared" si="1"/>
        <v>5.8692440598969865E-2</v>
      </c>
      <c r="M41" s="85">
        <f>J41/'סכום נכסי הקרן'!$C$42</f>
        <v>1.2499049037508073E-3</v>
      </c>
    </row>
    <row r="42" spans="2:13" s="122" customFormat="1">
      <c r="B42" s="77" t="s">
        <v>2235</v>
      </c>
      <c r="C42" s="74">
        <v>5691</v>
      </c>
      <c r="D42" s="87" t="s">
        <v>28</v>
      </c>
      <c r="E42" s="74"/>
      <c r="F42" s="87" t="s">
        <v>1032</v>
      </c>
      <c r="G42" s="87" t="s">
        <v>164</v>
      </c>
      <c r="H42" s="84">
        <v>13783961.189999999</v>
      </c>
      <c r="I42" s="84">
        <v>155.98159999999999</v>
      </c>
      <c r="J42" s="84">
        <v>76649.080040000001</v>
      </c>
      <c r="K42" s="85">
        <v>0.15691071051621322</v>
      </c>
      <c r="L42" s="85">
        <f t="shared" si="1"/>
        <v>6.9095368783797878E-2</v>
      </c>
      <c r="M42" s="85">
        <f>J42/'סכום נכסי הקרן'!$C$42</f>
        <v>1.4714440120054441E-3</v>
      </c>
    </row>
    <row r="43" spans="2:13" s="122" customFormat="1">
      <c r="B43" s="77" t="s">
        <v>2236</v>
      </c>
      <c r="C43" s="74">
        <v>6629</v>
      </c>
      <c r="D43" s="87" t="s">
        <v>28</v>
      </c>
      <c r="E43" s="74"/>
      <c r="F43" s="87" t="s">
        <v>1032</v>
      </c>
      <c r="G43" s="87" t="s">
        <v>167</v>
      </c>
      <c r="H43" s="84">
        <v>181848.31</v>
      </c>
      <c r="I43" s="84">
        <v>10106.7246</v>
      </c>
      <c r="J43" s="84">
        <v>80841.464689999993</v>
      </c>
      <c r="K43" s="85">
        <v>0.26821284660766959</v>
      </c>
      <c r="L43" s="85">
        <f t="shared" si="1"/>
        <v>7.2874596966629485E-2</v>
      </c>
      <c r="M43" s="85">
        <f>J43/'סכום נכסי הקרן'!$C$42</f>
        <v>1.55192585583249E-3</v>
      </c>
    </row>
    <row r="44" spans="2:13" s="122" customFormat="1">
      <c r="B44" s="77" t="s">
        <v>2237</v>
      </c>
      <c r="C44" s="74">
        <v>3865</v>
      </c>
      <c r="D44" s="87" t="s">
        <v>28</v>
      </c>
      <c r="E44" s="74"/>
      <c r="F44" s="87" t="s">
        <v>1032</v>
      </c>
      <c r="G44" s="87" t="s">
        <v>164</v>
      </c>
      <c r="H44" s="84">
        <v>328799</v>
      </c>
      <c r="I44" s="84">
        <v>448.96559999999999</v>
      </c>
      <c r="J44" s="84">
        <v>5262.6330399999997</v>
      </c>
      <c r="K44" s="85">
        <v>7.6025559066042317E-2</v>
      </c>
      <c r="L44" s="85">
        <f t="shared" si="1"/>
        <v>4.7440043700829699E-3</v>
      </c>
      <c r="M44" s="85">
        <f>J44/'סכום נכסי הקרן'!$C$42</f>
        <v>1.0102756445411873E-4</v>
      </c>
    </row>
    <row r="45" spans="2:13" s="122" customFormat="1">
      <c r="B45" s="77" t="s">
        <v>2238</v>
      </c>
      <c r="C45" s="74">
        <v>7024</v>
      </c>
      <c r="D45" s="87" t="s">
        <v>28</v>
      </c>
      <c r="E45" s="74"/>
      <c r="F45" s="87" t="s">
        <v>1032</v>
      </c>
      <c r="G45" s="87" t="s">
        <v>164</v>
      </c>
      <c r="H45" s="84">
        <v>170000</v>
      </c>
      <c r="I45" s="84">
        <v>142.51750000000001</v>
      </c>
      <c r="J45" s="84">
        <v>863.7273100000001</v>
      </c>
      <c r="K45" s="85">
        <v>0.02</v>
      </c>
      <c r="L45" s="85">
        <f t="shared" si="1"/>
        <v>7.7860760992752185E-4</v>
      </c>
      <c r="M45" s="85">
        <f>J45/'סכום נכסי הקרן'!$C$42</f>
        <v>1.6581104139042841E-5</v>
      </c>
    </row>
    <row r="46" spans="2:13" s="122" customFormat="1">
      <c r="B46" s="77" t="s">
        <v>2239</v>
      </c>
      <c r="C46" s="74" t="s">
        <v>2240</v>
      </c>
      <c r="D46" s="87" t="s">
        <v>28</v>
      </c>
      <c r="E46" s="74"/>
      <c r="F46" s="87" t="s">
        <v>1032</v>
      </c>
      <c r="G46" s="87" t="s">
        <v>164</v>
      </c>
      <c r="H46" s="84">
        <v>1177.83</v>
      </c>
      <c r="I46" s="84">
        <v>132573.6067</v>
      </c>
      <c r="J46" s="84">
        <v>5566.7034400000002</v>
      </c>
      <c r="K46" s="85">
        <v>9.5060038513750181E-2</v>
      </c>
      <c r="L46" s="85">
        <f t="shared" si="1"/>
        <v>5.0181088526582698E-3</v>
      </c>
      <c r="M46" s="85">
        <f>J46/'סכום נכסי הקרן'!$C$42</f>
        <v>1.0686485002981787E-4</v>
      </c>
    </row>
    <row r="47" spans="2:13" s="122" customFormat="1">
      <c r="B47" s="77" t="s">
        <v>2241</v>
      </c>
      <c r="C47" s="74">
        <v>4811</v>
      </c>
      <c r="D47" s="87" t="s">
        <v>28</v>
      </c>
      <c r="E47" s="74"/>
      <c r="F47" s="87" t="s">
        <v>1032</v>
      </c>
      <c r="G47" s="87" t="s">
        <v>164</v>
      </c>
      <c r="H47" s="84">
        <v>2950923</v>
      </c>
      <c r="I47" s="84">
        <v>149.39179999999999</v>
      </c>
      <c r="J47" s="84">
        <v>15716.077869999999</v>
      </c>
      <c r="K47" s="85">
        <v>0.15234321606207205</v>
      </c>
      <c r="L47" s="85">
        <f t="shared" si="1"/>
        <v>1.4167269792355549E-2</v>
      </c>
      <c r="M47" s="85">
        <f>J47/'סכום נכסי הקרן'!$C$42</f>
        <v>3.017039299356837E-4</v>
      </c>
    </row>
    <row r="48" spans="2:13" s="122" customFormat="1">
      <c r="B48" s="77" t="s">
        <v>2242</v>
      </c>
      <c r="C48" s="74">
        <v>5356</v>
      </c>
      <c r="D48" s="87" t="s">
        <v>28</v>
      </c>
      <c r="E48" s="74"/>
      <c r="F48" s="87" t="s">
        <v>1032</v>
      </c>
      <c r="G48" s="87" t="s">
        <v>164</v>
      </c>
      <c r="H48" s="84">
        <v>3947742</v>
      </c>
      <c r="I48" s="84">
        <v>285.20100000000002</v>
      </c>
      <c r="J48" s="84">
        <v>40138.333789999997</v>
      </c>
      <c r="K48" s="85">
        <v>0.16658578021506135</v>
      </c>
      <c r="L48" s="85">
        <f t="shared" si="1"/>
        <v>3.6182730101129934E-2</v>
      </c>
      <c r="M48" s="85">
        <f>J48/'סכום נכסי הקרן'!$C$42</f>
        <v>7.7054168003516297E-4</v>
      </c>
    </row>
    <row r="49" spans="2:13" s="122" customFormat="1">
      <c r="B49" s="77" t="s">
        <v>2243</v>
      </c>
      <c r="C49" s="74" t="s">
        <v>2244</v>
      </c>
      <c r="D49" s="87" t="s">
        <v>28</v>
      </c>
      <c r="E49" s="74"/>
      <c r="F49" s="87" t="s">
        <v>1032</v>
      </c>
      <c r="G49" s="87" t="s">
        <v>164</v>
      </c>
      <c r="H49" s="84">
        <v>27537700.219999999</v>
      </c>
      <c r="I49" s="84">
        <v>102.5151</v>
      </c>
      <c r="J49" s="84">
        <v>100641.02278</v>
      </c>
      <c r="K49" s="85">
        <v>0.15155365153052316</v>
      </c>
      <c r="L49" s="85">
        <f t="shared" si="1"/>
        <v>9.0722922964421582E-2</v>
      </c>
      <c r="M49" s="85">
        <f>J49/'סכום נכסי הקרן'!$C$42</f>
        <v>1.932020974739079E-3</v>
      </c>
    </row>
    <row r="50" spans="2:13" s="122" customFormat="1">
      <c r="B50" s="77" t="s">
        <v>2245</v>
      </c>
      <c r="C50" s="74">
        <v>5511</v>
      </c>
      <c r="D50" s="87" t="s">
        <v>28</v>
      </c>
      <c r="E50" s="74"/>
      <c r="F50" s="87" t="s">
        <v>1153</v>
      </c>
      <c r="G50" s="87" t="s">
        <v>167</v>
      </c>
      <c r="H50" s="84">
        <v>4009.44</v>
      </c>
      <c r="I50" s="84">
        <v>0</v>
      </c>
      <c r="J50" s="84">
        <v>0</v>
      </c>
      <c r="K50" s="85">
        <v>4.1632660181448219E-2</v>
      </c>
      <c r="L50" s="85">
        <f>J50/$J$11</f>
        <v>0</v>
      </c>
      <c r="M50" s="85">
        <f>J50/'סכום נכסי הקרן'!$C$42</f>
        <v>0</v>
      </c>
    </row>
    <row r="51" spans="2:13" s="122" customFormat="1">
      <c r="B51" s="77" t="s">
        <v>2246</v>
      </c>
      <c r="C51" s="74">
        <v>7425</v>
      </c>
      <c r="D51" s="87" t="s">
        <v>28</v>
      </c>
      <c r="E51" s="74"/>
      <c r="F51" s="87" t="s">
        <v>1032</v>
      </c>
      <c r="G51" s="87" t="s">
        <v>164</v>
      </c>
      <c r="H51" s="84">
        <v>11675032.59</v>
      </c>
      <c r="I51" s="84">
        <v>98.726200000000006</v>
      </c>
      <c r="J51" s="84">
        <v>41091.316610000002</v>
      </c>
      <c r="K51" s="85">
        <v>0.1231110200580682</v>
      </c>
      <c r="L51" s="85">
        <f>J51/$J$11</f>
        <v>3.7041797155270194E-2</v>
      </c>
      <c r="M51" s="85">
        <f>J51/'סכום נכסי הקרן'!$C$42</f>
        <v>7.8883623573369559E-4</v>
      </c>
    </row>
    <row r="52" spans="2:13" s="122" customFormat="1">
      <c r="B52" s="121"/>
    </row>
    <row r="53" spans="2:13" s="122" customFormat="1">
      <c r="B53" s="121"/>
    </row>
    <row r="54" spans="2:13" s="122" customFormat="1">
      <c r="B54" s="121"/>
    </row>
    <row r="55" spans="2:13" s="122" customFormat="1">
      <c r="B55" s="124" t="s">
        <v>261</v>
      </c>
    </row>
    <row r="56" spans="2:13" s="122" customFormat="1">
      <c r="B56" s="124" t="s">
        <v>115</v>
      </c>
    </row>
    <row r="57" spans="2:13" s="122" customFormat="1">
      <c r="B57" s="124" t="s">
        <v>243</v>
      </c>
    </row>
    <row r="58" spans="2:13" s="122" customFormat="1">
      <c r="B58" s="124" t="s">
        <v>251</v>
      </c>
    </row>
    <row r="59" spans="2:13" s="122" customFormat="1">
      <c r="B59" s="121"/>
    </row>
    <row r="60" spans="2:13" s="122" customFormat="1">
      <c r="B60" s="121"/>
    </row>
    <row r="61" spans="2:13" s="122" customFormat="1">
      <c r="B61" s="121"/>
    </row>
    <row r="62" spans="2:13" s="122" customFormat="1">
      <c r="B62" s="121"/>
    </row>
    <row r="63" spans="2:13" s="122" customFormat="1">
      <c r="B63" s="121"/>
    </row>
    <row r="64" spans="2:13" s="122" customFormat="1">
      <c r="B64" s="121"/>
    </row>
    <row r="65" spans="2:2" s="122" customFormat="1">
      <c r="B65" s="121"/>
    </row>
    <row r="66" spans="2:2" s="122" customFormat="1">
      <c r="B66" s="121"/>
    </row>
    <row r="67" spans="2:2" s="122" customFormat="1">
      <c r="B67" s="121"/>
    </row>
    <row r="68" spans="2:2" s="122" customFormat="1">
      <c r="B68" s="121"/>
    </row>
    <row r="69" spans="2:2" s="122" customFormat="1">
      <c r="B69" s="121"/>
    </row>
    <row r="70" spans="2:2" s="122" customFormat="1">
      <c r="B70" s="121"/>
    </row>
    <row r="71" spans="2:2" s="122" customFormat="1">
      <c r="B71" s="121"/>
    </row>
    <row r="72" spans="2:2" s="122" customFormat="1">
      <c r="B72" s="121"/>
    </row>
    <row r="73" spans="2:2" s="122" customFormat="1">
      <c r="B73" s="121"/>
    </row>
    <row r="74" spans="2:2" s="122" customFormat="1">
      <c r="B74" s="121"/>
    </row>
    <row r="75" spans="2:2" s="122" customFormat="1">
      <c r="B75" s="121"/>
    </row>
    <row r="76" spans="2:2" s="122" customFormat="1">
      <c r="B76" s="121"/>
    </row>
    <row r="77" spans="2:2" s="122" customFormat="1">
      <c r="B77" s="121"/>
    </row>
    <row r="78" spans="2:2" s="122" customFormat="1">
      <c r="B78" s="121"/>
    </row>
    <row r="79" spans="2:2" s="122" customFormat="1">
      <c r="B79" s="121"/>
    </row>
    <row r="80" spans="2:2" s="122" customFormat="1">
      <c r="B80" s="121"/>
    </row>
    <row r="81" spans="2:2" s="122" customFormat="1">
      <c r="B81" s="121"/>
    </row>
    <row r="82" spans="2:2" s="122" customFormat="1">
      <c r="B82" s="121"/>
    </row>
    <row r="83" spans="2:2" s="122" customFormat="1">
      <c r="B83" s="121"/>
    </row>
    <row r="84" spans="2:2" s="122" customFormat="1">
      <c r="B84" s="121"/>
    </row>
    <row r="85" spans="2:2" s="122" customFormat="1">
      <c r="B85" s="121"/>
    </row>
    <row r="86" spans="2:2" s="122" customFormat="1">
      <c r="B86" s="121"/>
    </row>
    <row r="87" spans="2:2" s="122" customFormat="1">
      <c r="B87" s="121"/>
    </row>
    <row r="88" spans="2:2" s="122" customFormat="1">
      <c r="B88" s="121"/>
    </row>
    <row r="89" spans="2:2" s="122" customFormat="1">
      <c r="B89" s="121"/>
    </row>
    <row r="90" spans="2:2" s="122" customFormat="1">
      <c r="B90" s="121"/>
    </row>
    <row r="91" spans="2:2" s="122" customFormat="1">
      <c r="B91" s="121"/>
    </row>
    <row r="92" spans="2:2" s="122" customFormat="1">
      <c r="B92" s="121"/>
    </row>
    <row r="93" spans="2:2" s="122" customFormat="1">
      <c r="B93" s="121"/>
    </row>
    <row r="94" spans="2:2" s="122" customFormat="1">
      <c r="B94" s="121"/>
    </row>
    <row r="95" spans="2:2" s="122" customFormat="1">
      <c r="B95" s="121"/>
    </row>
    <row r="96" spans="2:2" s="122" customFormat="1">
      <c r="B96" s="121"/>
    </row>
    <row r="97" spans="2:2" s="122" customFormat="1">
      <c r="B97" s="121"/>
    </row>
    <row r="98" spans="2:2" s="122" customFormat="1">
      <c r="B98" s="121"/>
    </row>
    <row r="99" spans="2:2" s="122" customFormat="1">
      <c r="B99" s="121"/>
    </row>
    <row r="100" spans="2:2" s="122" customFormat="1">
      <c r="B100" s="121"/>
    </row>
    <row r="101" spans="2:2" s="122" customFormat="1">
      <c r="B101" s="121"/>
    </row>
    <row r="102" spans="2:2" s="122" customFormat="1">
      <c r="B102" s="121"/>
    </row>
    <row r="103" spans="2:2" s="122" customFormat="1">
      <c r="B103" s="121"/>
    </row>
    <row r="104" spans="2:2" s="122" customFormat="1">
      <c r="B104" s="121"/>
    </row>
    <row r="105" spans="2:2" s="122" customFormat="1">
      <c r="B105" s="121"/>
    </row>
    <row r="106" spans="2:2" s="122" customFormat="1">
      <c r="B106" s="121"/>
    </row>
    <row r="107" spans="2:2" s="122" customFormat="1">
      <c r="B107" s="121"/>
    </row>
    <row r="108" spans="2:2" s="122" customFormat="1">
      <c r="B108" s="121"/>
    </row>
    <row r="109" spans="2:2" s="122" customFormat="1">
      <c r="B109" s="121"/>
    </row>
    <row r="110" spans="2:2" s="122" customFormat="1">
      <c r="B110" s="121"/>
    </row>
    <row r="111" spans="2:2" s="122" customFormat="1">
      <c r="B111" s="121"/>
    </row>
    <row r="112" spans="2:2" s="122" customFormat="1">
      <c r="B112" s="121"/>
    </row>
    <row r="113" spans="2:2" s="122" customFormat="1">
      <c r="B113" s="121"/>
    </row>
    <row r="114" spans="2:2" s="122" customFormat="1">
      <c r="B114" s="121"/>
    </row>
    <row r="115" spans="2:2" s="122" customFormat="1">
      <c r="B115" s="121"/>
    </row>
    <row r="116" spans="2:2" s="122" customFormat="1">
      <c r="B116" s="121"/>
    </row>
    <row r="117" spans="2:2" s="122" customFormat="1">
      <c r="B117" s="121"/>
    </row>
    <row r="118" spans="2:2" s="122" customFormat="1">
      <c r="B118" s="121"/>
    </row>
    <row r="119" spans="2:2" s="122" customFormat="1">
      <c r="B119" s="121"/>
    </row>
    <row r="120" spans="2:2" s="122" customFormat="1">
      <c r="B120" s="121"/>
    </row>
    <row r="121" spans="2:2" s="122" customFormat="1">
      <c r="B121" s="121"/>
    </row>
    <row r="122" spans="2:2" s="122" customFormat="1">
      <c r="B122" s="121"/>
    </row>
    <row r="123" spans="2:2" s="122" customFormat="1">
      <c r="B123" s="121"/>
    </row>
    <row r="124" spans="2:2" s="122" customFormat="1">
      <c r="B124" s="121"/>
    </row>
    <row r="125" spans="2:2" s="122" customFormat="1">
      <c r="B125" s="121"/>
    </row>
    <row r="126" spans="2:2" s="122" customFormat="1">
      <c r="B126" s="121"/>
    </row>
    <row r="127" spans="2:2" s="122" customFormat="1">
      <c r="B127" s="121"/>
    </row>
    <row r="128" spans="2:2" s="122" customFormat="1">
      <c r="B128" s="121"/>
    </row>
    <row r="129" spans="2:2" s="122" customFormat="1">
      <c r="B129" s="121"/>
    </row>
    <row r="130" spans="2:2" s="122" customFormat="1">
      <c r="B130" s="121"/>
    </row>
    <row r="131" spans="2:2" s="122" customFormat="1">
      <c r="B131" s="121"/>
    </row>
    <row r="132" spans="2:2" s="122" customFormat="1">
      <c r="B132" s="121"/>
    </row>
    <row r="133" spans="2:2" s="122" customFormat="1">
      <c r="B133" s="121"/>
    </row>
    <row r="134" spans="2:2" s="122" customFormat="1">
      <c r="B134" s="121"/>
    </row>
    <row r="135" spans="2:2" s="122" customFormat="1">
      <c r="B135" s="121"/>
    </row>
    <row r="136" spans="2:2" s="122" customFormat="1">
      <c r="B136" s="121"/>
    </row>
    <row r="137" spans="2:2" s="122" customFormat="1">
      <c r="B137" s="121"/>
    </row>
    <row r="138" spans="2:2" s="122" customFormat="1">
      <c r="B138" s="121"/>
    </row>
    <row r="139" spans="2:2" s="122" customFormat="1">
      <c r="B139" s="121"/>
    </row>
    <row r="140" spans="2:2" s="122" customFormat="1">
      <c r="B140" s="121"/>
    </row>
    <row r="141" spans="2:2" s="122" customFormat="1">
      <c r="B141" s="121"/>
    </row>
    <row r="142" spans="2:2" s="122" customFormat="1">
      <c r="B142" s="121"/>
    </row>
    <row r="143" spans="2:2" s="122" customFormat="1">
      <c r="B143" s="121"/>
    </row>
    <row r="144" spans="2:2" s="122" customFormat="1">
      <c r="B144" s="121"/>
    </row>
    <row r="145" spans="2:5" s="122" customFormat="1">
      <c r="B145" s="121"/>
    </row>
    <row r="146" spans="2:5" s="122" customFormat="1">
      <c r="B146" s="121"/>
    </row>
    <row r="147" spans="2:5" s="122" customFormat="1">
      <c r="B147" s="121"/>
    </row>
    <row r="148" spans="2:5" s="122" customFormat="1">
      <c r="B148" s="121"/>
    </row>
    <row r="149" spans="2:5" s="122" customFormat="1">
      <c r="B149" s="121"/>
    </row>
    <row r="150" spans="2:5" s="122" customFormat="1">
      <c r="B150" s="121"/>
    </row>
    <row r="151" spans="2:5" s="122" customFormat="1">
      <c r="B151" s="121"/>
    </row>
    <row r="152" spans="2:5" s="122" customFormat="1">
      <c r="B152" s="121"/>
    </row>
    <row r="153" spans="2:5" s="122" customFormat="1">
      <c r="B153" s="121"/>
    </row>
    <row r="154" spans="2:5" s="122" customFormat="1">
      <c r="B154" s="121"/>
    </row>
    <row r="155" spans="2:5" s="122" customFormat="1">
      <c r="B155" s="121"/>
    </row>
    <row r="156" spans="2:5" s="122" customFormat="1">
      <c r="B156" s="121"/>
    </row>
    <row r="157" spans="2:5" s="122" customFormat="1">
      <c r="B157" s="121"/>
    </row>
    <row r="158" spans="2:5" s="122" customFormat="1">
      <c r="B158" s="121"/>
    </row>
    <row r="159" spans="2:5" s="122" customFormat="1">
      <c r="B159" s="121"/>
    </row>
    <row r="160" spans="2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2"/>
      <c r="C403" s="1"/>
      <c r="D403" s="1"/>
      <c r="E403" s="1"/>
    </row>
    <row r="404" spans="2:5">
      <c r="B404" s="42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Z637"/>
  <sheetViews>
    <sheetView rightToLeft="1" workbookViewId="0">
      <selection activeCell="E18" sqref="E18"/>
    </sheetView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48.425781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1.85546875" style="1" bestFit="1" customWidth="1"/>
    <col min="8" max="8" width="13.140625" style="1" bestFit="1" customWidth="1"/>
    <col min="9" max="9" width="16.140625" style="1" bestFit="1" customWidth="1"/>
    <col min="10" max="10" width="9.140625" style="1" bestFit="1" customWidth="1"/>
    <col min="11" max="11" width="9" style="1" bestFit="1" customWidth="1"/>
    <col min="12" max="13" width="5.7109375" style="1" customWidth="1"/>
    <col min="14" max="16384" width="9.140625" style="1"/>
  </cols>
  <sheetData>
    <row r="1" spans="2:26">
      <c r="B1" s="47" t="s">
        <v>180</v>
      </c>
      <c r="C1" s="68" t="s" vm="1">
        <v>270</v>
      </c>
    </row>
    <row r="2" spans="2:26">
      <c r="B2" s="47" t="s">
        <v>179</v>
      </c>
      <c r="C2" s="68" t="s">
        <v>271</v>
      </c>
    </row>
    <row r="3" spans="2:26">
      <c r="B3" s="47" t="s">
        <v>181</v>
      </c>
      <c r="C3" s="68" t="s">
        <v>272</v>
      </c>
    </row>
    <row r="4" spans="2:26">
      <c r="B4" s="47" t="s">
        <v>182</v>
      </c>
      <c r="C4" s="68">
        <v>2102</v>
      </c>
    </row>
    <row r="6" spans="2:26" ht="26.25" customHeight="1">
      <c r="B6" s="163" t="s">
        <v>211</v>
      </c>
      <c r="C6" s="164"/>
      <c r="D6" s="164"/>
      <c r="E6" s="164"/>
      <c r="F6" s="164"/>
      <c r="G6" s="164"/>
      <c r="H6" s="164"/>
      <c r="I6" s="164"/>
      <c r="J6" s="164"/>
      <c r="K6" s="165"/>
    </row>
    <row r="7" spans="2:26" ht="26.25" customHeight="1">
      <c r="B7" s="163" t="s">
        <v>101</v>
      </c>
      <c r="C7" s="164"/>
      <c r="D7" s="164"/>
      <c r="E7" s="164"/>
      <c r="F7" s="164"/>
      <c r="G7" s="164"/>
      <c r="H7" s="164"/>
      <c r="I7" s="164"/>
      <c r="J7" s="164"/>
      <c r="K7" s="165"/>
    </row>
    <row r="8" spans="2:26" s="3" customFormat="1" ht="78.75">
      <c r="B8" s="22" t="s">
        <v>119</v>
      </c>
      <c r="C8" s="30" t="s">
        <v>47</v>
      </c>
      <c r="D8" s="30" t="s">
        <v>106</v>
      </c>
      <c r="E8" s="30" t="s">
        <v>107</v>
      </c>
      <c r="F8" s="30" t="s">
        <v>245</v>
      </c>
      <c r="G8" s="30" t="s">
        <v>244</v>
      </c>
      <c r="H8" s="30" t="s">
        <v>114</v>
      </c>
      <c r="I8" s="30" t="s">
        <v>61</v>
      </c>
      <c r="J8" s="30" t="s">
        <v>183</v>
      </c>
      <c r="K8" s="31" t="s">
        <v>185</v>
      </c>
      <c r="Z8" s="1"/>
    </row>
    <row r="9" spans="2:26" s="3" customFormat="1" ht="21" customHeight="1">
      <c r="B9" s="15"/>
      <c r="C9" s="16"/>
      <c r="D9" s="16"/>
      <c r="E9" s="32" t="s">
        <v>21</v>
      </c>
      <c r="F9" s="32" t="s">
        <v>252</v>
      </c>
      <c r="G9" s="32"/>
      <c r="H9" s="32" t="s">
        <v>248</v>
      </c>
      <c r="I9" s="32" t="s">
        <v>19</v>
      </c>
      <c r="J9" s="32" t="s">
        <v>19</v>
      </c>
      <c r="K9" s="33" t="s">
        <v>19</v>
      </c>
      <c r="Z9" s="1"/>
    </row>
    <row r="10" spans="2:26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Z10" s="1"/>
    </row>
    <row r="11" spans="2:26" s="123" customFormat="1" ht="18" customHeight="1">
      <c r="B11" s="69" t="s">
        <v>2247</v>
      </c>
      <c r="C11" s="70"/>
      <c r="D11" s="70"/>
      <c r="E11" s="70"/>
      <c r="F11" s="78"/>
      <c r="G11" s="80"/>
      <c r="H11" s="78">
        <v>3585619.4330500001</v>
      </c>
      <c r="I11" s="70"/>
      <c r="J11" s="79">
        <f>H11/$H$11</f>
        <v>1</v>
      </c>
      <c r="K11" s="79">
        <f>H11/'סכום נכסי הקרן'!$C$42</f>
        <v>6.8833679952041565E-2</v>
      </c>
      <c r="Z11" s="122"/>
    </row>
    <row r="12" spans="2:26" s="122" customFormat="1" ht="21" customHeight="1">
      <c r="B12" s="71" t="s">
        <v>2248</v>
      </c>
      <c r="C12" s="72"/>
      <c r="D12" s="72"/>
      <c r="E12" s="72"/>
      <c r="F12" s="81"/>
      <c r="G12" s="83"/>
      <c r="H12" s="81">
        <v>456403.93381999998</v>
      </c>
      <c r="I12" s="72"/>
      <c r="J12" s="82">
        <f t="shared" ref="J12:J23" si="0">H12/$H$11</f>
        <v>0.12728733273061654</v>
      </c>
      <c r="K12" s="82">
        <f>H12/'סכום נכסי הקרן'!$C$42</f>
        <v>8.7616555231282839E-3</v>
      </c>
    </row>
    <row r="13" spans="2:26" s="122" customFormat="1">
      <c r="B13" s="92" t="s">
        <v>232</v>
      </c>
      <c r="C13" s="72"/>
      <c r="D13" s="72"/>
      <c r="E13" s="72"/>
      <c r="F13" s="81"/>
      <c r="G13" s="83"/>
      <c r="H13" s="81">
        <v>98629.334849999999</v>
      </c>
      <c r="I13" s="72"/>
      <c r="J13" s="82">
        <f t="shared" si="0"/>
        <v>2.7506916640649703E-2</v>
      </c>
      <c r="K13" s="82">
        <f>H13/'סכום נכסי הקרן'!$C$42</f>
        <v>1.893402296509968E-3</v>
      </c>
    </row>
    <row r="14" spans="2:26" s="122" customFormat="1">
      <c r="B14" s="77" t="s">
        <v>2249</v>
      </c>
      <c r="C14" s="74">
        <v>5224</v>
      </c>
      <c r="D14" s="87" t="s">
        <v>164</v>
      </c>
      <c r="E14" s="97">
        <v>40802</v>
      </c>
      <c r="F14" s="84">
        <v>6561947.2999999998</v>
      </c>
      <c r="G14" s="86">
        <v>178.3416</v>
      </c>
      <c r="H14" s="84">
        <v>41720.060649999999</v>
      </c>
      <c r="I14" s="85">
        <v>0.10290296354158364</v>
      </c>
      <c r="J14" s="85">
        <f t="shared" si="0"/>
        <v>1.1635384465359191E-2</v>
      </c>
      <c r="K14" s="85">
        <f>H14/'סכום נכסי הקרן'!$C$42</f>
        <v>8.0090633040749086E-4</v>
      </c>
    </row>
    <row r="15" spans="2:26" s="122" customFormat="1">
      <c r="B15" s="77" t="s">
        <v>2250</v>
      </c>
      <c r="C15" s="74">
        <v>7034</v>
      </c>
      <c r="D15" s="87" t="s">
        <v>164</v>
      </c>
      <c r="E15" s="97">
        <v>43906</v>
      </c>
      <c r="F15" s="84">
        <v>582983.25</v>
      </c>
      <c r="G15" s="86">
        <v>100</v>
      </c>
      <c r="H15" s="84">
        <v>2078.33529</v>
      </c>
      <c r="I15" s="85">
        <v>0.10696941680048438</v>
      </c>
      <c r="J15" s="85">
        <f t="shared" si="0"/>
        <v>5.7963075245610386E-4</v>
      </c>
      <c r="K15" s="85">
        <f>H15/'סכום נכסי הקרן'!$C$42</f>
        <v>3.9898117704924485E-5</v>
      </c>
    </row>
    <row r="16" spans="2:26" s="122" customFormat="1">
      <c r="B16" s="77" t="s">
        <v>2251</v>
      </c>
      <c r="C16" s="74">
        <v>5039</v>
      </c>
      <c r="D16" s="87" t="s">
        <v>164</v>
      </c>
      <c r="E16" s="97">
        <v>39182</v>
      </c>
      <c r="F16" s="84">
        <v>3512431</v>
      </c>
      <c r="G16" s="86">
        <v>132.40790000000001</v>
      </c>
      <c r="H16" s="84">
        <v>16579.874299999999</v>
      </c>
      <c r="I16" s="85">
        <v>2.0100502512562814E-2</v>
      </c>
      <c r="J16" s="85">
        <f t="shared" si="0"/>
        <v>4.6239916448402403E-3</v>
      </c>
      <c r="K16" s="85">
        <f>H16/'סכום נכסי הקרן'!$C$42</f>
        <v>3.1828636098184737E-4</v>
      </c>
    </row>
    <row r="17" spans="2:11" s="122" customFormat="1">
      <c r="B17" s="77" t="s">
        <v>2252</v>
      </c>
      <c r="C17" s="74">
        <v>5028</v>
      </c>
      <c r="D17" s="87" t="s">
        <v>164</v>
      </c>
      <c r="E17" s="97">
        <v>39349</v>
      </c>
      <c r="F17" s="84">
        <v>1669667.85</v>
      </c>
      <c r="G17" s="86">
        <v>147.44739999999999</v>
      </c>
      <c r="H17" s="84">
        <v>8776.6087200000002</v>
      </c>
      <c r="I17" s="85">
        <v>0.1</v>
      </c>
      <c r="J17" s="85">
        <f t="shared" si="0"/>
        <v>2.4477245518871029E-3</v>
      </c>
      <c r="K17" s="85">
        <f>H17/'סכום נכסי הקרן'!$C$42</f>
        <v>1.6848588841535122E-4</v>
      </c>
    </row>
    <row r="18" spans="2:11" s="122" customFormat="1">
      <c r="B18" s="77" t="s">
        <v>2253</v>
      </c>
      <c r="C18" s="74">
        <v>5074</v>
      </c>
      <c r="D18" s="87" t="s">
        <v>164</v>
      </c>
      <c r="E18" s="97">
        <v>38925</v>
      </c>
      <c r="F18" s="84">
        <v>1220443</v>
      </c>
      <c r="G18" s="86">
        <v>19.894400000000001</v>
      </c>
      <c r="H18" s="84">
        <v>865.58132000000001</v>
      </c>
      <c r="I18" s="85">
        <v>1.7623785060317403E-2</v>
      </c>
      <c r="J18" s="85">
        <f t="shared" si="0"/>
        <v>2.4140356670917501E-4</v>
      </c>
      <c r="K18" s="85">
        <f>H18/'סכום נכסי הקרן'!$C$42</f>
        <v>1.661669585014067E-5</v>
      </c>
    </row>
    <row r="19" spans="2:11" s="122" customFormat="1">
      <c r="B19" s="77" t="s">
        <v>2254</v>
      </c>
      <c r="C19" s="74">
        <v>5277</v>
      </c>
      <c r="D19" s="87" t="s">
        <v>164</v>
      </c>
      <c r="E19" s="97">
        <v>42545</v>
      </c>
      <c r="F19" s="84">
        <v>3904997.05</v>
      </c>
      <c r="G19" s="86">
        <v>137.30090000000001</v>
      </c>
      <c r="H19" s="84">
        <v>19114.090059999999</v>
      </c>
      <c r="I19" s="85">
        <v>3.1649999999999998E-2</v>
      </c>
      <c r="J19" s="85">
        <f t="shared" si="0"/>
        <v>5.3307637402392055E-3</v>
      </c>
      <c r="K19" s="85">
        <f>H19/'סכום נכסי הקרן'!$C$42</f>
        <v>3.6693608519557352E-4</v>
      </c>
    </row>
    <row r="20" spans="2:11" s="122" customFormat="1">
      <c r="B20" s="77" t="s">
        <v>2255</v>
      </c>
      <c r="C20" s="74">
        <v>5123</v>
      </c>
      <c r="D20" s="87" t="s">
        <v>164</v>
      </c>
      <c r="E20" s="97">
        <v>40668</v>
      </c>
      <c r="F20" s="84">
        <v>2017858.48</v>
      </c>
      <c r="G20" s="86">
        <v>80.440200000000004</v>
      </c>
      <c r="H20" s="84">
        <v>5786.5989099999997</v>
      </c>
      <c r="I20" s="85">
        <v>9.45945945945946E-3</v>
      </c>
      <c r="J20" s="85">
        <f t="shared" si="0"/>
        <v>1.6138352153780588E-3</v>
      </c>
      <c r="K20" s="85">
        <f>H20/'סכום נכסי הקרן'!$C$42</f>
        <v>1.1108621671066737E-4</v>
      </c>
    </row>
    <row r="21" spans="2:11" s="122" customFormat="1">
      <c r="B21" s="77" t="s">
        <v>2256</v>
      </c>
      <c r="C21" s="74">
        <v>2162</v>
      </c>
      <c r="D21" s="87" t="s">
        <v>164</v>
      </c>
      <c r="E21" s="97">
        <v>38495</v>
      </c>
      <c r="F21" s="84">
        <v>895491</v>
      </c>
      <c r="G21" s="86">
        <v>1.4927999999999999</v>
      </c>
      <c r="H21" s="84">
        <v>47.656529999999997</v>
      </c>
      <c r="I21" s="85">
        <v>5.7574501404817832E-3</v>
      </c>
      <c r="J21" s="85">
        <f t="shared" si="0"/>
        <v>1.3291017323459336E-5</v>
      </c>
      <c r="K21" s="85">
        <f>H21/'סכום נכסי הקרן'!$C$42</f>
        <v>9.1486963268004016E-7</v>
      </c>
    </row>
    <row r="22" spans="2:11" s="122" customFormat="1" ht="16.5" customHeight="1">
      <c r="B22" s="77" t="s">
        <v>2257</v>
      </c>
      <c r="C22" s="74">
        <v>5226</v>
      </c>
      <c r="D22" s="87" t="s">
        <v>165</v>
      </c>
      <c r="E22" s="97">
        <v>40941</v>
      </c>
      <c r="F22" s="84">
        <v>4121545.73</v>
      </c>
      <c r="G22" s="86">
        <v>76.867199999999997</v>
      </c>
      <c r="H22" s="84">
        <v>3168.1167999999998</v>
      </c>
      <c r="I22" s="85">
        <v>6.4444439999999992E-2</v>
      </c>
      <c r="J22" s="85">
        <f t="shared" si="0"/>
        <v>8.8356192260625273E-4</v>
      </c>
      <c r="K22" s="85">
        <f>H22/'סכום נכסי הקרן'!$C$42</f>
        <v>6.081881859848932E-5</v>
      </c>
    </row>
    <row r="23" spans="2:11" s="122" customFormat="1" ht="16.5" customHeight="1">
      <c r="B23" s="77" t="s">
        <v>2258</v>
      </c>
      <c r="C23" s="74">
        <v>5260</v>
      </c>
      <c r="D23" s="87" t="s">
        <v>165</v>
      </c>
      <c r="E23" s="97">
        <v>42295</v>
      </c>
      <c r="F23" s="84">
        <v>619837.93999999994</v>
      </c>
      <c r="G23" s="86">
        <v>79.442099999999996</v>
      </c>
      <c r="H23" s="84">
        <v>492.41227000000003</v>
      </c>
      <c r="I23" s="85">
        <v>6.4444439999999992E-2</v>
      </c>
      <c r="J23" s="85">
        <f t="shared" si="0"/>
        <v>1.3732976385091272E-4</v>
      </c>
      <c r="K23" s="85">
        <f>H23/'סכום נכסי הקרן'!$C$42</f>
        <v>9.4529130128031735E-6</v>
      </c>
    </row>
    <row r="24" spans="2:11" s="122" customFormat="1" ht="16.5" customHeight="1">
      <c r="B24" s="73"/>
      <c r="C24" s="74"/>
      <c r="D24" s="74"/>
      <c r="E24" s="74"/>
      <c r="F24" s="84"/>
      <c r="G24" s="86"/>
      <c r="H24" s="74"/>
      <c r="I24" s="74"/>
      <c r="J24" s="85"/>
      <c r="K24" s="74"/>
    </row>
    <row r="25" spans="2:11" s="122" customFormat="1">
      <c r="B25" s="92" t="s">
        <v>235</v>
      </c>
      <c r="C25" s="74"/>
      <c r="D25" s="74"/>
      <c r="E25" s="74"/>
      <c r="F25" s="84"/>
      <c r="G25" s="86"/>
      <c r="H25" s="84">
        <v>38392.778969999999</v>
      </c>
      <c r="I25" s="74"/>
      <c r="J25" s="85">
        <f t="shared" ref="J25:J27" si="1">H25/$H$11</f>
        <v>1.070743275656065E-2</v>
      </c>
      <c r="K25" s="85">
        <f>H25/'סכום נכסי הקרן'!$C$42</f>
        <v>7.3703199947310202E-4</v>
      </c>
    </row>
    <row r="26" spans="2:11" s="122" customFormat="1">
      <c r="B26" s="77" t="s">
        <v>2259</v>
      </c>
      <c r="C26" s="74">
        <v>5265</v>
      </c>
      <c r="D26" s="87" t="s">
        <v>165</v>
      </c>
      <c r="E26" s="97">
        <v>42185</v>
      </c>
      <c r="F26" s="84">
        <v>31274844.620000001</v>
      </c>
      <c r="G26" s="86">
        <v>104.9378</v>
      </c>
      <c r="H26" s="84">
        <v>32819.133889999997</v>
      </c>
      <c r="I26" s="85">
        <v>5.1162790697674418E-2</v>
      </c>
      <c r="J26" s="85">
        <f t="shared" si="1"/>
        <v>9.1529886265936996E-3</v>
      </c>
      <c r="K26" s="85">
        <f>H26/'סכום נכסי הקרן'!$C$42</f>
        <v>6.3003388972762719E-4</v>
      </c>
    </row>
    <row r="27" spans="2:11" s="122" customFormat="1">
      <c r="B27" s="77" t="s">
        <v>2260</v>
      </c>
      <c r="C27" s="74">
        <v>7004</v>
      </c>
      <c r="D27" s="87" t="s">
        <v>165</v>
      </c>
      <c r="E27" s="97">
        <v>43614</v>
      </c>
      <c r="F27" s="84">
        <v>8481580.3399999999</v>
      </c>
      <c r="G27" s="86">
        <v>65.714699999999993</v>
      </c>
      <c r="H27" s="84">
        <v>5573.6450800000002</v>
      </c>
      <c r="I27" s="85">
        <v>7.3064183033333341E-2</v>
      </c>
      <c r="J27" s="85">
        <f t="shared" si="1"/>
        <v>1.5544441299669511E-3</v>
      </c>
      <c r="K27" s="85">
        <f>H27/'סכום נכסי הקרן'!$C$42</f>
        <v>1.0699810974547483E-4</v>
      </c>
    </row>
    <row r="28" spans="2:11" s="122" customFormat="1">
      <c r="B28" s="73"/>
      <c r="C28" s="74"/>
      <c r="D28" s="74"/>
      <c r="E28" s="74"/>
      <c r="F28" s="84"/>
      <c r="G28" s="86"/>
      <c r="H28" s="74"/>
      <c r="I28" s="74"/>
      <c r="J28" s="85"/>
      <c r="K28" s="74"/>
    </row>
    <row r="29" spans="2:11" s="122" customFormat="1">
      <c r="B29" s="92" t="s">
        <v>236</v>
      </c>
      <c r="C29" s="72"/>
      <c r="D29" s="72"/>
      <c r="E29" s="72"/>
      <c r="F29" s="81"/>
      <c r="G29" s="83"/>
      <c r="H29" s="81">
        <v>319381.82</v>
      </c>
      <c r="I29" s="72"/>
      <c r="J29" s="82">
        <f t="shared" ref="J29:J57" si="2">H29/$H$11</f>
        <v>8.9072983333406186E-2</v>
      </c>
      <c r="K29" s="82">
        <f>H29/'סכום נכסי הקרן'!$C$42</f>
        <v>6.1312212271452142E-3</v>
      </c>
    </row>
    <row r="30" spans="2:11" s="122" customFormat="1">
      <c r="B30" s="77" t="s">
        <v>2261</v>
      </c>
      <c r="C30" s="74">
        <v>5271</v>
      </c>
      <c r="D30" s="87" t="s">
        <v>164</v>
      </c>
      <c r="E30" s="97">
        <v>42368</v>
      </c>
      <c r="F30" s="84">
        <v>9004610.5600000005</v>
      </c>
      <c r="G30" s="86">
        <v>91.6751</v>
      </c>
      <c r="H30" s="84">
        <v>29429.024160000001</v>
      </c>
      <c r="I30" s="85">
        <v>9.7020626432391135E-2</v>
      </c>
      <c r="J30" s="85">
        <f t="shared" si="2"/>
        <v>8.2075146873484793E-3</v>
      </c>
      <c r="K30" s="85">
        <f>H30/'סכום נכסי הקרן'!$C$42</f>
        <v>5.6495343919062569E-4</v>
      </c>
    </row>
    <row r="31" spans="2:11" s="122" customFormat="1">
      <c r="B31" s="77" t="s">
        <v>2262</v>
      </c>
      <c r="C31" s="74">
        <v>5272</v>
      </c>
      <c r="D31" s="87" t="s">
        <v>164</v>
      </c>
      <c r="E31" s="97">
        <v>42572</v>
      </c>
      <c r="F31" s="84">
        <v>6074546.0899999999</v>
      </c>
      <c r="G31" s="86">
        <v>117.745</v>
      </c>
      <c r="H31" s="84">
        <v>25498.57084</v>
      </c>
      <c r="I31" s="85">
        <v>1.1681818181818182E-2</v>
      </c>
      <c r="J31" s="85">
        <f t="shared" si="2"/>
        <v>7.1113433302402657E-3</v>
      </c>
      <c r="K31" s="85">
        <f>H31/'סכום נכסי הקרן'!$C$42</f>
        <v>4.8949993082284384E-4</v>
      </c>
    </row>
    <row r="32" spans="2:11" s="122" customFormat="1">
      <c r="B32" s="77" t="s">
        <v>2263</v>
      </c>
      <c r="C32" s="74">
        <v>5072</v>
      </c>
      <c r="D32" s="87" t="s">
        <v>164</v>
      </c>
      <c r="E32" s="97">
        <v>38644</v>
      </c>
      <c r="F32" s="84">
        <v>1938383</v>
      </c>
      <c r="G32" s="86">
        <v>21.465199999999999</v>
      </c>
      <c r="H32" s="84">
        <v>1483.3173200000001</v>
      </c>
      <c r="I32" s="85">
        <v>1.3644705513143262E-2</v>
      </c>
      <c r="J32" s="85">
        <f t="shared" si="2"/>
        <v>4.1368509617270246E-4</v>
      </c>
      <c r="K32" s="85">
        <f>H32/'סכום נכסי הקרן'!$C$42</f>
        <v>2.8475467510881337E-5</v>
      </c>
    </row>
    <row r="33" spans="2:11" s="122" customFormat="1">
      <c r="B33" s="77" t="s">
        <v>2264</v>
      </c>
      <c r="C33" s="74">
        <v>5084</v>
      </c>
      <c r="D33" s="87" t="s">
        <v>164</v>
      </c>
      <c r="E33" s="97">
        <v>39456</v>
      </c>
      <c r="F33" s="84">
        <v>2430946</v>
      </c>
      <c r="G33" s="86">
        <v>32.049199999999999</v>
      </c>
      <c r="H33" s="84">
        <v>2777.48704</v>
      </c>
      <c r="I33" s="85">
        <v>5.8964002476488107E-3</v>
      </c>
      <c r="J33" s="85">
        <f t="shared" si="2"/>
        <v>7.7461847021433993E-4</v>
      </c>
      <c r="K33" s="85">
        <f>H33/'סכום נכסי הקרן'!$C$42</f>
        <v>5.3319839863673923E-5</v>
      </c>
    </row>
    <row r="34" spans="2:11" s="122" customFormat="1">
      <c r="B34" s="77" t="s">
        <v>2265</v>
      </c>
      <c r="C34" s="74">
        <v>5099</v>
      </c>
      <c r="D34" s="87" t="s">
        <v>164</v>
      </c>
      <c r="E34" s="97">
        <v>39762</v>
      </c>
      <c r="F34" s="84">
        <v>3720536.41</v>
      </c>
      <c r="G34" s="86">
        <v>79.025099999999995</v>
      </c>
      <c r="H34" s="84">
        <v>10481.66192</v>
      </c>
      <c r="I34" s="85">
        <v>4.5509570662710365E-2</v>
      </c>
      <c r="J34" s="85">
        <f t="shared" si="2"/>
        <v>2.9232499755513898E-3</v>
      </c>
      <c r="K34" s="85">
        <f>H34/'סכום נכסי הקרן'!$C$42</f>
        <v>2.0121805323691769E-4</v>
      </c>
    </row>
    <row r="35" spans="2:11" s="122" customFormat="1">
      <c r="B35" s="77" t="s">
        <v>2266</v>
      </c>
      <c r="C35" s="74">
        <v>5228</v>
      </c>
      <c r="D35" s="87" t="s">
        <v>164</v>
      </c>
      <c r="E35" s="97">
        <v>41086</v>
      </c>
      <c r="F35" s="84">
        <v>3151575.98</v>
      </c>
      <c r="G35" s="86">
        <v>116.0997</v>
      </c>
      <c r="H35" s="84">
        <v>13044.228949999999</v>
      </c>
      <c r="I35" s="85">
        <v>1.1320754716981131E-2</v>
      </c>
      <c r="J35" s="85">
        <f t="shared" si="2"/>
        <v>3.6379290087973208E-3</v>
      </c>
      <c r="K35" s="85">
        <f>H35/'סכום נכסי הקרן'!$C$42</f>
        <v>2.5041204107980263E-4</v>
      </c>
    </row>
    <row r="36" spans="2:11" s="122" customFormat="1">
      <c r="B36" s="77" t="s">
        <v>2267</v>
      </c>
      <c r="C36" s="74" t="s">
        <v>2268</v>
      </c>
      <c r="D36" s="87" t="s">
        <v>164</v>
      </c>
      <c r="E36" s="97">
        <v>41508</v>
      </c>
      <c r="F36" s="84">
        <v>1925000</v>
      </c>
      <c r="G36" s="86">
        <v>23.066800000000001</v>
      </c>
      <c r="H36" s="84">
        <v>1582.9879799999999</v>
      </c>
      <c r="I36" s="85">
        <v>6.3969703948210124E-2</v>
      </c>
      <c r="J36" s="85">
        <f t="shared" si="2"/>
        <v>4.4148242990011864E-4</v>
      </c>
      <c r="K36" s="85">
        <f>H36/'סכום נכסי הקרן'!$C$42</f>
        <v>3.0388860284194394E-5</v>
      </c>
    </row>
    <row r="37" spans="2:11" s="122" customFormat="1">
      <c r="B37" s="77" t="s">
        <v>2269</v>
      </c>
      <c r="C37" s="74">
        <v>5323</v>
      </c>
      <c r="D37" s="87" t="s">
        <v>165</v>
      </c>
      <c r="E37" s="97">
        <v>43191</v>
      </c>
      <c r="F37" s="84">
        <v>616.26</v>
      </c>
      <c r="G37" s="86">
        <v>1583640.539077</v>
      </c>
      <c r="H37" s="84">
        <v>9759.3368499999997</v>
      </c>
      <c r="I37" s="85">
        <v>7.7928790624999994E-2</v>
      </c>
      <c r="J37" s="85">
        <f t="shared" si="2"/>
        <v>2.7217994079473491E-3</v>
      </c>
      <c r="K37" s="85">
        <f>H37/'סכום נכסי הקרן'!$C$42</f>
        <v>1.8735146934030405E-4</v>
      </c>
    </row>
    <row r="38" spans="2:11" s="122" customFormat="1">
      <c r="B38" s="77" t="s">
        <v>2270</v>
      </c>
      <c r="C38" s="74">
        <v>6662</v>
      </c>
      <c r="D38" s="87" t="s">
        <v>164</v>
      </c>
      <c r="E38" s="97">
        <v>40583</v>
      </c>
      <c r="F38" s="84">
        <v>109596.3</v>
      </c>
      <c r="G38" s="86">
        <v>7.5505000000000004</v>
      </c>
      <c r="H38" s="84">
        <v>29.500619999999998</v>
      </c>
      <c r="I38" s="85">
        <v>4.7650550347826087E-2</v>
      </c>
      <c r="J38" s="85">
        <f t="shared" si="2"/>
        <v>8.2274821828780025E-6</v>
      </c>
      <c r="K38" s="85">
        <f>H38/'סכום נכסי הקרן'!$C$42</f>
        <v>5.6632787538734868E-7</v>
      </c>
    </row>
    <row r="39" spans="2:11" s="122" customFormat="1">
      <c r="B39" s="77" t="s">
        <v>2271</v>
      </c>
      <c r="C39" s="74">
        <v>5322</v>
      </c>
      <c r="D39" s="87" t="s">
        <v>166</v>
      </c>
      <c r="E39" s="97">
        <v>43191</v>
      </c>
      <c r="F39" s="84">
        <v>6554610.3499999996</v>
      </c>
      <c r="G39" s="86">
        <v>218.12029999999999</v>
      </c>
      <c r="H39" s="84">
        <v>55762.33855</v>
      </c>
      <c r="I39" s="85">
        <v>7.2895585919999992E-2</v>
      </c>
      <c r="J39" s="85">
        <f t="shared" si="2"/>
        <v>1.555166118189164E-2</v>
      </c>
      <c r="K39" s="85">
        <f>H39/'סכום נכסי הקרן'!$C$42</f>
        <v>1.0704780685169178E-3</v>
      </c>
    </row>
    <row r="40" spans="2:11" s="122" customFormat="1">
      <c r="B40" s="77" t="s">
        <v>2272</v>
      </c>
      <c r="C40" s="74">
        <v>5259</v>
      </c>
      <c r="D40" s="87" t="s">
        <v>165</v>
      </c>
      <c r="E40" s="97">
        <v>42094</v>
      </c>
      <c r="F40" s="84">
        <v>18368518.879999999</v>
      </c>
      <c r="G40" s="86">
        <v>101.9207</v>
      </c>
      <c r="H40" s="84">
        <v>18721.32302</v>
      </c>
      <c r="I40" s="85">
        <v>2.5336755999999998E-2</v>
      </c>
      <c r="J40" s="85">
        <f t="shared" si="2"/>
        <v>5.2212242178962271E-3</v>
      </c>
      <c r="K40" s="85">
        <f>H40/'סכום נכסי הקרן'!$C$42</f>
        <v>3.5939607677251743E-4</v>
      </c>
    </row>
    <row r="41" spans="2:11" s="122" customFormat="1">
      <c r="B41" s="77" t="s">
        <v>2273</v>
      </c>
      <c r="C41" s="74">
        <v>5279</v>
      </c>
      <c r="D41" s="87" t="s">
        <v>165</v>
      </c>
      <c r="E41" s="97">
        <v>42589</v>
      </c>
      <c r="F41" s="84">
        <v>14464532.439999999</v>
      </c>
      <c r="G41" s="86">
        <v>105.4592</v>
      </c>
      <c r="H41" s="84">
        <v>15254.180199999999</v>
      </c>
      <c r="I41" s="85">
        <v>3.2386492489951339E-2</v>
      </c>
      <c r="J41" s="85">
        <f t="shared" si="2"/>
        <v>4.2542663784662961E-3</v>
      </c>
      <c r="K41" s="85">
        <f>H41/'סכום נכסי הקרן'!$C$42</f>
        <v>2.9283681032607999E-4</v>
      </c>
    </row>
    <row r="42" spans="2:11" s="122" customFormat="1">
      <c r="B42" s="77" t="s">
        <v>2274</v>
      </c>
      <c r="C42" s="74">
        <v>7044</v>
      </c>
      <c r="D42" s="87" t="s">
        <v>164</v>
      </c>
      <c r="E42" s="97">
        <v>43920</v>
      </c>
      <c r="F42" s="84">
        <v>27778.97</v>
      </c>
      <c r="G42" s="86">
        <v>100</v>
      </c>
      <c r="H42" s="84">
        <v>99.032029999999992</v>
      </c>
      <c r="I42" s="85">
        <v>4.62991675E-3</v>
      </c>
      <c r="J42" s="85">
        <f t="shared" si="2"/>
        <v>2.7619225031854917E-5</v>
      </c>
      <c r="K42" s="85">
        <f>H42/'סכום נכסי הקרן'!$C$42</f>
        <v>1.9011328963661162E-6</v>
      </c>
    </row>
    <row r="43" spans="2:11" s="122" customFormat="1">
      <c r="B43" s="77" t="s">
        <v>2275</v>
      </c>
      <c r="C43" s="74">
        <v>5067</v>
      </c>
      <c r="D43" s="87" t="s">
        <v>164</v>
      </c>
      <c r="E43" s="97">
        <v>38727</v>
      </c>
      <c r="F43" s="84">
        <v>2149426.58</v>
      </c>
      <c r="G43" s="86">
        <v>34.614899999999999</v>
      </c>
      <c r="H43" s="84">
        <v>2652.4379300000001</v>
      </c>
      <c r="I43" s="85">
        <v>5.4199562790193494E-2</v>
      </c>
      <c r="J43" s="85">
        <f t="shared" si="2"/>
        <v>7.3974329387873239E-4</v>
      </c>
      <c r="K43" s="85">
        <f>H43/'סכום נכסי הקרן'!$C$42</f>
        <v>5.0919253137517693E-5</v>
      </c>
    </row>
    <row r="44" spans="2:11" s="122" customFormat="1">
      <c r="B44" s="77" t="s">
        <v>2276</v>
      </c>
      <c r="C44" s="74">
        <v>5081</v>
      </c>
      <c r="D44" s="87" t="s">
        <v>164</v>
      </c>
      <c r="E44" s="97">
        <v>39379</v>
      </c>
      <c r="F44" s="84">
        <v>3039184</v>
      </c>
      <c r="G44" s="86">
        <v>33.196300000000001</v>
      </c>
      <c r="H44" s="84">
        <v>3596.7165199999999</v>
      </c>
      <c r="I44" s="85">
        <v>2.5000000000000001E-2</v>
      </c>
      <c r="J44" s="85">
        <f t="shared" si="2"/>
        <v>1.0030948869943401E-3</v>
      </c>
      <c r="K44" s="85">
        <f>H44/'סכום נכסי הקרן'!$C$42</f>
        <v>6.904671241289772E-5</v>
      </c>
    </row>
    <row r="45" spans="2:11" s="122" customFormat="1">
      <c r="B45" s="77" t="s">
        <v>2277</v>
      </c>
      <c r="C45" s="74">
        <v>5078</v>
      </c>
      <c r="D45" s="87" t="s">
        <v>164</v>
      </c>
      <c r="E45" s="97">
        <v>39080</v>
      </c>
      <c r="F45" s="84">
        <v>7462294.5599999996</v>
      </c>
      <c r="G45" s="86">
        <v>42.753500000000003</v>
      </c>
      <c r="H45" s="84">
        <v>11373.74784</v>
      </c>
      <c r="I45" s="85">
        <v>8.5387029288702926E-2</v>
      </c>
      <c r="J45" s="85">
        <f t="shared" si="2"/>
        <v>3.1720454589139876E-3</v>
      </c>
      <c r="K45" s="85">
        <f>H45/'סכום נכסי הקרן'!$C$42</f>
        <v>2.1834356191221226E-4</v>
      </c>
    </row>
    <row r="46" spans="2:11" s="122" customFormat="1">
      <c r="B46" s="77" t="s">
        <v>2278</v>
      </c>
      <c r="C46" s="74">
        <v>5289</v>
      </c>
      <c r="D46" s="87" t="s">
        <v>164</v>
      </c>
      <c r="E46" s="97">
        <v>42747</v>
      </c>
      <c r="F46" s="84">
        <v>5594824.5999999996</v>
      </c>
      <c r="G46" s="86">
        <v>99.918199999999999</v>
      </c>
      <c r="H46" s="84">
        <v>19929.234230000002</v>
      </c>
      <c r="I46" s="85">
        <v>4.8904761904761902E-2</v>
      </c>
      <c r="J46" s="85">
        <f t="shared" si="2"/>
        <v>5.5581007973977302E-3</v>
      </c>
      <c r="K46" s="85">
        <f>H46/'סכום נכסי הקרן'!$C$42</f>
        <v>3.8258453142926235E-4</v>
      </c>
    </row>
    <row r="47" spans="2:11" s="122" customFormat="1">
      <c r="B47" s="77" t="s">
        <v>2279</v>
      </c>
      <c r="C47" s="74">
        <v>5230</v>
      </c>
      <c r="D47" s="87" t="s">
        <v>164</v>
      </c>
      <c r="E47" s="97">
        <v>40372</v>
      </c>
      <c r="F47" s="84">
        <v>4476766.5999999996</v>
      </c>
      <c r="G47" s="86">
        <v>94.513300000000001</v>
      </c>
      <c r="H47" s="84">
        <v>15084.01353</v>
      </c>
      <c r="I47" s="85">
        <v>4.573170731707317E-2</v>
      </c>
      <c r="J47" s="85">
        <f t="shared" si="2"/>
        <v>4.206808282821369E-3</v>
      </c>
      <c r="K47" s="85">
        <f>H47/'סכום נכסי הקרן'!$C$42</f>
        <v>2.8957009495932367E-4</v>
      </c>
    </row>
    <row r="48" spans="2:11" s="122" customFormat="1">
      <c r="B48" s="77" t="s">
        <v>2280</v>
      </c>
      <c r="C48" s="74">
        <v>5049</v>
      </c>
      <c r="D48" s="87" t="s">
        <v>164</v>
      </c>
      <c r="E48" s="97">
        <v>38721</v>
      </c>
      <c r="F48" s="84">
        <v>1313941.82</v>
      </c>
      <c r="G48" s="86">
        <v>1E-4</v>
      </c>
      <c r="H48" s="84">
        <v>4.6699999999999997E-3</v>
      </c>
      <c r="I48" s="85">
        <v>2.2484587837064411E-2</v>
      </c>
      <c r="J48" s="85">
        <f t="shared" si="2"/>
        <v>1.3024248912070414E-9</v>
      </c>
      <c r="K48" s="85">
        <f>H48/'סכום נכסי הקרן'!$C$42</f>
        <v>8.9650698122918042E-11</v>
      </c>
    </row>
    <row r="49" spans="2:11" s="122" customFormat="1">
      <c r="B49" s="77" t="s">
        <v>2281</v>
      </c>
      <c r="C49" s="74">
        <v>5047</v>
      </c>
      <c r="D49" s="87" t="s">
        <v>164</v>
      </c>
      <c r="E49" s="97">
        <v>38176</v>
      </c>
      <c r="F49" s="84">
        <v>6341868.7599999998</v>
      </c>
      <c r="G49" s="86">
        <v>12.8743</v>
      </c>
      <c r="H49" s="84">
        <v>2910.7198599999997</v>
      </c>
      <c r="I49" s="85">
        <v>4.8000000000000001E-2</v>
      </c>
      <c r="J49" s="85">
        <f t="shared" si="2"/>
        <v>8.1177601648708237E-4</v>
      </c>
      <c r="K49" s="85">
        <f>H49/'סכום נכסי הקרן'!$C$42</f>
        <v>5.5877530511615046E-5</v>
      </c>
    </row>
    <row r="50" spans="2:11" s="122" customFormat="1">
      <c r="B50" s="77" t="s">
        <v>2282</v>
      </c>
      <c r="C50" s="74">
        <v>5256</v>
      </c>
      <c r="D50" s="87" t="s">
        <v>164</v>
      </c>
      <c r="E50" s="97">
        <v>41638</v>
      </c>
      <c r="F50" s="84">
        <v>6445228</v>
      </c>
      <c r="G50" s="86">
        <v>117.5556</v>
      </c>
      <c r="H50" s="84">
        <v>27011.029790000001</v>
      </c>
      <c r="I50" s="85">
        <v>2.7615053517973717E-2</v>
      </c>
      <c r="J50" s="85">
        <f t="shared" si="2"/>
        <v>7.5331557892143264E-3</v>
      </c>
      <c r="K50" s="85">
        <f>H50/'סכום נכסי הקרן'!$C$42</f>
        <v>5.1853483462364805E-4</v>
      </c>
    </row>
    <row r="51" spans="2:11" s="122" customFormat="1">
      <c r="B51" s="77" t="s">
        <v>2283</v>
      </c>
      <c r="C51" s="74">
        <v>5310</v>
      </c>
      <c r="D51" s="87" t="s">
        <v>164</v>
      </c>
      <c r="E51" s="97">
        <v>43116</v>
      </c>
      <c r="F51" s="84">
        <v>4956465.79</v>
      </c>
      <c r="G51" s="86">
        <v>97.221000000000004</v>
      </c>
      <c r="H51" s="84">
        <v>17178.75676</v>
      </c>
      <c r="I51" s="85">
        <v>3.3337430523159704E-2</v>
      </c>
      <c r="J51" s="85">
        <f t="shared" si="2"/>
        <v>4.7910150758490849E-3</v>
      </c>
      <c r="K51" s="85">
        <f>H51/'סכום נכסי הקרן'!$C$42</f>
        <v>3.2978319837640211E-4</v>
      </c>
    </row>
    <row r="52" spans="2:11" s="122" customFormat="1">
      <c r="B52" s="77" t="s">
        <v>2284</v>
      </c>
      <c r="C52" s="74">
        <v>5300</v>
      </c>
      <c r="D52" s="87" t="s">
        <v>164</v>
      </c>
      <c r="E52" s="97">
        <v>42936</v>
      </c>
      <c r="F52" s="84">
        <v>1804924.17</v>
      </c>
      <c r="G52" s="86">
        <v>104.6442</v>
      </c>
      <c r="H52" s="84">
        <v>6733.3882599999997</v>
      </c>
      <c r="I52" s="85">
        <v>1.1666666818181818E-3</v>
      </c>
      <c r="J52" s="85">
        <f t="shared" si="2"/>
        <v>1.8778870389690085E-3</v>
      </c>
      <c r="K52" s="85">
        <f>H52/'סכום נכסי הקרן'!$C$42</f>
        <v>1.2926187542647974E-4</v>
      </c>
    </row>
    <row r="53" spans="2:11" s="122" customFormat="1">
      <c r="B53" s="77" t="s">
        <v>2285</v>
      </c>
      <c r="C53" s="74">
        <v>7026</v>
      </c>
      <c r="D53" s="87" t="s">
        <v>164</v>
      </c>
      <c r="E53" s="97">
        <v>43755</v>
      </c>
      <c r="F53" s="84">
        <v>137574.93</v>
      </c>
      <c r="G53" s="86">
        <v>100</v>
      </c>
      <c r="H53" s="84">
        <v>490.45463000000001</v>
      </c>
      <c r="I53" s="85">
        <v>1.3361953073441561E-2</v>
      </c>
      <c r="J53" s="85">
        <f t="shared" si="2"/>
        <v>1.3678379402992286E-4</v>
      </c>
      <c r="K53" s="85">
        <f>H53/'סכום נכסי הקרן'!$C$42</f>
        <v>9.4153319008816855E-6</v>
      </c>
    </row>
    <row r="54" spans="2:11" s="122" customFormat="1">
      <c r="B54" s="77" t="s">
        <v>2286</v>
      </c>
      <c r="C54" s="74">
        <v>5094</v>
      </c>
      <c r="D54" s="87" t="s">
        <v>164</v>
      </c>
      <c r="E54" s="97">
        <v>39717</v>
      </c>
      <c r="F54" s="84">
        <v>4491636</v>
      </c>
      <c r="G54" s="86">
        <v>7.2046000000000001</v>
      </c>
      <c r="H54" s="84">
        <v>1153.6497199999999</v>
      </c>
      <c r="I54" s="85">
        <v>3.0500079300206182E-2</v>
      </c>
      <c r="J54" s="85">
        <f t="shared" si="2"/>
        <v>3.217434927327695E-4</v>
      </c>
      <c r="K54" s="85">
        <f>H54/'סכום נכסי הקרן'!$C$42</f>
        <v>2.2146788605419469E-5</v>
      </c>
    </row>
    <row r="55" spans="2:11" s="122" customFormat="1">
      <c r="B55" s="77" t="s">
        <v>2287</v>
      </c>
      <c r="C55" s="74">
        <v>7029</v>
      </c>
      <c r="D55" s="87" t="s">
        <v>165</v>
      </c>
      <c r="E55" s="97">
        <v>43803</v>
      </c>
      <c r="F55" s="84">
        <v>6960999.5999999996</v>
      </c>
      <c r="G55" s="86">
        <v>93.023799999999994</v>
      </c>
      <c r="H55" s="84">
        <v>6475.3863499999998</v>
      </c>
      <c r="I55" s="85">
        <v>6.3987311627906981E-2</v>
      </c>
      <c r="J55" s="85">
        <f t="shared" si="2"/>
        <v>1.8059324116535998E-3</v>
      </c>
      <c r="K55" s="85">
        <f>H55/'סכום נכסי הקרן'!$C$42</f>
        <v>1.2430897363878248E-4</v>
      </c>
    </row>
    <row r="56" spans="2:11" s="122" customFormat="1">
      <c r="B56" s="77" t="s">
        <v>2288</v>
      </c>
      <c r="C56" s="74">
        <v>5221</v>
      </c>
      <c r="D56" s="87" t="s">
        <v>164</v>
      </c>
      <c r="E56" s="97">
        <v>41753</v>
      </c>
      <c r="F56" s="84">
        <v>1875000</v>
      </c>
      <c r="G56" s="86">
        <v>195.55930000000001</v>
      </c>
      <c r="H56" s="84">
        <v>13071.91698</v>
      </c>
      <c r="I56" s="85">
        <v>2.6417380522993687E-2</v>
      </c>
      <c r="J56" s="85">
        <f t="shared" si="2"/>
        <v>3.6456509744205519E-3</v>
      </c>
      <c r="K56" s="85">
        <f>H56/'סכום נכסי הקרן'!$C$42</f>
        <v>2.5094357239011274E-4</v>
      </c>
    </row>
    <row r="57" spans="2:11" s="122" customFormat="1">
      <c r="B57" s="77" t="s">
        <v>2289</v>
      </c>
      <c r="C57" s="74">
        <v>5261</v>
      </c>
      <c r="D57" s="87" t="s">
        <v>164</v>
      </c>
      <c r="E57" s="97">
        <v>42037</v>
      </c>
      <c r="F57" s="84">
        <v>2786173</v>
      </c>
      <c r="G57" s="86">
        <v>78.501999999999995</v>
      </c>
      <c r="H57" s="84">
        <v>7797.37345</v>
      </c>
      <c r="I57" s="85">
        <v>0.14000000000000001</v>
      </c>
      <c r="J57" s="85">
        <f t="shared" si="2"/>
        <v>2.1746238259779281E-3</v>
      </c>
      <c r="K57" s="85">
        <f>H57/'סכום נכסי הקרן'!$C$42</f>
        <v>1.4968736045344882E-4</v>
      </c>
    </row>
    <row r="58" spans="2:11" s="122" customFormat="1">
      <c r="B58" s="73"/>
      <c r="C58" s="74"/>
      <c r="D58" s="74"/>
      <c r="E58" s="74"/>
      <c r="F58" s="84"/>
      <c r="G58" s="86"/>
      <c r="H58" s="74"/>
      <c r="I58" s="74"/>
      <c r="J58" s="85"/>
      <c r="K58" s="74"/>
    </row>
    <row r="59" spans="2:11" s="122" customFormat="1">
      <c r="B59" s="71" t="s">
        <v>2290</v>
      </c>
      <c r="C59" s="72"/>
      <c r="D59" s="72"/>
      <c r="E59" s="72"/>
      <c r="F59" s="81"/>
      <c r="G59" s="83"/>
      <c r="H59" s="81">
        <v>3129215.4992300002</v>
      </c>
      <c r="I59" s="72"/>
      <c r="J59" s="82">
        <f t="shared" ref="J59:J70" si="3">H59/$H$11</f>
        <v>0.87271266726938346</v>
      </c>
      <c r="K59" s="82">
        <f>H59/'סכום נכסי הקרן'!$C$42</f>
        <v>6.0072024428913288E-2</v>
      </c>
    </row>
    <row r="60" spans="2:11" s="122" customFormat="1">
      <c r="B60" s="92" t="s">
        <v>232</v>
      </c>
      <c r="C60" s="72"/>
      <c r="D60" s="72"/>
      <c r="E60" s="72"/>
      <c r="F60" s="81"/>
      <c r="G60" s="83"/>
      <c r="H60" s="81">
        <v>162900.25594999999</v>
      </c>
      <c r="I60" s="72"/>
      <c r="J60" s="82">
        <f t="shared" si="3"/>
        <v>4.5431552062800418E-2</v>
      </c>
      <c r="K60" s="82">
        <f>H60/'סכום נכסי הקרן'!$C$42</f>
        <v>3.1272209144153178E-3</v>
      </c>
    </row>
    <row r="61" spans="2:11" s="122" customFormat="1">
      <c r="B61" s="77" t="s">
        <v>2291</v>
      </c>
      <c r="C61" s="74">
        <v>5295</v>
      </c>
      <c r="D61" s="87" t="s">
        <v>164</v>
      </c>
      <c r="E61" s="97">
        <v>43003</v>
      </c>
      <c r="F61" s="84">
        <v>6715718.96</v>
      </c>
      <c r="G61" s="86">
        <v>104.517</v>
      </c>
      <c r="H61" s="84">
        <v>25022.977350000001</v>
      </c>
      <c r="I61" s="85">
        <v>9.4337795080519909E-3</v>
      </c>
      <c r="J61" s="85">
        <f t="shared" si="3"/>
        <v>6.9787041868843713E-3</v>
      </c>
      <c r="K61" s="85">
        <f>H61/'סכום נכסי הקרן'!$C$42</f>
        <v>4.803698904799713E-4</v>
      </c>
    </row>
    <row r="62" spans="2:11" s="122" customFormat="1">
      <c r="B62" s="77" t="s">
        <v>2292</v>
      </c>
      <c r="C62" s="74">
        <v>5086</v>
      </c>
      <c r="D62" s="87" t="s">
        <v>164</v>
      </c>
      <c r="E62" s="97">
        <v>39532</v>
      </c>
      <c r="F62" s="84">
        <v>979961</v>
      </c>
      <c r="G62" s="86">
        <v>14.9518</v>
      </c>
      <c r="H62" s="84">
        <v>522.35024999999996</v>
      </c>
      <c r="I62" s="85">
        <v>1.3333333333333334E-2</v>
      </c>
      <c r="J62" s="85">
        <f t="shared" si="3"/>
        <v>1.456792221687839E-4</v>
      </c>
      <c r="K62" s="85">
        <f>H62/'סכום נכסי הקרן'!$C$42</f>
        <v>1.0027636954428431E-5</v>
      </c>
    </row>
    <row r="63" spans="2:11" s="122" customFormat="1">
      <c r="B63" s="77" t="s">
        <v>2293</v>
      </c>
      <c r="C63" s="74">
        <v>5122</v>
      </c>
      <c r="D63" s="87" t="s">
        <v>164</v>
      </c>
      <c r="E63" s="97">
        <v>40653</v>
      </c>
      <c r="F63" s="84">
        <v>1564000</v>
      </c>
      <c r="G63" s="86">
        <v>154.202</v>
      </c>
      <c r="H63" s="84">
        <v>8597.7792300000001</v>
      </c>
      <c r="I63" s="85">
        <v>2.2969868936630184E-2</v>
      </c>
      <c r="J63" s="85">
        <f t="shared" si="3"/>
        <v>2.3978504664357411E-3</v>
      </c>
      <c r="K63" s="85">
        <f>H63/'סכום נכסי הקרן'!$C$42</f>
        <v>1.6505287157949139E-4</v>
      </c>
    </row>
    <row r="64" spans="2:11" s="122" customFormat="1">
      <c r="B64" s="77" t="s">
        <v>2294</v>
      </c>
      <c r="C64" s="74">
        <v>5077</v>
      </c>
      <c r="D64" s="87" t="s">
        <v>164</v>
      </c>
      <c r="E64" s="97">
        <v>39041</v>
      </c>
      <c r="F64" s="84">
        <v>1938820</v>
      </c>
      <c r="G64" s="86">
        <v>103.20740000000001</v>
      </c>
      <c r="H64" s="84">
        <v>7133.58536</v>
      </c>
      <c r="I64" s="85">
        <v>1.8097909691430641E-2</v>
      </c>
      <c r="J64" s="85">
        <f t="shared" si="3"/>
        <v>1.9894987444141637E-3</v>
      </c>
      <c r="K64" s="85">
        <f>H64/'סכום נכסי הקרן'!$C$42</f>
        <v>1.3694451983799308E-4</v>
      </c>
    </row>
    <row r="65" spans="2:11" s="122" customFormat="1">
      <c r="B65" s="77" t="s">
        <v>2295</v>
      </c>
      <c r="C65" s="74">
        <v>4024</v>
      </c>
      <c r="D65" s="87" t="s">
        <v>166</v>
      </c>
      <c r="E65" s="97">
        <v>39223</v>
      </c>
      <c r="F65" s="84">
        <v>400683.15</v>
      </c>
      <c r="G65" s="86">
        <v>11.217599999999999</v>
      </c>
      <c r="H65" s="84">
        <v>175.30689999999998</v>
      </c>
      <c r="I65" s="85">
        <v>7.5668790088457951E-3</v>
      </c>
      <c r="J65" s="85">
        <f t="shared" si="3"/>
        <v>4.8891663845898001E-5</v>
      </c>
      <c r="K65" s="85">
        <f>H65/'סכום נכסי הקרן'!$C$42</f>
        <v>3.3653931414913448E-6</v>
      </c>
    </row>
    <row r="66" spans="2:11" s="122" customFormat="1">
      <c r="B66" s="77" t="s">
        <v>2296</v>
      </c>
      <c r="C66" s="74">
        <v>5327</v>
      </c>
      <c r="D66" s="87" t="s">
        <v>164</v>
      </c>
      <c r="E66" s="97">
        <v>43348</v>
      </c>
      <c r="F66" s="84">
        <v>4124777.79</v>
      </c>
      <c r="G66" s="86">
        <v>97.330799999999996</v>
      </c>
      <c r="H66" s="84">
        <v>14312.33142</v>
      </c>
      <c r="I66" s="85">
        <v>1.8862157142857144E-2</v>
      </c>
      <c r="J66" s="85">
        <f t="shared" si="3"/>
        <v>3.9915924395316103E-3</v>
      </c>
      <c r="K66" s="85">
        <f>H66/'סכום נכסי הקרן'!$C$42</f>
        <v>2.747559964817077E-4</v>
      </c>
    </row>
    <row r="67" spans="2:11" s="122" customFormat="1">
      <c r="B67" s="77" t="s">
        <v>2297</v>
      </c>
      <c r="C67" s="74">
        <v>5288</v>
      </c>
      <c r="D67" s="87" t="s">
        <v>164</v>
      </c>
      <c r="E67" s="97">
        <v>42768</v>
      </c>
      <c r="F67" s="84">
        <v>8748295.4100000001</v>
      </c>
      <c r="G67" s="86">
        <v>139.40360000000001</v>
      </c>
      <c r="H67" s="84">
        <v>43476.739110000002</v>
      </c>
      <c r="I67" s="85">
        <v>2.5554605547066411E-2</v>
      </c>
      <c r="J67" s="85">
        <f t="shared" si="3"/>
        <v>1.2125307752757747E-2</v>
      </c>
      <c r="K67" s="85">
        <f>H67/'סכום נכסי הקרן'!$C$42</f>
        <v>8.3462955317333508E-4</v>
      </c>
    </row>
    <row r="68" spans="2:11" s="122" customFormat="1">
      <c r="B68" s="77" t="s">
        <v>2298</v>
      </c>
      <c r="C68" s="74">
        <v>6645</v>
      </c>
      <c r="D68" s="87" t="s">
        <v>164</v>
      </c>
      <c r="E68" s="97">
        <v>43578</v>
      </c>
      <c r="F68" s="84">
        <v>731043.44</v>
      </c>
      <c r="G68" s="86">
        <v>95.900899999999993</v>
      </c>
      <c r="H68" s="84">
        <v>2499.3403199999998</v>
      </c>
      <c r="I68" s="85">
        <v>9.0746362497815217E-2</v>
      </c>
      <c r="J68" s="85">
        <f t="shared" si="3"/>
        <v>6.9704561977845217E-4</v>
      </c>
      <c r="K68" s="85">
        <f>H68/'סכום נכסי הקרן'!$C$42</f>
        <v>4.7980215103802437E-5</v>
      </c>
    </row>
    <row r="69" spans="2:11" s="122" customFormat="1">
      <c r="B69" s="77" t="s">
        <v>2299</v>
      </c>
      <c r="C69" s="74">
        <v>5275</v>
      </c>
      <c r="D69" s="87" t="s">
        <v>164</v>
      </c>
      <c r="E69" s="97">
        <v>42507</v>
      </c>
      <c r="F69" s="84">
        <v>11627270.92</v>
      </c>
      <c r="G69" s="86">
        <v>113.3753</v>
      </c>
      <c r="H69" s="84">
        <v>46995.445979999997</v>
      </c>
      <c r="I69" s="85">
        <v>6.1600000000000002E-2</v>
      </c>
      <c r="J69" s="85">
        <f t="shared" si="3"/>
        <v>1.3106646384952439E-2</v>
      </c>
      <c r="K69" s="85">
        <f>H69/'סכום נכסי הקרן'!$C$42</f>
        <v>9.0217870250639876E-4</v>
      </c>
    </row>
    <row r="70" spans="2:11" s="122" customFormat="1">
      <c r="B70" s="77" t="s">
        <v>2300</v>
      </c>
      <c r="C70" s="74">
        <v>5333</v>
      </c>
      <c r="D70" s="87" t="s">
        <v>164</v>
      </c>
      <c r="E70" s="97">
        <v>43340</v>
      </c>
      <c r="F70" s="84">
        <v>3934184.18</v>
      </c>
      <c r="G70" s="86">
        <v>100.9913</v>
      </c>
      <c r="H70" s="84">
        <v>14164.400029999999</v>
      </c>
      <c r="I70" s="85">
        <v>7.9370001197733533E-2</v>
      </c>
      <c r="J70" s="85">
        <f t="shared" si="3"/>
        <v>3.9503355820312124E-3</v>
      </c>
      <c r="K70" s="85">
        <f>H70/'סכום נכסי הקרן'!$C$42</f>
        <v>2.7191613515669836E-4</v>
      </c>
    </row>
    <row r="71" spans="2:11" s="122" customFormat="1">
      <c r="B71" s="73"/>
      <c r="C71" s="74"/>
      <c r="D71" s="74"/>
      <c r="E71" s="74"/>
      <c r="F71" s="84"/>
      <c r="G71" s="86"/>
      <c r="H71" s="74"/>
      <c r="I71" s="74"/>
      <c r="J71" s="85"/>
      <c r="K71" s="74"/>
    </row>
    <row r="72" spans="2:11" s="122" customFormat="1">
      <c r="B72" s="112" t="s">
        <v>2301</v>
      </c>
      <c r="C72" s="113"/>
      <c r="D72" s="113"/>
      <c r="E72" s="113"/>
      <c r="F72" s="114"/>
      <c r="G72" s="116"/>
      <c r="H72" s="114">
        <v>23729.113290000005</v>
      </c>
      <c r="I72" s="113"/>
      <c r="J72" s="115">
        <f t="shared" ref="J72:J74" si="4">H72/$H$11</f>
        <v>6.6178560589224451E-3</v>
      </c>
      <c r="K72" s="115">
        <f>H72/'סכום נכסי הקרן'!$C$42</f>
        <v>4.5553138592854673E-4</v>
      </c>
    </row>
    <row r="73" spans="2:11" s="122" customFormat="1">
      <c r="B73" s="77" t="s">
        <v>2302</v>
      </c>
      <c r="C73" s="74" t="s">
        <v>2303</v>
      </c>
      <c r="D73" s="87" t="s">
        <v>167</v>
      </c>
      <c r="E73" s="97">
        <v>42268</v>
      </c>
      <c r="F73" s="84">
        <v>35239.32</v>
      </c>
      <c r="G73" s="86">
        <v>15286.16</v>
      </c>
      <c r="H73" s="84">
        <v>23694.108100000001</v>
      </c>
      <c r="I73" s="85">
        <v>1.7301722513759974E-2</v>
      </c>
      <c r="J73" s="85">
        <f t="shared" si="4"/>
        <v>6.6080933970857347E-3</v>
      </c>
      <c r="K73" s="85">
        <f>H73/'סכום נכסי הקרן'!$C$42</f>
        <v>4.548593859881986E-4</v>
      </c>
    </row>
    <row r="74" spans="2:11" s="122" customFormat="1">
      <c r="B74" s="77" t="s">
        <v>2304</v>
      </c>
      <c r="C74" s="74" t="s">
        <v>2305</v>
      </c>
      <c r="D74" s="87" t="s">
        <v>164</v>
      </c>
      <c r="E74" s="97">
        <v>39496</v>
      </c>
      <c r="F74" s="84">
        <v>4.53</v>
      </c>
      <c r="G74" s="86">
        <v>216948</v>
      </c>
      <c r="H74" s="84">
        <v>35.005189999999999</v>
      </c>
      <c r="I74" s="85">
        <v>8.1555356227575612E-4</v>
      </c>
      <c r="J74" s="85">
        <f t="shared" si="4"/>
        <v>9.7626618367091679E-6</v>
      </c>
      <c r="K74" s="85">
        <f>H74/'סכום נכסי הקרן'!$C$42</f>
        <v>6.719999403480492E-7</v>
      </c>
    </row>
    <row r="75" spans="2:11" s="122" customFormat="1">
      <c r="B75" s="73"/>
      <c r="C75" s="74"/>
      <c r="D75" s="74"/>
      <c r="E75" s="74"/>
      <c r="F75" s="84"/>
      <c r="G75" s="86"/>
      <c r="H75" s="74"/>
      <c r="I75" s="74"/>
      <c r="J75" s="85"/>
      <c r="K75" s="74"/>
    </row>
    <row r="76" spans="2:11" s="122" customFormat="1">
      <c r="B76" s="92" t="s">
        <v>235</v>
      </c>
      <c r="C76" s="72"/>
      <c r="D76" s="72"/>
      <c r="E76" s="72"/>
      <c r="F76" s="81"/>
      <c r="G76" s="83"/>
      <c r="H76" s="81">
        <v>310292.02690000011</v>
      </c>
      <c r="I76" s="72"/>
      <c r="J76" s="82">
        <f t="shared" ref="J76:J85" si="5">H76/$H$11</f>
        <v>8.6537914213628483E-2</v>
      </c>
      <c r="K76" s="82">
        <f>H76/'סכום נכסי הקרן'!$C$42</f>
        <v>5.9567230906981319E-3</v>
      </c>
    </row>
    <row r="77" spans="2:11" s="122" customFormat="1">
      <c r="B77" s="77" t="s">
        <v>2306</v>
      </c>
      <c r="C77" s="74">
        <v>5264</v>
      </c>
      <c r="D77" s="87" t="s">
        <v>164</v>
      </c>
      <c r="E77" s="97">
        <v>42234</v>
      </c>
      <c r="F77" s="84">
        <v>17522108.82</v>
      </c>
      <c r="G77" s="86">
        <v>94.604100000000003</v>
      </c>
      <c r="H77" s="84">
        <v>59095.697890000003</v>
      </c>
      <c r="I77" s="85">
        <v>1.0462025316455696E-3</v>
      </c>
      <c r="J77" s="85">
        <f t="shared" si="5"/>
        <v>1.6481307900468402E-2</v>
      </c>
      <c r="K77" s="85">
        <f>H77/'סכום נכסי הקרן'!$C$42</f>
        <v>1.1344690732118963E-3</v>
      </c>
    </row>
    <row r="78" spans="2:11" s="122" customFormat="1">
      <c r="B78" s="77" t="s">
        <v>2307</v>
      </c>
      <c r="C78" s="74">
        <v>6649</v>
      </c>
      <c r="D78" s="87" t="s">
        <v>164</v>
      </c>
      <c r="E78" s="97">
        <v>43633</v>
      </c>
      <c r="F78" s="84">
        <v>3474673.59</v>
      </c>
      <c r="G78" s="86">
        <v>97.920100000000005</v>
      </c>
      <c r="H78" s="84">
        <v>12129.56976</v>
      </c>
      <c r="I78" s="85">
        <v>1.0659115692403976E-3</v>
      </c>
      <c r="J78" s="85">
        <f t="shared" si="5"/>
        <v>3.3828380246373061E-3</v>
      </c>
      <c r="K78" s="85">
        <f>H78/'סכום נכסי הקרן'!$C$42</f>
        <v>2.3285318991748085E-4</v>
      </c>
    </row>
    <row r="79" spans="2:11" s="122" customFormat="1">
      <c r="B79" s="77" t="s">
        <v>2308</v>
      </c>
      <c r="C79" s="74" t="s">
        <v>2309</v>
      </c>
      <c r="D79" s="87" t="s">
        <v>164</v>
      </c>
      <c r="E79" s="97">
        <v>43837</v>
      </c>
      <c r="F79" s="84">
        <v>9127396.75</v>
      </c>
      <c r="G79" s="86">
        <v>101.6758</v>
      </c>
      <c r="H79" s="84">
        <v>33084.460789999997</v>
      </c>
      <c r="I79" s="85">
        <v>2.7078884110576119E-3</v>
      </c>
      <c r="J79" s="85">
        <f t="shared" si="5"/>
        <v>9.226986133845691E-3</v>
      </c>
      <c r="K79" s="85">
        <f>H79/'סכום נכסי הקרן'!$C$42</f>
        <v>6.3512741045905962E-4</v>
      </c>
    </row>
    <row r="80" spans="2:11" s="122" customFormat="1">
      <c r="B80" s="77" t="s">
        <v>2310</v>
      </c>
      <c r="C80" s="74">
        <v>5274</v>
      </c>
      <c r="D80" s="87" t="s">
        <v>164</v>
      </c>
      <c r="E80" s="97">
        <v>42472</v>
      </c>
      <c r="F80" s="84">
        <v>16196056.890000001</v>
      </c>
      <c r="G80" s="86">
        <v>99.578100000000006</v>
      </c>
      <c r="H80" s="84">
        <v>57495.342200000006</v>
      </c>
      <c r="I80" s="85">
        <v>1.8934666666666666E-3</v>
      </c>
      <c r="J80" s="85">
        <f t="shared" si="5"/>
        <v>1.6034981757975724E-2</v>
      </c>
      <c r="K80" s="85">
        <f>H80/'סכום נכסי הקרן'!$C$42</f>
        <v>1.1037468023653257E-3</v>
      </c>
    </row>
    <row r="81" spans="2:11" s="122" customFormat="1">
      <c r="B81" s="77" t="s">
        <v>2311</v>
      </c>
      <c r="C81" s="74">
        <v>7002</v>
      </c>
      <c r="D81" s="87" t="s">
        <v>164</v>
      </c>
      <c r="E81" s="97">
        <v>43616</v>
      </c>
      <c r="F81" s="84">
        <v>20423022.68</v>
      </c>
      <c r="G81" s="86">
        <v>105.801</v>
      </c>
      <c r="H81" s="84">
        <v>77031.672349999993</v>
      </c>
      <c r="I81" s="85">
        <v>5.8044769971428564E-3</v>
      </c>
      <c r="J81" s="85">
        <f t="shared" si="5"/>
        <v>2.1483504813692763E-2</v>
      </c>
      <c r="K81" s="85">
        <f>H81/'סכום נכסי הקרן'!$C$42</f>
        <v>1.478788694593872E-3</v>
      </c>
    </row>
    <row r="82" spans="2:11" s="122" customFormat="1">
      <c r="B82" s="77" t="s">
        <v>2312</v>
      </c>
      <c r="C82" s="74">
        <v>5079</v>
      </c>
      <c r="D82" s="87" t="s">
        <v>166</v>
      </c>
      <c r="E82" s="97">
        <v>39065</v>
      </c>
      <c r="F82" s="84">
        <v>9100000</v>
      </c>
      <c r="G82" s="86">
        <v>24.584900000000001</v>
      </c>
      <c r="H82" s="84">
        <v>8725.8521800000999</v>
      </c>
      <c r="I82" s="85">
        <v>4.9968519832505519E-2</v>
      </c>
      <c r="J82" s="85">
        <f t="shared" si="5"/>
        <v>2.4335689670718108E-3</v>
      </c>
      <c r="K82" s="85">
        <f>H82/'סכום נכסי הקרן'!$C$42</f>
        <v>1.6751150742064141E-4</v>
      </c>
    </row>
    <row r="83" spans="2:11" s="122" customFormat="1">
      <c r="B83" s="77" t="s">
        <v>2313</v>
      </c>
      <c r="C83" s="74">
        <v>5048</v>
      </c>
      <c r="D83" s="87" t="s">
        <v>166</v>
      </c>
      <c r="E83" s="97">
        <v>38200</v>
      </c>
      <c r="F83" s="84">
        <v>4692574</v>
      </c>
      <c r="G83" s="136">
        <v>7.4999999999999997E-3</v>
      </c>
      <c r="H83" s="84">
        <v>1.3726700000000001</v>
      </c>
      <c r="I83" s="85">
        <v>2.5773195876288658E-2</v>
      </c>
      <c r="J83" s="85">
        <f t="shared" si="5"/>
        <v>3.8282646154457593E-7</v>
      </c>
      <c r="K83" s="85">
        <f>H83/'סכום נכסי הקרן'!$C$42</f>
        <v>2.635135413113189E-8</v>
      </c>
    </row>
    <row r="84" spans="2:11" s="122" customFormat="1">
      <c r="B84" s="77" t="s">
        <v>2314</v>
      </c>
      <c r="C84" s="74" t="s">
        <v>2315</v>
      </c>
      <c r="D84" s="87" t="s">
        <v>164</v>
      </c>
      <c r="E84" s="97">
        <v>43830</v>
      </c>
      <c r="F84" s="84">
        <v>6121126.7300000004</v>
      </c>
      <c r="G84" s="86">
        <v>116.2807</v>
      </c>
      <c r="H84" s="84">
        <v>25374.561320000001</v>
      </c>
      <c r="I84" s="85">
        <v>5.2489840780796749E-5</v>
      </c>
      <c r="J84" s="85">
        <f t="shared" si="5"/>
        <v>7.0767580870722494E-3</v>
      </c>
      <c r="K84" s="85">
        <f>H84/'סכום נכסי הקרן'!$C$42</f>
        <v>4.8711930126355311E-4</v>
      </c>
    </row>
    <row r="85" spans="2:11" s="122" customFormat="1">
      <c r="B85" s="77" t="s">
        <v>2316</v>
      </c>
      <c r="C85" s="74">
        <v>5299</v>
      </c>
      <c r="D85" s="87" t="s">
        <v>164</v>
      </c>
      <c r="E85" s="97">
        <v>43002</v>
      </c>
      <c r="F85" s="84">
        <v>10045221.91</v>
      </c>
      <c r="G85" s="86">
        <v>104.30670000000001</v>
      </c>
      <c r="H85" s="84">
        <v>37353.497739999999</v>
      </c>
      <c r="I85" s="85">
        <v>2.2723119999999999E-2</v>
      </c>
      <c r="J85" s="85">
        <f t="shared" si="5"/>
        <v>1.041758570240299E-2</v>
      </c>
      <c r="K85" s="85">
        <f>H85/'סכום נכסי הקרן'!$C$42</f>
        <v>7.170807601121716E-4</v>
      </c>
    </row>
    <row r="86" spans="2:11" s="122" customFormat="1">
      <c r="B86" s="73"/>
      <c r="C86" s="74"/>
      <c r="D86" s="74"/>
      <c r="E86" s="74"/>
      <c r="F86" s="84"/>
      <c r="G86" s="86"/>
      <c r="H86" s="74"/>
      <c r="I86" s="74"/>
      <c r="J86" s="85"/>
      <c r="K86" s="74"/>
    </row>
    <row r="87" spans="2:11" s="122" customFormat="1">
      <c r="B87" s="92" t="s">
        <v>236</v>
      </c>
      <c r="C87" s="72"/>
      <c r="D87" s="72"/>
      <c r="E87" s="72"/>
      <c r="F87" s="81"/>
      <c r="G87" s="83"/>
      <c r="H87" s="81">
        <v>2632294.1030899989</v>
      </c>
      <c r="I87" s="72"/>
      <c r="J87" s="82">
        <f t="shared" ref="J87:J150" si="6">H87/$H$11</f>
        <v>0.73412534493403181</v>
      </c>
      <c r="K87" s="82">
        <f>H87/'סכום נכסי הקרן'!$C$42</f>
        <v>5.0532549037871265E-2</v>
      </c>
    </row>
    <row r="88" spans="2:11" s="122" customFormat="1">
      <c r="B88" s="77" t="s">
        <v>2317</v>
      </c>
      <c r="C88" s="74">
        <v>5238</v>
      </c>
      <c r="D88" s="87" t="s">
        <v>166</v>
      </c>
      <c r="E88" s="97">
        <v>43325</v>
      </c>
      <c r="F88" s="84">
        <v>16654463.27</v>
      </c>
      <c r="G88" s="86">
        <v>99.865300000000005</v>
      </c>
      <c r="H88" s="84">
        <v>64869.905479999994</v>
      </c>
      <c r="I88" s="85">
        <v>4.8212622198511154E-3</v>
      </c>
      <c r="J88" s="85">
        <f t="shared" si="6"/>
        <v>1.8091687277815856E-2</v>
      </c>
      <c r="K88" s="85">
        <f>H88/'סכום נכסי הקרן'!$C$42</f>
        <v>1.2453174118735989E-3</v>
      </c>
    </row>
    <row r="89" spans="2:11" s="122" customFormat="1">
      <c r="B89" s="77" t="s">
        <v>2318</v>
      </c>
      <c r="C89" s="74">
        <v>5339</v>
      </c>
      <c r="D89" s="87" t="s">
        <v>164</v>
      </c>
      <c r="E89" s="97">
        <v>43399</v>
      </c>
      <c r="F89" s="84">
        <v>9267857.7899999991</v>
      </c>
      <c r="G89" s="86">
        <v>98.638499999999993</v>
      </c>
      <c r="H89" s="84">
        <v>32590.074579999997</v>
      </c>
      <c r="I89" s="85">
        <v>2.1327068458355296E-2</v>
      </c>
      <c r="J89" s="85">
        <f t="shared" si="6"/>
        <v>9.0891058542368012E-3</v>
      </c>
      <c r="K89" s="85">
        <f>H89/'סכום נכסי הקרן'!$C$42</f>
        <v>6.2563660342076339E-4</v>
      </c>
    </row>
    <row r="90" spans="2:11" s="122" customFormat="1">
      <c r="B90" s="77" t="s">
        <v>2319</v>
      </c>
      <c r="C90" s="74">
        <v>7006</v>
      </c>
      <c r="D90" s="87" t="s">
        <v>166</v>
      </c>
      <c r="E90" s="97">
        <v>43698</v>
      </c>
      <c r="F90" s="84">
        <v>2826928.97</v>
      </c>
      <c r="G90" s="86">
        <v>94.9358</v>
      </c>
      <c r="H90" s="84">
        <v>10467.498890000001</v>
      </c>
      <c r="I90" s="85">
        <v>7.2803239522777541E-4</v>
      </c>
      <c r="J90" s="85">
        <f t="shared" si="6"/>
        <v>2.9193000220595457E-3</v>
      </c>
      <c r="K90" s="85">
        <f>H90/'סכום נכסי הקרן'!$C$42</f>
        <v>2.0094616340243465E-4</v>
      </c>
    </row>
    <row r="91" spans="2:11" s="122" customFormat="1">
      <c r="B91" s="77" t="s">
        <v>2320</v>
      </c>
      <c r="C91" s="74">
        <v>5273</v>
      </c>
      <c r="D91" s="87" t="s">
        <v>166</v>
      </c>
      <c r="E91" s="97">
        <v>42639</v>
      </c>
      <c r="F91" s="84">
        <v>8302501.0999999996</v>
      </c>
      <c r="G91" s="86">
        <v>127.44929999999999</v>
      </c>
      <c r="H91" s="84">
        <v>41270.944609999999</v>
      </c>
      <c r="I91" s="85">
        <v>6.9230769230769226E-4</v>
      </c>
      <c r="J91" s="85">
        <f t="shared" si="6"/>
        <v>1.1510129666743273E-2</v>
      </c>
      <c r="K91" s="85">
        <f>H91/'סכום נכסי הקרן'!$C$42</f>
        <v>7.9228458168710525E-4</v>
      </c>
    </row>
    <row r="92" spans="2:11" s="122" customFormat="1">
      <c r="B92" s="77" t="s">
        <v>2321</v>
      </c>
      <c r="C92" s="74">
        <v>4020</v>
      </c>
      <c r="D92" s="87" t="s">
        <v>166</v>
      </c>
      <c r="E92" s="97">
        <v>39105</v>
      </c>
      <c r="F92" s="84">
        <v>799098.32</v>
      </c>
      <c r="G92" s="86">
        <v>1.9020999999999999</v>
      </c>
      <c r="H92" s="84">
        <v>59.283190000000005</v>
      </c>
      <c r="I92" s="85">
        <v>5.4421768707482989E-3</v>
      </c>
      <c r="J92" s="85">
        <f t="shared" si="6"/>
        <v>1.6533597919947833E-5</v>
      </c>
      <c r="K92" s="85">
        <f>H92/'סכום נכסי הקרן'!$C$42</f>
        <v>1.1380683876774292E-6</v>
      </c>
    </row>
    <row r="93" spans="2:11" s="122" customFormat="1">
      <c r="B93" s="77" t="s">
        <v>2322</v>
      </c>
      <c r="C93" s="74">
        <v>5291</v>
      </c>
      <c r="D93" s="87" t="s">
        <v>164</v>
      </c>
      <c r="E93" s="97">
        <v>42908</v>
      </c>
      <c r="F93" s="84">
        <v>15917170.890000001</v>
      </c>
      <c r="G93" s="86">
        <v>98.241</v>
      </c>
      <c r="H93" s="84">
        <v>55746.574679999998</v>
      </c>
      <c r="I93" s="85">
        <v>1.2025129484341099E-2</v>
      </c>
      <c r="J93" s="85">
        <f t="shared" si="6"/>
        <v>1.5547264767187197E-2</v>
      </c>
      <c r="K93" s="85">
        <f>H93/'סכום נכסי הקרן'!$C$42</f>
        <v>1.0701754471142155E-3</v>
      </c>
    </row>
    <row r="94" spans="2:11" s="122" customFormat="1">
      <c r="B94" s="77" t="s">
        <v>2323</v>
      </c>
      <c r="C94" s="74">
        <v>5302</v>
      </c>
      <c r="D94" s="87" t="s">
        <v>164</v>
      </c>
      <c r="E94" s="97">
        <v>43003</v>
      </c>
      <c r="F94" s="84">
        <v>4490496.08</v>
      </c>
      <c r="G94" s="86">
        <v>86.335800000000006</v>
      </c>
      <c r="H94" s="84">
        <v>13821.168890000001</v>
      </c>
      <c r="I94" s="85">
        <v>1.0195506181421413E-3</v>
      </c>
      <c r="J94" s="85">
        <f t="shared" si="6"/>
        <v>3.8546112179683933E-3</v>
      </c>
      <c r="K94" s="85">
        <f>H94/'סכום נכסי הקרן'!$C$42</f>
        <v>2.6532707491718551E-4</v>
      </c>
    </row>
    <row r="95" spans="2:11" s="122" customFormat="1">
      <c r="B95" s="77" t="s">
        <v>2324</v>
      </c>
      <c r="C95" s="74">
        <v>5281</v>
      </c>
      <c r="D95" s="87" t="s">
        <v>164</v>
      </c>
      <c r="E95" s="97">
        <v>42642</v>
      </c>
      <c r="F95" s="84">
        <v>21294291.550000001</v>
      </c>
      <c r="G95" s="86">
        <v>54.664499999999997</v>
      </c>
      <c r="H95" s="84">
        <v>41498.090170000003</v>
      </c>
      <c r="I95" s="85">
        <v>7.0029210651410675E-3</v>
      </c>
      <c r="J95" s="85">
        <f t="shared" si="6"/>
        <v>1.1573478709842024E-2</v>
      </c>
      <c r="K95" s="85">
        <f>H95/'סכום נכסי הקרן'!$C$42</f>
        <v>7.9664512944503283E-4</v>
      </c>
    </row>
    <row r="96" spans="2:11" s="122" customFormat="1">
      <c r="B96" s="77" t="s">
        <v>2325</v>
      </c>
      <c r="C96" s="74">
        <v>7025</v>
      </c>
      <c r="D96" s="87" t="s">
        <v>164</v>
      </c>
      <c r="E96" s="97">
        <v>43824</v>
      </c>
      <c r="F96" s="84">
        <v>1610973.3</v>
      </c>
      <c r="G96" s="86">
        <v>100</v>
      </c>
      <c r="H96" s="84">
        <v>5743.1198099999992</v>
      </c>
      <c r="I96" s="85">
        <v>4.1705732033333331E-3</v>
      </c>
      <c r="J96" s="85">
        <f t="shared" si="6"/>
        <v>1.6017092491923456E-3</v>
      </c>
      <c r="K96" s="85">
        <f>H96/'סכום נכסי הקרן'!$C$42</f>
        <v>1.102515418351307E-4</v>
      </c>
    </row>
    <row r="97" spans="2:11" s="122" customFormat="1">
      <c r="B97" s="77" t="s">
        <v>2326</v>
      </c>
      <c r="C97" s="74">
        <v>5044</v>
      </c>
      <c r="D97" s="87" t="s">
        <v>164</v>
      </c>
      <c r="E97" s="97">
        <v>38168</v>
      </c>
      <c r="F97" s="84">
        <v>2788169.39</v>
      </c>
      <c r="G97" s="86">
        <v>1E-4</v>
      </c>
      <c r="H97" s="84">
        <v>9.9499999999999988E-3</v>
      </c>
      <c r="I97" s="85">
        <v>6.2500000000000003E-3</v>
      </c>
      <c r="J97" s="85">
        <f t="shared" si="6"/>
        <v>2.7749738046060088E-9</v>
      </c>
      <c r="K97" s="85">
        <f>H97/'סכום נכסי הקרן'!$C$42</f>
        <v>1.9101165874154915E-10</v>
      </c>
    </row>
    <row r="98" spans="2:11" s="122" customFormat="1">
      <c r="B98" s="77" t="s">
        <v>2327</v>
      </c>
      <c r="C98" s="74">
        <v>5263</v>
      </c>
      <c r="D98" s="87" t="s">
        <v>164</v>
      </c>
      <c r="E98" s="97">
        <v>42082</v>
      </c>
      <c r="F98" s="84">
        <v>9296328.4499999993</v>
      </c>
      <c r="G98" s="86">
        <v>91.219499999999996</v>
      </c>
      <c r="H98" s="84">
        <v>30231.429329999999</v>
      </c>
      <c r="I98" s="85">
        <v>5.9405940594059407E-3</v>
      </c>
      <c r="J98" s="85">
        <f t="shared" si="6"/>
        <v>8.4312989413615862E-3</v>
      </c>
      <c r="K98" s="85">
        <f>H98/'סכום נכסי הקרן'!$C$42</f>
        <v>5.8035733290967041E-4</v>
      </c>
    </row>
    <row r="99" spans="2:11" s="122" customFormat="1">
      <c r="B99" s="77" t="s">
        <v>2328</v>
      </c>
      <c r="C99" s="74">
        <v>4021</v>
      </c>
      <c r="D99" s="87" t="s">
        <v>166</v>
      </c>
      <c r="E99" s="97">
        <v>39126</v>
      </c>
      <c r="F99" s="84">
        <v>330048.71000000002</v>
      </c>
      <c r="G99" s="86">
        <v>18.485099999999999</v>
      </c>
      <c r="H99" s="84">
        <v>237.95664000000002</v>
      </c>
      <c r="I99" s="85">
        <v>1E-3</v>
      </c>
      <c r="J99" s="85">
        <f t="shared" si="6"/>
        <v>6.6364165088649501E-5</v>
      </c>
      <c r="K99" s="85">
        <f>H99/'סכום נכסי הקרן'!$C$42</f>
        <v>4.5680896999965499E-6</v>
      </c>
    </row>
    <row r="100" spans="2:11" s="122" customFormat="1">
      <c r="B100" s="77" t="s">
        <v>2329</v>
      </c>
      <c r="C100" s="74">
        <v>6650</v>
      </c>
      <c r="D100" s="87" t="s">
        <v>166</v>
      </c>
      <c r="E100" s="97">
        <v>43637</v>
      </c>
      <c r="F100" s="84">
        <v>2803178.15</v>
      </c>
      <c r="G100" s="86">
        <v>80.655199999999994</v>
      </c>
      <c r="H100" s="84">
        <v>8818.2231400000001</v>
      </c>
      <c r="I100" s="85">
        <v>6.6867412329158606E-3</v>
      </c>
      <c r="J100" s="85">
        <f t="shared" si="6"/>
        <v>2.4593304740372409E-3</v>
      </c>
      <c r="K100" s="85">
        <f>H100/'סכום נכסי הקרן'!$C$42</f>
        <v>1.6928476674618213E-4</v>
      </c>
    </row>
    <row r="101" spans="2:11" s="122" customFormat="1">
      <c r="B101" s="77" t="s">
        <v>2330</v>
      </c>
      <c r="C101" s="74">
        <v>7035</v>
      </c>
      <c r="D101" s="87" t="s">
        <v>166</v>
      </c>
      <c r="E101" s="97">
        <v>43861</v>
      </c>
      <c r="F101" s="84">
        <v>5330079.53</v>
      </c>
      <c r="G101" s="86">
        <v>100</v>
      </c>
      <c r="H101" s="84">
        <v>20788.909190000002</v>
      </c>
      <c r="I101" s="85">
        <v>1.3325198830496729E-2</v>
      </c>
      <c r="J101" s="85">
        <f t="shared" si="6"/>
        <v>5.7978571285008176E-3</v>
      </c>
      <c r="K101" s="85">
        <f>H101/'סכום נכסי הקרן'!$C$42</f>
        <v>3.9908784199088799E-4</v>
      </c>
    </row>
    <row r="102" spans="2:11" s="122" customFormat="1">
      <c r="B102" s="77" t="s">
        <v>2331</v>
      </c>
      <c r="C102" s="74">
        <v>7040</v>
      </c>
      <c r="D102" s="87" t="s">
        <v>166</v>
      </c>
      <c r="E102" s="97">
        <v>43921</v>
      </c>
      <c r="F102" s="84">
        <v>1962421.67</v>
      </c>
      <c r="G102" s="86">
        <v>100</v>
      </c>
      <c r="H102" s="84">
        <v>7654.0332400000007</v>
      </c>
      <c r="I102" s="85">
        <v>6.1325677187499998E-3</v>
      </c>
      <c r="J102" s="85">
        <f t="shared" si="6"/>
        <v>2.1346474111139358E-3</v>
      </c>
      <c r="K102" s="85">
        <f>H102/'סכום נכסי הקרן'!$C$42</f>
        <v>1.4693563670707075E-4</v>
      </c>
    </row>
    <row r="103" spans="2:11" s="122" customFormat="1">
      <c r="B103" s="77" t="s">
        <v>2332</v>
      </c>
      <c r="C103" s="74">
        <v>4025</v>
      </c>
      <c r="D103" s="87" t="s">
        <v>164</v>
      </c>
      <c r="E103" s="97">
        <v>39247</v>
      </c>
      <c r="F103" s="84">
        <v>703382.2</v>
      </c>
      <c r="G103" s="86">
        <v>2.4982000000000002</v>
      </c>
      <c r="H103" s="84">
        <v>62.643790000000003</v>
      </c>
      <c r="I103" s="85">
        <v>2.0127731060541891E-3</v>
      </c>
      <c r="J103" s="85">
        <f t="shared" si="6"/>
        <v>1.7470841836305513E-5</v>
      </c>
      <c r="K103" s="85">
        <f>H103/'סכום נכסי הקרן'!$C$42</f>
        <v>1.2025823354529921E-6</v>
      </c>
    </row>
    <row r="104" spans="2:11" s="122" customFormat="1">
      <c r="B104" s="77" t="s">
        <v>2333</v>
      </c>
      <c r="C104" s="74">
        <v>7032</v>
      </c>
      <c r="D104" s="87" t="s">
        <v>164</v>
      </c>
      <c r="E104" s="97">
        <v>43860</v>
      </c>
      <c r="F104" s="84">
        <v>5141456.04</v>
      </c>
      <c r="G104" s="86">
        <v>101.5</v>
      </c>
      <c r="H104" s="84">
        <v>18604.23014</v>
      </c>
      <c r="I104" s="85">
        <v>9.4165861538461539E-3</v>
      </c>
      <c r="J104" s="85">
        <f t="shared" si="6"/>
        <v>5.1885679691820686E-3</v>
      </c>
      <c r="K104" s="85">
        <f>H104/'סכום נכסי הקרן'!$C$42</f>
        <v>3.5714822700009283E-4</v>
      </c>
    </row>
    <row r="105" spans="2:11" s="122" customFormat="1">
      <c r="B105" s="77" t="s">
        <v>2334</v>
      </c>
      <c r="C105" s="74">
        <v>5266</v>
      </c>
      <c r="D105" s="87" t="s">
        <v>164</v>
      </c>
      <c r="E105" s="97">
        <v>42228</v>
      </c>
      <c r="F105" s="84">
        <v>12004692.1</v>
      </c>
      <c r="G105" s="86">
        <v>92.732500000000002</v>
      </c>
      <c r="H105" s="84">
        <v>39686.475170000005</v>
      </c>
      <c r="I105" s="85">
        <v>3.3999999999999998E-3</v>
      </c>
      <c r="J105" s="85">
        <f t="shared" si="6"/>
        <v>1.1068234069738375E-2</v>
      </c>
      <c r="K105" s="85">
        <f>H105/'סכום נכסי הקרן'!$C$42</f>
        <v>7.6186728159065385E-4</v>
      </c>
    </row>
    <row r="106" spans="2:11" s="122" customFormat="1">
      <c r="B106" s="77" t="s">
        <v>2335</v>
      </c>
      <c r="C106" s="74">
        <v>6648</v>
      </c>
      <c r="D106" s="87" t="s">
        <v>164</v>
      </c>
      <c r="E106" s="97">
        <v>43698</v>
      </c>
      <c r="F106" s="84">
        <v>12304086.24</v>
      </c>
      <c r="G106" s="86">
        <v>90.990300000000005</v>
      </c>
      <c r="H106" s="84">
        <v>39912.046590000005</v>
      </c>
      <c r="I106" s="85">
        <v>5.6779050937748841E-3</v>
      </c>
      <c r="J106" s="85">
        <f t="shared" si="6"/>
        <v>1.1131144098036644E-2</v>
      </c>
      <c r="K106" s="85">
        <f>H106/'סכום נכסי הקרן'!$C$42</f>
        <v>7.6619761034431072E-4</v>
      </c>
    </row>
    <row r="107" spans="2:11" s="122" customFormat="1">
      <c r="B107" s="77" t="s">
        <v>2336</v>
      </c>
      <c r="C107" s="74">
        <v>6665</v>
      </c>
      <c r="D107" s="87" t="s">
        <v>164</v>
      </c>
      <c r="E107" s="97">
        <v>40597</v>
      </c>
      <c r="F107" s="84">
        <v>4941143.72</v>
      </c>
      <c r="G107" s="86">
        <v>98.278300000000002</v>
      </c>
      <c r="H107" s="84">
        <v>17311.896850000001</v>
      </c>
      <c r="I107" s="85">
        <v>1.2569681745730549E-2</v>
      </c>
      <c r="J107" s="85">
        <f t="shared" si="6"/>
        <v>4.8281467604815364E-3</v>
      </c>
      <c r="K107" s="85">
        <f>H107/'סכום נכסי הקרן'!$C$42</f>
        <v>3.3233910887247236E-4</v>
      </c>
    </row>
    <row r="108" spans="2:11" s="122" customFormat="1">
      <c r="B108" s="77" t="s">
        <v>2337</v>
      </c>
      <c r="C108" s="74">
        <v>7016</v>
      </c>
      <c r="D108" s="87" t="s">
        <v>164</v>
      </c>
      <c r="E108" s="97">
        <v>43742</v>
      </c>
      <c r="F108" s="84">
        <v>4172972.76</v>
      </c>
      <c r="G108" s="86">
        <v>99.938500000000005</v>
      </c>
      <c r="H108" s="84">
        <v>14867.498750000001</v>
      </c>
      <c r="I108" s="85">
        <v>2.3979086380090497E-2</v>
      </c>
      <c r="J108" s="85">
        <f t="shared" si="6"/>
        <v>4.1464240775138279E-3</v>
      </c>
      <c r="K108" s="85">
        <f>H108/'סכום נכסי הקרן'!$C$42</f>
        <v>2.8541362789702603E-4</v>
      </c>
    </row>
    <row r="109" spans="2:11" s="122" customFormat="1">
      <c r="B109" s="77" t="s">
        <v>2338</v>
      </c>
      <c r="C109" s="74">
        <v>5237</v>
      </c>
      <c r="D109" s="87" t="s">
        <v>164</v>
      </c>
      <c r="E109" s="97">
        <v>43273</v>
      </c>
      <c r="F109" s="84">
        <v>30336742.379999999</v>
      </c>
      <c r="G109" s="86">
        <v>92.843999999999994</v>
      </c>
      <c r="H109" s="84">
        <v>100411.23775</v>
      </c>
      <c r="I109" s="85">
        <v>2.4446214375000001E-2</v>
      </c>
      <c r="J109" s="85">
        <f t="shared" si="6"/>
        <v>2.8003874818524222E-2</v>
      </c>
      <c r="K109" s="85">
        <f>H109/'סכום נכסי הקרן'!$C$42</f>
        <v>1.9276097566753325E-3</v>
      </c>
    </row>
    <row r="110" spans="2:11" s="122" customFormat="1">
      <c r="B110" s="77" t="s">
        <v>2339</v>
      </c>
      <c r="C110" s="74">
        <v>5222</v>
      </c>
      <c r="D110" s="87" t="s">
        <v>164</v>
      </c>
      <c r="E110" s="97">
        <v>40675</v>
      </c>
      <c r="F110" s="84">
        <v>3229065.08</v>
      </c>
      <c r="G110" s="86">
        <v>32.702599999999997</v>
      </c>
      <c r="H110" s="84">
        <v>3764.5980800000002</v>
      </c>
      <c r="I110" s="85">
        <v>6.147555971896956E-3</v>
      </c>
      <c r="J110" s="85">
        <f t="shared" si="6"/>
        <v>1.0499156841075456E-3</v>
      </c>
      <c r="K110" s="85">
        <f>H110/'סכום נכסי הקרן'!$C$42</f>
        <v>7.2269560176487562E-5</v>
      </c>
    </row>
    <row r="111" spans="2:11" s="122" customFormat="1">
      <c r="B111" s="77" t="s">
        <v>2340</v>
      </c>
      <c r="C111" s="74">
        <v>4027</v>
      </c>
      <c r="D111" s="87" t="s">
        <v>164</v>
      </c>
      <c r="E111" s="97">
        <v>39294</v>
      </c>
      <c r="F111" s="84">
        <v>202346.58000019996</v>
      </c>
      <c r="G111" s="86">
        <v>5.1200000000000002E-2</v>
      </c>
      <c r="H111" s="84">
        <v>0.3693300001</v>
      </c>
      <c r="I111" s="85">
        <v>3.9904226666666667E-3</v>
      </c>
      <c r="J111" s="85">
        <f t="shared" si="6"/>
        <v>1.0300312316910901E-7</v>
      </c>
      <c r="K111" s="85">
        <f>H111/'סכום נכסי הקרן'!$C$42</f>
        <v>7.090084014283168E-9</v>
      </c>
    </row>
    <row r="112" spans="2:11" s="122" customFormat="1">
      <c r="B112" s="77" t="s">
        <v>2341</v>
      </c>
      <c r="C112" s="74">
        <v>5290</v>
      </c>
      <c r="D112" s="87" t="s">
        <v>164</v>
      </c>
      <c r="E112" s="97">
        <v>42779</v>
      </c>
      <c r="F112" s="84">
        <v>14743272.039999999</v>
      </c>
      <c r="G112" s="86">
        <v>79.513099999999994</v>
      </c>
      <c r="H112" s="84">
        <v>41791.898359999999</v>
      </c>
      <c r="I112" s="85">
        <v>5.1480744931631803E-3</v>
      </c>
      <c r="J112" s="85">
        <f t="shared" si="6"/>
        <v>1.1655419416457972E-2</v>
      </c>
      <c r="K112" s="85">
        <f>H112/'סכום נכסי הקרן'!$C$42</f>
        <v>8.0228540981927923E-4</v>
      </c>
    </row>
    <row r="113" spans="2:11" s="122" customFormat="1">
      <c r="B113" s="77" t="s">
        <v>2342</v>
      </c>
      <c r="C113" s="74">
        <v>5307</v>
      </c>
      <c r="D113" s="87" t="s">
        <v>164</v>
      </c>
      <c r="E113" s="97">
        <v>43068</v>
      </c>
      <c r="F113" s="84">
        <v>633002</v>
      </c>
      <c r="G113" s="86">
        <v>121.37390000000001</v>
      </c>
      <c r="H113" s="84">
        <v>2738.9866899999997</v>
      </c>
      <c r="I113" s="85">
        <v>4.3061329745705309E-3</v>
      </c>
      <c r="J113" s="85">
        <f t="shared" si="6"/>
        <v>7.6388103677532855E-4</v>
      </c>
      <c r="K113" s="85">
        <f>H113/'סכום נכסי הקרן'!$C$42</f>
        <v>5.2580742806826656E-5</v>
      </c>
    </row>
    <row r="114" spans="2:11" s="122" customFormat="1">
      <c r="B114" s="77" t="s">
        <v>2343</v>
      </c>
      <c r="C114" s="74">
        <v>5315</v>
      </c>
      <c r="D114" s="87" t="s">
        <v>172</v>
      </c>
      <c r="E114" s="97">
        <v>43129</v>
      </c>
      <c r="F114" s="84">
        <v>117354476.56999999</v>
      </c>
      <c r="G114" s="86">
        <v>93.963499999999996</v>
      </c>
      <c r="H114" s="84">
        <v>57594.216119999997</v>
      </c>
      <c r="I114" s="85">
        <v>1.4718264278033398E-2</v>
      </c>
      <c r="J114" s="85">
        <f t="shared" si="6"/>
        <v>1.6062556887418807E-2</v>
      </c>
      <c r="K114" s="85">
        <f>H114/'סכום נכסי הקרן'!$C$42</f>
        <v>1.1056449000000472E-3</v>
      </c>
    </row>
    <row r="115" spans="2:11" s="122" customFormat="1">
      <c r="B115" s="77" t="s">
        <v>2344</v>
      </c>
      <c r="C115" s="74">
        <v>5255</v>
      </c>
      <c r="D115" s="87" t="s">
        <v>164</v>
      </c>
      <c r="E115" s="97">
        <v>41407</v>
      </c>
      <c r="F115" s="84">
        <v>1785724.35</v>
      </c>
      <c r="G115" s="86">
        <v>101.4704</v>
      </c>
      <c r="H115" s="84">
        <v>6459.7145399999999</v>
      </c>
      <c r="I115" s="85">
        <v>2.8089887640449437E-2</v>
      </c>
      <c r="J115" s="85">
        <f t="shared" si="6"/>
        <v>1.8015616717319152E-3</v>
      </c>
      <c r="K115" s="85">
        <f>H115/'סכום נכסי הקרן'!$C$42</f>
        <v>1.2400811952585961E-4</v>
      </c>
    </row>
    <row r="116" spans="2:11" s="122" customFormat="1">
      <c r="B116" s="77" t="s">
        <v>2345</v>
      </c>
      <c r="C116" s="74">
        <v>5332</v>
      </c>
      <c r="D116" s="87" t="s">
        <v>164</v>
      </c>
      <c r="E116" s="97">
        <v>43457</v>
      </c>
      <c r="F116" s="84">
        <v>4259525.95</v>
      </c>
      <c r="G116" s="86">
        <v>111.43559999999999</v>
      </c>
      <c r="H116" s="84">
        <v>16921.729890000002</v>
      </c>
      <c r="I116" s="85">
        <v>8.1050013595913763E-3</v>
      </c>
      <c r="J116" s="85">
        <f t="shared" si="6"/>
        <v>4.7193323792330179E-3</v>
      </c>
      <c r="K116" s="85">
        <f>H116/'סכום נכסי הקרן'!$C$42</f>
        <v>3.2484901457943243E-4</v>
      </c>
    </row>
    <row r="117" spans="2:11" s="122" customFormat="1">
      <c r="B117" s="77" t="s">
        <v>2346</v>
      </c>
      <c r="C117" s="74">
        <v>5294</v>
      </c>
      <c r="D117" s="87" t="s">
        <v>167</v>
      </c>
      <c r="E117" s="97">
        <v>43002</v>
      </c>
      <c r="F117" s="84">
        <v>20425058.760000002</v>
      </c>
      <c r="G117" s="86">
        <v>104.2444</v>
      </c>
      <c r="H117" s="84">
        <v>93654.903059999997</v>
      </c>
      <c r="I117" s="85">
        <v>6.2846333627311138E-2</v>
      </c>
      <c r="J117" s="85">
        <f t="shared" si="6"/>
        <v>2.6119588207478908E-2</v>
      </c>
      <c r="K117" s="85">
        <f>H117/'סכום נכסי הקרן'!$C$42</f>
        <v>1.7979073751527223E-3</v>
      </c>
    </row>
    <row r="118" spans="2:11" s="122" customFormat="1">
      <c r="B118" s="77" t="s">
        <v>2347</v>
      </c>
      <c r="C118" s="74">
        <v>5285</v>
      </c>
      <c r="D118" s="87" t="s">
        <v>164</v>
      </c>
      <c r="E118" s="97">
        <v>42718</v>
      </c>
      <c r="F118" s="84">
        <v>12738272.68</v>
      </c>
      <c r="G118" s="86">
        <v>102.3601</v>
      </c>
      <c r="H118" s="84">
        <v>46483.709340000001</v>
      </c>
      <c r="I118" s="85">
        <v>3.7313775719298235E-3</v>
      </c>
      <c r="J118" s="85">
        <f t="shared" si="6"/>
        <v>1.2963927212001979E-2</v>
      </c>
      <c r="K118" s="85">
        <f>H118/'סכום נכסי הקרן'!$C$42</f>
        <v>8.9235481663250667E-4</v>
      </c>
    </row>
    <row r="119" spans="2:11" s="122" customFormat="1">
      <c r="B119" s="77" t="s">
        <v>2348</v>
      </c>
      <c r="C119" s="74">
        <v>6657</v>
      </c>
      <c r="D119" s="87" t="s">
        <v>164</v>
      </c>
      <c r="E119" s="97">
        <v>43558</v>
      </c>
      <c r="F119" s="84">
        <v>1188408.33</v>
      </c>
      <c r="G119" s="86">
        <v>98.780600000000007</v>
      </c>
      <c r="H119" s="84">
        <v>4185.0136400000001</v>
      </c>
      <c r="I119" s="85">
        <v>0.12540416476522198</v>
      </c>
      <c r="J119" s="85">
        <f t="shared" si="6"/>
        <v>1.1671661530571701E-3</v>
      </c>
      <c r="K119" s="85">
        <f>H119/'סכום נכסי הקרן'!$C$42</f>
        <v>8.0340341430392808E-5</v>
      </c>
    </row>
    <row r="120" spans="2:11" s="122" customFormat="1">
      <c r="B120" s="77" t="s">
        <v>2349</v>
      </c>
      <c r="C120" s="74">
        <v>7009</v>
      </c>
      <c r="D120" s="87" t="s">
        <v>164</v>
      </c>
      <c r="E120" s="97">
        <v>43686</v>
      </c>
      <c r="F120" s="84">
        <v>1260118.6599999999</v>
      </c>
      <c r="G120" s="86">
        <v>94.001300000000001</v>
      </c>
      <c r="H120" s="84">
        <v>4222.8420300000007</v>
      </c>
      <c r="I120" s="85">
        <v>0.12540416476522198</v>
      </c>
      <c r="J120" s="85">
        <f t="shared" si="6"/>
        <v>1.1777161823356044E-3</v>
      </c>
      <c r="K120" s="85">
        <f>H120/'סכום נכסי הקרן'!$C$42</f>
        <v>8.1066538769229235E-5</v>
      </c>
    </row>
    <row r="121" spans="2:11" s="122" customFormat="1">
      <c r="B121" s="77" t="s">
        <v>2350</v>
      </c>
      <c r="C121" s="74">
        <v>4028</v>
      </c>
      <c r="D121" s="87" t="s">
        <v>164</v>
      </c>
      <c r="E121" s="97">
        <v>39321</v>
      </c>
      <c r="F121" s="84">
        <v>394776.73</v>
      </c>
      <c r="G121" s="86">
        <v>14.8118</v>
      </c>
      <c r="H121" s="84">
        <v>208.45817000000002</v>
      </c>
      <c r="I121" s="85">
        <v>1.8721967687484928E-3</v>
      </c>
      <c r="J121" s="85">
        <f t="shared" si="6"/>
        <v>5.813728252322676E-5</v>
      </c>
      <c r="K121" s="85">
        <f>H121/'סכום נכסי הקרן'!$C$42</f>
        <v>4.0018030984852105E-6</v>
      </c>
    </row>
    <row r="122" spans="2:11" s="122" customFormat="1">
      <c r="B122" s="77" t="s">
        <v>2351</v>
      </c>
      <c r="C122" s="74">
        <v>5087</v>
      </c>
      <c r="D122" s="87" t="s">
        <v>164</v>
      </c>
      <c r="E122" s="97">
        <v>39713</v>
      </c>
      <c r="F122" s="84">
        <v>4800000</v>
      </c>
      <c r="G122" s="86">
        <v>0.6159</v>
      </c>
      <c r="H122" s="84">
        <v>105.39281</v>
      </c>
      <c r="I122" s="85">
        <v>4.577497024626934E-3</v>
      </c>
      <c r="J122" s="85">
        <f t="shared" si="6"/>
        <v>2.9393194667720425E-5</v>
      </c>
      <c r="K122" s="85">
        <f>H122/'סכום נכסי הקרן'!$C$42</f>
        <v>2.0232417545259228E-6</v>
      </c>
    </row>
    <row r="123" spans="2:11" s="122" customFormat="1">
      <c r="B123" s="77" t="s">
        <v>2352</v>
      </c>
      <c r="C123" s="74">
        <v>5223</v>
      </c>
      <c r="D123" s="87" t="s">
        <v>164</v>
      </c>
      <c r="E123" s="97">
        <v>40749</v>
      </c>
      <c r="F123" s="84">
        <v>5093397.0599999996</v>
      </c>
      <c r="G123" s="86">
        <v>6.6955999999999998</v>
      </c>
      <c r="H123" s="84">
        <v>1215.7843899999998</v>
      </c>
      <c r="I123" s="85">
        <v>1.1223917147084332E-2</v>
      </c>
      <c r="J123" s="85">
        <f t="shared" si="6"/>
        <v>3.3907234515566788E-4</v>
      </c>
      <c r="K123" s="85">
        <f>H123/'סכום נכסי הקרן'!$C$42</f>
        <v>2.3339597287033416E-5</v>
      </c>
    </row>
    <row r="124" spans="2:11" s="122" customFormat="1">
      <c r="B124" s="77" t="s">
        <v>2353</v>
      </c>
      <c r="C124" s="74">
        <v>7027</v>
      </c>
      <c r="D124" s="87" t="s">
        <v>167</v>
      </c>
      <c r="E124" s="97">
        <v>43762</v>
      </c>
      <c r="F124" s="84">
        <v>20635907.98</v>
      </c>
      <c r="G124" s="86">
        <v>79.397999999999996</v>
      </c>
      <c r="H124" s="84">
        <v>72068.853870000006</v>
      </c>
      <c r="I124" s="85">
        <v>8.5982949902849888E-3</v>
      </c>
      <c r="J124" s="85">
        <f t="shared" si="6"/>
        <v>2.0099415237912404E-2</v>
      </c>
      <c r="K124" s="85">
        <f>H124/'סכום נכסי הקרן'!$C$42</f>
        <v>1.3835167157096497E-3</v>
      </c>
    </row>
    <row r="125" spans="2:11" s="122" customFormat="1">
      <c r="B125" s="77" t="s">
        <v>2354</v>
      </c>
      <c r="C125" s="74">
        <v>7018</v>
      </c>
      <c r="D125" s="87" t="s">
        <v>164</v>
      </c>
      <c r="E125" s="97">
        <v>43761</v>
      </c>
      <c r="F125" s="84">
        <v>924288.44</v>
      </c>
      <c r="G125" s="86">
        <v>16.506900000000002</v>
      </c>
      <c r="H125" s="84">
        <v>543.91693000000009</v>
      </c>
      <c r="I125" s="85">
        <v>2.0421434118181822E-3</v>
      </c>
      <c r="J125" s="85">
        <f t="shared" si="6"/>
        <v>1.5169399322931864E-4</v>
      </c>
      <c r="K125" s="85">
        <f>H125/'סכום נכסי הקרן'!$C$42</f>
        <v>1.0441655780594081E-5</v>
      </c>
    </row>
    <row r="126" spans="2:11" s="122" customFormat="1">
      <c r="B126" s="77" t="s">
        <v>2355</v>
      </c>
      <c r="C126" s="74">
        <v>5270</v>
      </c>
      <c r="D126" s="87" t="s">
        <v>164</v>
      </c>
      <c r="E126" s="97">
        <v>42338</v>
      </c>
      <c r="F126" s="84">
        <v>4553589.17</v>
      </c>
      <c r="G126" s="86">
        <v>189.01769999999999</v>
      </c>
      <c r="H126" s="84">
        <v>30684.274140000001</v>
      </c>
      <c r="I126" s="85">
        <v>3.404529021669217E-2</v>
      </c>
      <c r="J126" s="85">
        <f t="shared" si="6"/>
        <v>8.5575936635024705E-3</v>
      </c>
      <c r="K126" s="85">
        <f>H126/'סכום נכסי הקרן'!$C$42</f>
        <v>5.8905066339314796E-4</v>
      </c>
    </row>
    <row r="127" spans="2:11" s="122" customFormat="1">
      <c r="B127" s="77" t="s">
        <v>2356</v>
      </c>
      <c r="C127" s="74">
        <v>5239</v>
      </c>
      <c r="D127" s="87" t="s">
        <v>164</v>
      </c>
      <c r="E127" s="97">
        <v>43223</v>
      </c>
      <c r="F127" s="84">
        <v>621667.5</v>
      </c>
      <c r="G127" s="86">
        <v>93.582999999999998</v>
      </c>
      <c r="H127" s="84">
        <v>2074.02819</v>
      </c>
      <c r="I127" s="85">
        <v>2.6528121296296299E-4</v>
      </c>
      <c r="J127" s="85">
        <f t="shared" si="6"/>
        <v>5.7842953741350897E-4</v>
      </c>
      <c r="K127" s="85">
        <f>H127/'סכום נכסי הקרן'!$C$42</f>
        <v>3.9815433653128934E-5</v>
      </c>
    </row>
    <row r="128" spans="2:11" s="122" customFormat="1">
      <c r="B128" s="77" t="s">
        <v>2357</v>
      </c>
      <c r="C128" s="74">
        <v>7000</v>
      </c>
      <c r="D128" s="87" t="s">
        <v>164</v>
      </c>
      <c r="E128" s="97">
        <v>43137</v>
      </c>
      <c r="F128" s="84">
        <v>39144.92</v>
      </c>
      <c r="G128" s="86">
        <v>100</v>
      </c>
      <c r="H128" s="84">
        <v>139.55164000000002</v>
      </c>
      <c r="I128" s="85">
        <v>6.3929806170601455E-3</v>
      </c>
      <c r="J128" s="85">
        <f t="shared" si="6"/>
        <v>3.8919813607015897E-5</v>
      </c>
      <c r="K128" s="85">
        <f>H128/'סכום נכסי הקרן'!$C$42</f>
        <v>2.6789939936184448E-6</v>
      </c>
    </row>
    <row r="129" spans="2:11" s="122" customFormat="1">
      <c r="B129" s="77" t="s">
        <v>2358</v>
      </c>
      <c r="C129" s="74">
        <v>6640</v>
      </c>
      <c r="D129" s="87" t="s">
        <v>164</v>
      </c>
      <c r="E129" s="97">
        <v>43563</v>
      </c>
      <c r="F129" s="84">
        <v>355214.51</v>
      </c>
      <c r="G129" s="86">
        <v>94.704599999999999</v>
      </c>
      <c r="H129" s="84">
        <v>1199.28197</v>
      </c>
      <c r="I129" s="85">
        <v>1.1636057720588236E-3</v>
      </c>
      <c r="J129" s="85">
        <f t="shared" si="6"/>
        <v>3.3446995488304416E-4</v>
      </c>
      <c r="K129" s="85">
        <f>H129/'סכום נכסי הקרן'!$C$42</f>
        <v>2.3022797827993247E-5</v>
      </c>
    </row>
    <row r="130" spans="2:11" s="122" customFormat="1">
      <c r="B130" s="77" t="s">
        <v>2359</v>
      </c>
      <c r="C130" s="74">
        <v>5292</v>
      </c>
      <c r="D130" s="87" t="s">
        <v>166</v>
      </c>
      <c r="E130" s="97">
        <v>42814</v>
      </c>
      <c r="F130" s="84">
        <v>504185.74</v>
      </c>
      <c r="G130" s="86">
        <v>1E-4</v>
      </c>
      <c r="H130" s="84">
        <v>1.9499999999999999E-3</v>
      </c>
      <c r="I130" s="85">
        <v>2.4884052260526349E-3</v>
      </c>
      <c r="J130" s="85">
        <f t="shared" si="6"/>
        <v>5.4383908733484602E-10</v>
      </c>
      <c r="K130" s="85">
        <f>H130/'סכום נכסי הקרן'!$C$42</f>
        <v>3.7434445683017172E-11</v>
      </c>
    </row>
    <row r="131" spans="2:11" s="122" customFormat="1">
      <c r="B131" s="77" t="s">
        <v>2360</v>
      </c>
      <c r="C131" s="74">
        <v>5329</v>
      </c>
      <c r="D131" s="87" t="s">
        <v>164</v>
      </c>
      <c r="E131" s="97">
        <v>43261</v>
      </c>
      <c r="F131" s="84">
        <v>826067.01</v>
      </c>
      <c r="G131" s="86">
        <v>144.58279999999999</v>
      </c>
      <c r="H131" s="84">
        <v>4257.8606300000001</v>
      </c>
      <c r="I131" s="85">
        <v>9.0280547540983608E-4</v>
      </c>
      <c r="J131" s="85">
        <f t="shared" si="6"/>
        <v>1.1874825841118833E-3</v>
      </c>
      <c r="K131" s="85">
        <f>H131/'סכום נכסי הקרן'!$C$42</f>
        <v>8.1738796143380655E-5</v>
      </c>
    </row>
    <row r="132" spans="2:11" s="122" customFormat="1">
      <c r="B132" s="77" t="s">
        <v>2361</v>
      </c>
      <c r="C132" s="74">
        <v>5296</v>
      </c>
      <c r="D132" s="87" t="s">
        <v>164</v>
      </c>
      <c r="E132" s="97">
        <v>42912</v>
      </c>
      <c r="F132" s="84">
        <v>1139402.8</v>
      </c>
      <c r="G132" s="86">
        <v>117.5625</v>
      </c>
      <c r="H132" s="84">
        <v>4775.3546100000003</v>
      </c>
      <c r="I132" s="85">
        <v>9.2491501745271529E-2</v>
      </c>
      <c r="J132" s="85">
        <f t="shared" si="6"/>
        <v>1.3318074322064869E-3</v>
      </c>
      <c r="K132" s="85">
        <f>H132/'סכום נכסי הקרן'!$C$42</f>
        <v>9.167320654625162E-5</v>
      </c>
    </row>
    <row r="133" spans="2:11" s="122" customFormat="1">
      <c r="B133" s="77" t="s">
        <v>2362</v>
      </c>
      <c r="C133" s="74">
        <v>5059</v>
      </c>
      <c r="D133" s="87" t="s">
        <v>166</v>
      </c>
      <c r="E133" s="97">
        <v>39255</v>
      </c>
      <c r="F133" s="84">
        <v>2882100</v>
      </c>
      <c r="G133" s="86">
        <v>4.7736000000000001</v>
      </c>
      <c r="H133" s="84">
        <v>536.60299999999995</v>
      </c>
      <c r="I133" s="85">
        <v>6.2630480167014616E-3</v>
      </c>
      <c r="J133" s="85">
        <f t="shared" si="6"/>
        <v>1.4965419783648224E-4</v>
      </c>
      <c r="K133" s="85">
        <f>H133/'סכום נכסי הקרן'!$C$42</f>
        <v>1.0301249157355929E-5</v>
      </c>
    </row>
    <row r="134" spans="2:11" s="122" customFormat="1">
      <c r="B134" s="77" t="s">
        <v>2363</v>
      </c>
      <c r="C134" s="74">
        <v>5297</v>
      </c>
      <c r="D134" s="87" t="s">
        <v>164</v>
      </c>
      <c r="E134" s="97">
        <v>42916</v>
      </c>
      <c r="F134" s="84">
        <v>10159782.300000001</v>
      </c>
      <c r="G134" s="86">
        <v>113.9255</v>
      </c>
      <c r="H134" s="84">
        <v>41263.387609999998</v>
      </c>
      <c r="I134" s="85">
        <v>7.3672381679708845E-3</v>
      </c>
      <c r="J134" s="85">
        <f t="shared" si="6"/>
        <v>1.150802208111097E-2</v>
      </c>
      <c r="K134" s="85">
        <f>H134/'סכום נכסי הקרן'!$C$42</f>
        <v>7.9213950881221987E-4</v>
      </c>
    </row>
    <row r="135" spans="2:11" s="122" customFormat="1">
      <c r="B135" s="77" t="s">
        <v>2364</v>
      </c>
      <c r="C135" s="74">
        <v>6659</v>
      </c>
      <c r="D135" s="87" t="s">
        <v>164</v>
      </c>
      <c r="E135" s="97">
        <v>43570</v>
      </c>
      <c r="F135" s="84">
        <v>1171885.92</v>
      </c>
      <c r="G135" s="86">
        <v>98.586600000000004</v>
      </c>
      <c r="H135" s="84">
        <v>4118.7246400000004</v>
      </c>
      <c r="I135" s="85">
        <v>8.2715463163906353E-3</v>
      </c>
      <c r="J135" s="85">
        <f t="shared" si="6"/>
        <v>1.1486786918980217E-3</v>
      </c>
      <c r="K135" s="85">
        <f>H135/'סכום נכסי הקרן'!$C$42</f>
        <v>7.9067781445838194E-5</v>
      </c>
    </row>
    <row r="136" spans="2:11" s="122" customFormat="1">
      <c r="B136" s="77" t="s">
        <v>2365</v>
      </c>
      <c r="C136" s="74">
        <v>5293</v>
      </c>
      <c r="D136" s="87" t="s">
        <v>164</v>
      </c>
      <c r="E136" s="97">
        <v>42859</v>
      </c>
      <c r="F136" s="84">
        <v>477205</v>
      </c>
      <c r="G136" s="86">
        <v>108.8973</v>
      </c>
      <c r="H136" s="84">
        <v>1852.59988</v>
      </c>
      <c r="I136" s="85">
        <v>5.520515555248308E-4</v>
      </c>
      <c r="J136" s="85">
        <f t="shared" si="6"/>
        <v>5.1667498868504882E-4</v>
      </c>
      <c r="K136" s="85">
        <f>H136/'סכום נכסי הקרן'!$C$42</f>
        <v>3.5564640810371346E-5</v>
      </c>
    </row>
    <row r="137" spans="2:11" s="122" customFormat="1">
      <c r="B137" s="77" t="s">
        <v>2366</v>
      </c>
      <c r="C137" s="74">
        <v>4023</v>
      </c>
      <c r="D137" s="87" t="s">
        <v>166</v>
      </c>
      <c r="E137" s="97">
        <v>39205</v>
      </c>
      <c r="F137" s="84">
        <v>2534941</v>
      </c>
      <c r="G137" s="86">
        <v>6.0086000000000004</v>
      </c>
      <c r="H137" s="84">
        <v>594.07209</v>
      </c>
      <c r="I137" s="85">
        <v>3.9999999999999994E-2</v>
      </c>
      <c r="J137" s="85">
        <f t="shared" si="6"/>
        <v>1.6568185807010487E-4</v>
      </c>
      <c r="K137" s="85">
        <f>H137/'סכום נכסי הקרן'!$C$42</f>
        <v>1.1404491992257174E-5</v>
      </c>
    </row>
    <row r="138" spans="2:11" s="122" customFormat="1">
      <c r="B138" s="77" t="s">
        <v>2367</v>
      </c>
      <c r="C138" s="74">
        <v>5313</v>
      </c>
      <c r="D138" s="87" t="s">
        <v>164</v>
      </c>
      <c r="E138" s="97">
        <v>43098</v>
      </c>
      <c r="F138" s="84">
        <v>383489.11</v>
      </c>
      <c r="G138" s="86">
        <v>98.569199999999995</v>
      </c>
      <c r="H138" s="84">
        <v>1347.5776699999999</v>
      </c>
      <c r="I138" s="85">
        <v>1.9100247102146737E-3</v>
      </c>
      <c r="J138" s="85">
        <f t="shared" si="6"/>
        <v>3.758284154695478E-4</v>
      </c>
      <c r="K138" s="85">
        <f>H138/'סכום נכסי הקרן'!$C$42</f>
        <v>2.5869652867313761E-5</v>
      </c>
    </row>
    <row r="139" spans="2:11" s="122" customFormat="1">
      <c r="B139" s="77" t="s">
        <v>2368</v>
      </c>
      <c r="C139" s="74">
        <v>4030</v>
      </c>
      <c r="D139" s="87" t="s">
        <v>164</v>
      </c>
      <c r="E139" s="97">
        <v>39377</v>
      </c>
      <c r="F139" s="84">
        <v>600000</v>
      </c>
      <c r="G139" s="86">
        <v>1E-4</v>
      </c>
      <c r="H139" s="84">
        <v>2.1399999999999995E-3</v>
      </c>
      <c r="I139" s="85">
        <v>1.0499999999999999E-3</v>
      </c>
      <c r="J139" s="85">
        <f t="shared" si="6"/>
        <v>5.9682853687003604E-10</v>
      </c>
      <c r="K139" s="85">
        <f>H139/'סכום נכסי הקרן'!$C$42</f>
        <v>4.1081904493157296E-11</v>
      </c>
    </row>
    <row r="140" spans="2:11" s="122" customFormat="1">
      <c r="B140" s="77" t="s">
        <v>2369</v>
      </c>
      <c r="C140" s="74">
        <v>5326</v>
      </c>
      <c r="D140" s="87" t="s">
        <v>167</v>
      </c>
      <c r="E140" s="97">
        <v>43234</v>
      </c>
      <c r="F140" s="84">
        <v>9479448.5800000001</v>
      </c>
      <c r="G140" s="86">
        <v>96.433300000000003</v>
      </c>
      <c r="H140" s="84">
        <v>40209.120470000002</v>
      </c>
      <c r="I140" s="85">
        <v>2.0833941010312277E-2</v>
      </c>
      <c r="J140" s="85">
        <f t="shared" si="6"/>
        <v>1.1213995578944449E-2</v>
      </c>
      <c r="K140" s="85">
        <f>H140/'סכום נכסי הקרן'!$C$42</f>
        <v>7.7190058266467124E-4</v>
      </c>
    </row>
    <row r="141" spans="2:11" s="122" customFormat="1">
      <c r="B141" s="77" t="s">
        <v>2370</v>
      </c>
      <c r="C141" s="74">
        <v>7036</v>
      </c>
      <c r="D141" s="87" t="s">
        <v>164</v>
      </c>
      <c r="E141" s="97">
        <v>43859</v>
      </c>
      <c r="F141" s="84">
        <v>79792177.510000005</v>
      </c>
      <c r="G141" s="86">
        <v>96.675399999999996</v>
      </c>
      <c r="H141" s="84">
        <v>275001.98517</v>
      </c>
      <c r="I141" s="85">
        <v>8.6006864896488525E-3</v>
      </c>
      <c r="J141" s="85">
        <f t="shared" si="6"/>
        <v>7.6695809553909561E-2</v>
      </c>
      <c r="K141" s="85">
        <f>H141/'סכום נכסי הקרן'!$C$42</f>
        <v>5.2792548084965429E-3</v>
      </c>
    </row>
    <row r="142" spans="2:11" s="122" customFormat="1">
      <c r="B142" s="77" t="s">
        <v>2371</v>
      </c>
      <c r="C142" s="74">
        <v>5336</v>
      </c>
      <c r="D142" s="87" t="s">
        <v>166</v>
      </c>
      <c r="E142" s="97">
        <v>43363</v>
      </c>
      <c r="F142" s="84">
        <v>935058.98</v>
      </c>
      <c r="G142" s="86">
        <v>100.419</v>
      </c>
      <c r="H142" s="84">
        <v>3662.2915200000002</v>
      </c>
      <c r="I142" s="85">
        <v>4.427784551669563E-3</v>
      </c>
      <c r="J142" s="85">
        <f t="shared" si="6"/>
        <v>1.0213832193799724E-3</v>
      </c>
      <c r="K142" s="85">
        <f>H142/'סכום נכסי הקרן'!$C$42</f>
        <v>7.0305565631186879E-5</v>
      </c>
    </row>
    <row r="143" spans="2:11" s="122" customFormat="1">
      <c r="B143" s="77" t="s">
        <v>2372</v>
      </c>
      <c r="C143" s="74">
        <v>5308</v>
      </c>
      <c r="D143" s="87" t="s">
        <v>164</v>
      </c>
      <c r="E143" s="97">
        <v>43072</v>
      </c>
      <c r="F143" s="84">
        <v>679273.13</v>
      </c>
      <c r="G143" s="86">
        <v>106.2753</v>
      </c>
      <c r="H143" s="84">
        <v>2573.5719300000001</v>
      </c>
      <c r="I143" s="85">
        <v>2.1064943336501431E-3</v>
      </c>
      <c r="J143" s="85">
        <f t="shared" si="6"/>
        <v>7.1774821005219399E-4</v>
      </c>
      <c r="K143" s="85">
        <f>H143/'סכום נכסי הקרן'!$C$42</f>
        <v>4.9405250576883426E-5</v>
      </c>
    </row>
    <row r="144" spans="2:11" s="122" customFormat="1">
      <c r="B144" s="77" t="s">
        <v>2373</v>
      </c>
      <c r="C144" s="74">
        <v>5309</v>
      </c>
      <c r="D144" s="87" t="s">
        <v>164</v>
      </c>
      <c r="E144" s="97">
        <v>43125</v>
      </c>
      <c r="F144" s="84">
        <v>10139765.01</v>
      </c>
      <c r="G144" s="86">
        <v>97.054299999999998</v>
      </c>
      <c r="H144" s="84">
        <v>35083.442889999998</v>
      </c>
      <c r="I144" s="85">
        <v>2.6982657864785254E-2</v>
      </c>
      <c r="J144" s="85">
        <f t="shared" si="6"/>
        <v>9.7844859291598921E-3</v>
      </c>
      <c r="K144" s="85">
        <f>H144/'סכום נכסי הקרן'!$C$42</f>
        <v>6.7350217294304615E-4</v>
      </c>
    </row>
    <row r="145" spans="2:11" s="122" customFormat="1">
      <c r="B145" s="77" t="s">
        <v>2374</v>
      </c>
      <c r="C145" s="74">
        <v>5321</v>
      </c>
      <c r="D145" s="87" t="s">
        <v>164</v>
      </c>
      <c r="E145" s="97">
        <v>43201</v>
      </c>
      <c r="F145" s="84">
        <v>3859204.97</v>
      </c>
      <c r="G145" s="86">
        <v>113.7363</v>
      </c>
      <c r="H145" s="84">
        <v>15647.914929999999</v>
      </c>
      <c r="I145" s="85">
        <v>8.2645300961538466E-4</v>
      </c>
      <c r="J145" s="85">
        <f t="shared" si="6"/>
        <v>4.3640757816535945E-3</v>
      </c>
      <c r="K145" s="85">
        <f>H145/'סכום נכסי הקרן'!$C$42</f>
        <v>3.0039539564079922E-4</v>
      </c>
    </row>
    <row r="146" spans="2:11" s="122" customFormat="1">
      <c r="B146" s="77" t="s">
        <v>2375</v>
      </c>
      <c r="C146" s="74">
        <v>7012</v>
      </c>
      <c r="D146" s="87" t="s">
        <v>166</v>
      </c>
      <c r="E146" s="97">
        <v>43721</v>
      </c>
      <c r="F146" s="84">
        <v>196895.35</v>
      </c>
      <c r="G146" s="86">
        <v>97.174000000000007</v>
      </c>
      <c r="H146" s="84">
        <v>746.24860999999999</v>
      </c>
      <c r="I146" s="85">
        <v>9.9674959469520379E-4</v>
      </c>
      <c r="J146" s="85">
        <f t="shared" si="6"/>
        <v>2.0812264768579354E-4</v>
      </c>
      <c r="K146" s="85">
        <f>H146/'סכום נכסי הקרן'!$C$42</f>
        <v>1.4325847721575417E-5</v>
      </c>
    </row>
    <row r="147" spans="2:11" s="122" customFormat="1">
      <c r="B147" s="77" t="s">
        <v>2376</v>
      </c>
      <c r="C147" s="74">
        <v>6653</v>
      </c>
      <c r="D147" s="87" t="s">
        <v>164</v>
      </c>
      <c r="E147" s="97">
        <v>43516</v>
      </c>
      <c r="F147" s="84">
        <v>65667665</v>
      </c>
      <c r="G147" s="86">
        <v>95.291799999999995</v>
      </c>
      <c r="H147" s="84">
        <v>223083.08350000001</v>
      </c>
      <c r="I147" s="85">
        <v>6.7056510385673021E-3</v>
      </c>
      <c r="J147" s="85">
        <f t="shared" si="6"/>
        <v>6.2216051554093973E-2</v>
      </c>
      <c r="K147" s="85">
        <f>H147/'סכום נכסי הקרן'!$C$42</f>
        <v>4.2825597805542228E-3</v>
      </c>
    </row>
    <row r="148" spans="2:11" s="122" customFormat="1">
      <c r="B148" s="77" t="s">
        <v>2377</v>
      </c>
      <c r="C148" s="74">
        <v>7001</v>
      </c>
      <c r="D148" s="87" t="s">
        <v>166</v>
      </c>
      <c r="E148" s="97">
        <v>43612</v>
      </c>
      <c r="F148" s="84">
        <v>919937.56</v>
      </c>
      <c r="G148" s="86">
        <v>98.982600000000005</v>
      </c>
      <c r="H148" s="84">
        <v>3551.5277999999998</v>
      </c>
      <c r="I148" s="85">
        <v>1.5180487783333335E-2</v>
      </c>
      <c r="J148" s="85">
        <f t="shared" si="6"/>
        <v>9.9049212174170953E-4</v>
      </c>
      <c r="K148" s="85">
        <f>H148/'סכום נכסי הקרן'!$C$42</f>
        <v>6.8179217702987418E-5</v>
      </c>
    </row>
    <row r="149" spans="2:11" s="122" customFormat="1">
      <c r="B149" s="77" t="s">
        <v>2378</v>
      </c>
      <c r="C149" s="74">
        <v>5303</v>
      </c>
      <c r="D149" s="87" t="s">
        <v>166</v>
      </c>
      <c r="E149" s="97">
        <v>43034</v>
      </c>
      <c r="F149" s="84">
        <v>14811938.82</v>
      </c>
      <c r="G149" s="86">
        <v>100.26300000000001</v>
      </c>
      <c r="H149" s="84">
        <v>57922.94268</v>
      </c>
      <c r="I149" s="85">
        <v>2.6200695953757226E-2</v>
      </c>
      <c r="J149" s="85">
        <f t="shared" si="6"/>
        <v>1.6154236042481947E-2</v>
      </c>
      <c r="K149" s="85">
        <f>H149/'סכום נכסי הקרן'!$C$42</f>
        <v>1.111955513617937E-3</v>
      </c>
    </row>
    <row r="150" spans="2:11" s="122" customFormat="1">
      <c r="B150" s="77" t="s">
        <v>2379</v>
      </c>
      <c r="C150" s="74">
        <v>7011</v>
      </c>
      <c r="D150" s="87" t="s">
        <v>166</v>
      </c>
      <c r="E150" s="97">
        <v>43698</v>
      </c>
      <c r="F150" s="84">
        <v>2824501.69</v>
      </c>
      <c r="G150" s="86">
        <v>96.483199999999997</v>
      </c>
      <c r="H150" s="84">
        <v>10628.979069999999</v>
      </c>
      <c r="I150" s="85">
        <v>2.2964962891666663E-2</v>
      </c>
      <c r="J150" s="85">
        <f t="shared" si="6"/>
        <v>2.964335526528195E-3</v>
      </c>
      <c r="K150" s="85">
        <f>H150/'סכום נכסי הקרן'!$C$42</f>
        <v>2.0404612290350838E-4</v>
      </c>
    </row>
    <row r="151" spans="2:11" s="122" customFormat="1">
      <c r="B151" s="77" t="s">
        <v>2380</v>
      </c>
      <c r="C151" s="74">
        <v>6644</v>
      </c>
      <c r="D151" s="87" t="s">
        <v>164</v>
      </c>
      <c r="E151" s="97">
        <v>43444</v>
      </c>
      <c r="F151" s="84">
        <v>775354.68</v>
      </c>
      <c r="G151" s="86">
        <v>103.2426</v>
      </c>
      <c r="H151" s="84">
        <v>2853.7694200000001</v>
      </c>
      <c r="I151" s="85">
        <v>2.527973911764706E-3</v>
      </c>
      <c r="J151" s="85">
        <f t="shared" ref="J151:J199" si="7">H151/$H$11</f>
        <v>7.9589300350609894E-4</v>
      </c>
      <c r="K151" s="85">
        <f>H151/'סכום נכסי הקרן'!$C$42</f>
        <v>5.4784244279407909E-5</v>
      </c>
    </row>
    <row r="152" spans="2:11" s="122" customFormat="1">
      <c r="B152" s="77" t="s">
        <v>2381</v>
      </c>
      <c r="C152" s="74">
        <v>7017</v>
      </c>
      <c r="D152" s="87" t="s">
        <v>165</v>
      </c>
      <c r="E152" s="97">
        <v>43782</v>
      </c>
      <c r="F152" s="84">
        <v>22011636.699999999</v>
      </c>
      <c r="G152" s="86">
        <f>0.946694*100</f>
        <v>94.66940000000001</v>
      </c>
      <c r="H152" s="84">
        <v>20838.284390000001</v>
      </c>
      <c r="I152" s="85">
        <v>2.2011635200000001E-2</v>
      </c>
      <c r="J152" s="85">
        <f t="shared" si="7"/>
        <v>5.8116274688623428E-3</v>
      </c>
      <c r="K152" s="85">
        <f>H152/'סכום נכסי הקרן'!$C$42</f>
        <v>4.0003570519216391E-4</v>
      </c>
    </row>
    <row r="153" spans="2:11" s="122" customFormat="1">
      <c r="B153" s="77" t="s">
        <v>2382</v>
      </c>
      <c r="C153" s="74">
        <v>5258</v>
      </c>
      <c r="D153" s="87" t="s">
        <v>165</v>
      </c>
      <c r="E153" s="97">
        <v>42036</v>
      </c>
      <c r="F153" s="84">
        <v>48818446.689999998</v>
      </c>
      <c r="G153" s="86">
        <v>33.168999999999997</v>
      </c>
      <c r="H153" s="84">
        <v>16192.59058</v>
      </c>
      <c r="I153" s="85">
        <v>5.6495050356632381E-2</v>
      </c>
      <c r="J153" s="85">
        <f t="shared" si="7"/>
        <v>4.5159813756994998E-3</v>
      </c>
      <c r="K153" s="85">
        <f>H153/'סכום נכסי הקרן'!$C$42</f>
        <v>3.1085161668427977E-4</v>
      </c>
    </row>
    <row r="154" spans="2:11" s="122" customFormat="1">
      <c r="B154" s="77" t="s">
        <v>2383</v>
      </c>
      <c r="C154" s="74">
        <v>5121</v>
      </c>
      <c r="D154" s="87" t="s">
        <v>165</v>
      </c>
      <c r="E154" s="97">
        <v>39988</v>
      </c>
      <c r="F154" s="84">
        <v>38610484.789999999</v>
      </c>
      <c r="G154" s="86">
        <v>4.0231000000000003</v>
      </c>
      <c r="H154" s="84">
        <v>1553.3384099999998</v>
      </c>
      <c r="I154" s="85">
        <v>0.10322448979591836</v>
      </c>
      <c r="J154" s="85">
        <f t="shared" si="7"/>
        <v>4.3321340677772343E-4</v>
      </c>
      <c r="K154" s="85">
        <f>H154/'סכום נכסי הקרן'!$C$42</f>
        <v>2.9819672993071411E-5</v>
      </c>
    </row>
    <row r="155" spans="2:11" s="122" customFormat="1">
      <c r="B155" s="77" t="s">
        <v>2384</v>
      </c>
      <c r="C155" s="74">
        <v>6885</v>
      </c>
      <c r="D155" s="87" t="s">
        <v>166</v>
      </c>
      <c r="E155" s="97">
        <v>43608</v>
      </c>
      <c r="F155" s="84">
        <v>683121.95</v>
      </c>
      <c r="G155" s="86">
        <v>127.1551</v>
      </c>
      <c r="H155" s="84">
        <v>3387.8957500000001</v>
      </c>
      <c r="I155" s="85">
        <v>2.2770731666666669E-2</v>
      </c>
      <c r="J155" s="85">
        <f t="shared" si="7"/>
        <v>9.4485647829005317E-4</v>
      </c>
      <c r="K155" s="85">
        <f>H155/'סכום נכסי הקרן'!$C$42</f>
        <v>6.5037948427230626E-5</v>
      </c>
    </row>
    <row r="156" spans="2:11" s="122" customFormat="1">
      <c r="B156" s="77" t="s">
        <v>2385</v>
      </c>
      <c r="C156" s="74">
        <v>5317</v>
      </c>
      <c r="D156" s="87" t="s">
        <v>164</v>
      </c>
      <c r="E156" s="97">
        <v>43264</v>
      </c>
      <c r="F156" s="84">
        <v>4015410.03</v>
      </c>
      <c r="G156" s="86">
        <v>94.245400000000004</v>
      </c>
      <c r="H156" s="84">
        <v>13491.169400000001</v>
      </c>
      <c r="I156" s="85">
        <v>1.3543779663100124E-2</v>
      </c>
      <c r="J156" s="85">
        <f t="shared" si="7"/>
        <v>3.7625770531157961E-3</v>
      </c>
      <c r="K156" s="85">
        <f>H156/'סכום נכסי הקרן'!$C$42</f>
        <v>2.5899202466906843E-4</v>
      </c>
    </row>
    <row r="157" spans="2:11" s="122" customFormat="1">
      <c r="B157" s="77" t="s">
        <v>2386</v>
      </c>
      <c r="C157" s="74">
        <v>5340</v>
      </c>
      <c r="D157" s="87" t="s">
        <v>167</v>
      </c>
      <c r="E157" s="97">
        <v>43375</v>
      </c>
      <c r="F157" s="84">
        <v>695571.72</v>
      </c>
      <c r="G157" s="86">
        <v>115.9365</v>
      </c>
      <c r="H157" s="84">
        <v>3547.1256100000001</v>
      </c>
      <c r="I157" s="85">
        <v>3.1312976086956519E-3</v>
      </c>
      <c r="J157" s="85">
        <f t="shared" si="7"/>
        <v>9.892643868740815E-4</v>
      </c>
      <c r="K157" s="85">
        <f>H157/'סכום נכסי הקרן'!$C$42</f>
        <v>6.8094708194043152E-5</v>
      </c>
    </row>
    <row r="158" spans="2:11" s="122" customFormat="1">
      <c r="B158" s="77" t="s">
        <v>2387</v>
      </c>
      <c r="C158" s="74">
        <v>5278</v>
      </c>
      <c r="D158" s="87" t="s">
        <v>166</v>
      </c>
      <c r="E158" s="97">
        <v>42562</v>
      </c>
      <c r="F158" s="84">
        <v>5598240.8300000001</v>
      </c>
      <c r="G158" s="86">
        <v>77.179400000000001</v>
      </c>
      <c r="H158" s="84">
        <v>16851.982059999998</v>
      </c>
      <c r="I158" s="85">
        <v>1.8980667838312829E-2</v>
      </c>
      <c r="J158" s="85">
        <f t="shared" si="7"/>
        <v>4.6998802786121013E-3</v>
      </c>
      <c r="K158" s="85">
        <f>H158/'סכום נכסי הקרן'!$C$42</f>
        <v>3.2351005491089733E-4</v>
      </c>
    </row>
    <row r="159" spans="2:11" s="122" customFormat="1">
      <c r="B159" s="77" t="s">
        <v>2388</v>
      </c>
      <c r="C159" s="74">
        <v>5280</v>
      </c>
      <c r="D159" s="87" t="s">
        <v>167</v>
      </c>
      <c r="E159" s="97">
        <v>42604</v>
      </c>
      <c r="F159" s="84">
        <v>415997.23</v>
      </c>
      <c r="G159" s="86">
        <v>31.5212</v>
      </c>
      <c r="H159" s="84">
        <v>576.77662999999995</v>
      </c>
      <c r="I159" s="85">
        <v>1.0976180211081795E-2</v>
      </c>
      <c r="J159" s="85">
        <f t="shared" si="7"/>
        <v>1.6085829541295801E-4</v>
      </c>
      <c r="K159" s="85">
        <f>H159/'סכום נכסי הקרן'!$C$42</f>
        <v>1.1072468424086508E-5</v>
      </c>
    </row>
    <row r="160" spans="2:11" s="122" customFormat="1">
      <c r="B160" s="77" t="s">
        <v>2389</v>
      </c>
      <c r="C160" s="74">
        <v>5318</v>
      </c>
      <c r="D160" s="87" t="s">
        <v>166</v>
      </c>
      <c r="E160" s="97">
        <v>43165</v>
      </c>
      <c r="F160" s="84">
        <v>424542.75</v>
      </c>
      <c r="G160" s="86">
        <v>96.504800000000003</v>
      </c>
      <c r="H160" s="84">
        <v>1597.96902</v>
      </c>
      <c r="I160" s="85">
        <v>3.4515670731707316E-3</v>
      </c>
      <c r="J160" s="85">
        <f t="shared" si="7"/>
        <v>4.4566051970572221E-4</v>
      </c>
      <c r="K160" s="85">
        <f>H160/'סכום נכסי הקרן'!$C$42</f>
        <v>3.0676453580684198E-5</v>
      </c>
    </row>
    <row r="161" spans="2:11" s="122" customFormat="1">
      <c r="B161" s="77" t="s">
        <v>2390</v>
      </c>
      <c r="C161" s="74">
        <v>5319</v>
      </c>
      <c r="D161" s="87" t="s">
        <v>164</v>
      </c>
      <c r="E161" s="97">
        <v>43165</v>
      </c>
      <c r="F161" s="84">
        <v>795900.08</v>
      </c>
      <c r="G161" s="86">
        <v>98.424199999999999</v>
      </c>
      <c r="H161" s="84">
        <v>2792.6723099999999</v>
      </c>
      <c r="I161" s="85">
        <v>1.447127478357408E-2</v>
      </c>
      <c r="J161" s="85">
        <f t="shared" si="7"/>
        <v>7.7885351810035692E-4</v>
      </c>
      <c r="K161" s="85">
        <f>H161/'סכום נכסי הקרן'!$C$42</f>
        <v>5.3611353794441584E-5</v>
      </c>
    </row>
    <row r="162" spans="2:11" s="122" customFormat="1">
      <c r="B162" s="77" t="s">
        <v>2391</v>
      </c>
      <c r="C162" s="74">
        <v>5324</v>
      </c>
      <c r="D162" s="87" t="s">
        <v>166</v>
      </c>
      <c r="E162" s="97">
        <v>43192</v>
      </c>
      <c r="F162" s="84">
        <v>559756.52</v>
      </c>
      <c r="G162" s="86">
        <v>124.28189999999999</v>
      </c>
      <c r="H162" s="84">
        <v>2713.3452599999996</v>
      </c>
      <c r="I162" s="85">
        <v>6.2094436904761912E-3</v>
      </c>
      <c r="J162" s="85">
        <f t="shared" si="7"/>
        <v>7.5672985119114365E-4</v>
      </c>
      <c r="K162" s="85">
        <f>H162/'סכום נכסי הקרן'!$C$42</f>
        <v>5.2088500387047227E-5</v>
      </c>
    </row>
    <row r="163" spans="2:11" s="122" customFormat="1">
      <c r="B163" s="77" t="s">
        <v>2392</v>
      </c>
      <c r="C163" s="74">
        <v>5325</v>
      </c>
      <c r="D163" s="87" t="s">
        <v>164</v>
      </c>
      <c r="E163" s="97">
        <v>43201</v>
      </c>
      <c r="F163" s="84">
        <v>1090570.5</v>
      </c>
      <c r="G163" s="86">
        <v>134.3794</v>
      </c>
      <c r="H163" s="84">
        <v>5224.5149900000006</v>
      </c>
      <c r="I163" s="85">
        <v>6.4184493942933503E-4</v>
      </c>
      <c r="J163" s="85">
        <f t="shared" si="7"/>
        <v>1.4570745968865756E-3</v>
      </c>
      <c r="K163" s="85">
        <f>H163/'סכום נכסי הקרן'!$C$42</f>
        <v>1.0029580646834053E-4</v>
      </c>
    </row>
    <row r="164" spans="2:11" s="122" customFormat="1">
      <c r="B164" s="77" t="s">
        <v>2393</v>
      </c>
      <c r="C164" s="74">
        <v>5330</v>
      </c>
      <c r="D164" s="87" t="s">
        <v>164</v>
      </c>
      <c r="E164" s="97">
        <v>43272</v>
      </c>
      <c r="F164" s="84">
        <v>1102427.29</v>
      </c>
      <c r="G164" s="86">
        <v>86.650999999999996</v>
      </c>
      <c r="H164" s="84">
        <v>3405.51712</v>
      </c>
      <c r="I164" s="85">
        <v>5.7906572399372708E-4</v>
      </c>
      <c r="J164" s="85">
        <f t="shared" si="7"/>
        <v>9.4977093458666322E-4</v>
      </c>
      <c r="K164" s="85">
        <f>H164/'סכום נכסי הקרן'!$C$42</f>
        <v>6.5376228539089785E-5</v>
      </c>
    </row>
    <row r="165" spans="2:11" s="122" customFormat="1">
      <c r="B165" s="77" t="s">
        <v>2394</v>
      </c>
      <c r="C165" s="74">
        <v>5298</v>
      </c>
      <c r="D165" s="87" t="s">
        <v>164</v>
      </c>
      <c r="E165" s="97">
        <v>43188</v>
      </c>
      <c r="F165" s="84">
        <v>1653.79</v>
      </c>
      <c r="G165" s="86">
        <v>100</v>
      </c>
      <c r="H165" s="84">
        <v>5.8957600000000001</v>
      </c>
      <c r="I165" s="85">
        <v>3.4962304263040291E-2</v>
      </c>
      <c r="J165" s="85">
        <f t="shared" si="7"/>
        <v>1.644279352587329E-6</v>
      </c>
      <c r="K165" s="85">
        <f>H165/'סכום נכסי הקרן'!$C$42</f>
        <v>1.1318179870774633E-7</v>
      </c>
    </row>
    <row r="166" spans="2:11" s="122" customFormat="1">
      <c r="B166" s="77" t="s">
        <v>2395</v>
      </c>
      <c r="C166" s="74">
        <v>6651</v>
      </c>
      <c r="D166" s="87" t="s">
        <v>166</v>
      </c>
      <c r="E166" s="97">
        <v>43503</v>
      </c>
      <c r="F166" s="84">
        <v>11005067.27</v>
      </c>
      <c r="G166" s="86">
        <v>99.223699999999994</v>
      </c>
      <c r="H166" s="84">
        <v>42589.85211</v>
      </c>
      <c r="I166" s="85">
        <v>0.12484477902078989</v>
      </c>
      <c r="J166" s="85">
        <f t="shared" si="7"/>
        <v>1.1877962205758187E-2</v>
      </c>
      <c r="K166" s="85">
        <f>H166/'סכום נכסי הקרן'!$C$42</f>
        <v>8.1760384895360476E-4</v>
      </c>
    </row>
    <row r="167" spans="2:11" s="122" customFormat="1">
      <c r="B167" s="77" t="s">
        <v>2396</v>
      </c>
      <c r="C167" s="74">
        <v>4029</v>
      </c>
      <c r="D167" s="87" t="s">
        <v>164</v>
      </c>
      <c r="E167" s="97">
        <v>39321</v>
      </c>
      <c r="F167" s="84">
        <v>929488.22</v>
      </c>
      <c r="G167" s="86">
        <v>29.7837</v>
      </c>
      <c r="H167" s="84">
        <v>986.92027000000007</v>
      </c>
      <c r="I167" s="85">
        <v>4.9041518102948146E-3</v>
      </c>
      <c r="J167" s="85">
        <f t="shared" si="7"/>
        <v>2.7524400969695375E-4</v>
      </c>
      <c r="K167" s="85">
        <f>H167/'סכום נכסי הקרן'!$C$42</f>
        <v>1.8946058072196741E-5</v>
      </c>
    </row>
    <row r="168" spans="2:11" s="122" customFormat="1">
      <c r="B168" s="77" t="s">
        <v>2397</v>
      </c>
      <c r="C168" s="74">
        <v>5316</v>
      </c>
      <c r="D168" s="87" t="s">
        <v>164</v>
      </c>
      <c r="E168" s="97">
        <v>43175</v>
      </c>
      <c r="F168" s="84">
        <v>18541840.02</v>
      </c>
      <c r="G168" s="86">
        <v>70.138300000000001</v>
      </c>
      <c r="H168" s="84">
        <v>46362.580369999996</v>
      </c>
      <c r="I168" s="85">
        <v>5.0162146296296294E-3</v>
      </c>
      <c r="J168" s="85">
        <f t="shared" si="7"/>
        <v>1.2930145330722689E-2</v>
      </c>
      <c r="K168" s="85">
        <f>H168/'סכום נכסי הקרן'!$C$42</f>
        <v>8.9002948542835027E-4</v>
      </c>
    </row>
    <row r="169" spans="2:11" s="122" customFormat="1">
      <c r="B169" s="77" t="s">
        <v>2398</v>
      </c>
      <c r="C169" s="74">
        <v>5311</v>
      </c>
      <c r="D169" s="87" t="s">
        <v>164</v>
      </c>
      <c r="E169" s="97">
        <v>43089</v>
      </c>
      <c r="F169" s="84">
        <v>1481231.46</v>
      </c>
      <c r="G169" s="86">
        <v>100.7381</v>
      </c>
      <c r="H169" s="84">
        <v>5319.5661900000005</v>
      </c>
      <c r="I169" s="85">
        <v>2.086818263736264E-3</v>
      </c>
      <c r="J169" s="85">
        <f t="shared" si="7"/>
        <v>1.4835836009163611E-3</v>
      </c>
      <c r="K169" s="85">
        <f>H169/'סכום נכסי הקרן'!$C$42</f>
        <v>1.0212051876757416E-4</v>
      </c>
    </row>
    <row r="170" spans="2:11" s="122" customFormat="1">
      <c r="B170" s="77" t="s">
        <v>2399</v>
      </c>
      <c r="C170" s="74">
        <v>5331</v>
      </c>
      <c r="D170" s="87" t="s">
        <v>164</v>
      </c>
      <c r="E170" s="97">
        <v>43455</v>
      </c>
      <c r="F170" s="84">
        <v>7067094.1200000001</v>
      </c>
      <c r="G170" s="86">
        <v>114.2546</v>
      </c>
      <c r="H170" s="84">
        <v>28785.52162</v>
      </c>
      <c r="I170" s="85">
        <v>3.7042286828571427E-2</v>
      </c>
      <c r="J170" s="85">
        <f t="shared" si="7"/>
        <v>8.0280470801427067E-3</v>
      </c>
      <c r="K170" s="85">
        <f>H170/'סכום נכסי הקרן'!$C$42</f>
        <v>5.5260002335446483E-4</v>
      </c>
    </row>
    <row r="171" spans="2:11" s="122" customFormat="1">
      <c r="B171" s="77" t="s">
        <v>2400</v>
      </c>
      <c r="C171" s="74">
        <v>7010</v>
      </c>
      <c r="D171" s="87" t="s">
        <v>166</v>
      </c>
      <c r="E171" s="97">
        <v>37833</v>
      </c>
      <c r="F171" s="84">
        <v>165813.88</v>
      </c>
      <c r="G171" s="86">
        <v>99.339699999999993</v>
      </c>
      <c r="H171" s="84">
        <v>642.45356000000004</v>
      </c>
      <c r="I171" s="85">
        <v>2.9032376000000006E-3</v>
      </c>
      <c r="J171" s="85">
        <f t="shared" si="7"/>
        <v>1.7917505524380652E-4</v>
      </c>
      <c r="K171" s="85">
        <f>H171/'סכום נכסי הקרן'!$C$42</f>
        <v>1.2333278408041547E-5</v>
      </c>
    </row>
    <row r="172" spans="2:11" s="122" customFormat="1">
      <c r="B172" s="77" t="s">
        <v>2401</v>
      </c>
      <c r="C172" s="74">
        <v>5320</v>
      </c>
      <c r="D172" s="87" t="s">
        <v>164</v>
      </c>
      <c r="E172" s="97">
        <v>43448</v>
      </c>
      <c r="F172" s="84">
        <v>1761581.43</v>
      </c>
      <c r="G172" s="86">
        <v>98.214200000000005</v>
      </c>
      <c r="H172" s="84">
        <v>6167.8888499999994</v>
      </c>
      <c r="I172" s="85">
        <v>8.1262677978600744E-3</v>
      </c>
      <c r="J172" s="85">
        <f t="shared" si="7"/>
        <v>1.7201738681880884E-3</v>
      </c>
      <c r="K172" s="85">
        <f>H172/'סכום נכסי הקרן'!$C$42</f>
        <v>1.1840589750472422E-4</v>
      </c>
    </row>
    <row r="173" spans="2:11" s="122" customFormat="1">
      <c r="B173" s="77" t="s">
        <v>2402</v>
      </c>
      <c r="C173" s="74">
        <v>5287</v>
      </c>
      <c r="D173" s="87" t="s">
        <v>166</v>
      </c>
      <c r="E173" s="97">
        <v>42809</v>
      </c>
      <c r="F173" s="84">
        <v>17185022.390000001</v>
      </c>
      <c r="G173" s="86">
        <v>94.710700000000003</v>
      </c>
      <c r="H173" s="84">
        <v>63481.497320000002</v>
      </c>
      <c r="I173" s="85">
        <v>1.117512997939092E-2</v>
      </c>
      <c r="J173" s="85">
        <f t="shared" si="7"/>
        <v>1.7704471571876039E-2</v>
      </c>
      <c r="K173" s="85">
        <f>H173/'סכום נכסי הקרן'!$C$42</f>
        <v>1.2186639298985334E-3</v>
      </c>
    </row>
    <row r="174" spans="2:11" s="122" customFormat="1">
      <c r="B174" s="77" t="s">
        <v>2403</v>
      </c>
      <c r="C174" s="74">
        <v>7028</v>
      </c>
      <c r="D174" s="87" t="s">
        <v>166</v>
      </c>
      <c r="E174" s="97">
        <v>43866</v>
      </c>
      <c r="F174" s="84">
        <v>3318417.5</v>
      </c>
      <c r="G174" s="86">
        <v>93.969499999999996</v>
      </c>
      <c r="H174" s="84">
        <v>12162.306779999999</v>
      </c>
      <c r="I174" s="85">
        <v>2.9121698113207545E-3</v>
      </c>
      <c r="J174" s="85">
        <f t="shared" si="7"/>
        <v>3.3919681123700559E-3</v>
      </c>
      <c r="K174" s="85">
        <f>H174/'סכום נכסי הקרן'!$C$42</f>
        <v>2.33481647454411E-4</v>
      </c>
    </row>
    <row r="175" spans="2:11" s="122" customFormat="1">
      <c r="B175" s="77" t="s">
        <v>2404</v>
      </c>
      <c r="C175" s="74">
        <v>5335</v>
      </c>
      <c r="D175" s="87" t="s">
        <v>164</v>
      </c>
      <c r="E175" s="97">
        <v>43355</v>
      </c>
      <c r="F175" s="84">
        <v>7541166.3499999996</v>
      </c>
      <c r="G175" s="86">
        <v>107.5613</v>
      </c>
      <c r="H175" s="84">
        <v>28917.05747</v>
      </c>
      <c r="I175" s="85">
        <v>1.920711146574923E-2</v>
      </c>
      <c r="J175" s="85">
        <f t="shared" si="7"/>
        <v>8.0647313553303037E-3</v>
      </c>
      <c r="K175" s="85">
        <f>H175/'סכום נכסי הקרן'!$C$42</f>
        <v>5.5512513701200055E-4</v>
      </c>
    </row>
    <row r="176" spans="2:11" s="122" customFormat="1">
      <c r="B176" s="77" t="s">
        <v>2405</v>
      </c>
      <c r="C176" s="74">
        <v>7013</v>
      </c>
      <c r="D176" s="87" t="s">
        <v>166</v>
      </c>
      <c r="E176" s="97">
        <v>43733</v>
      </c>
      <c r="F176" s="84">
        <v>3301745.26</v>
      </c>
      <c r="G176" s="86">
        <v>98.15</v>
      </c>
      <c r="H176" s="84">
        <v>12639.557789999999</v>
      </c>
      <c r="I176" s="85">
        <v>8.804654072E-3</v>
      </c>
      <c r="J176" s="85">
        <f t="shared" si="7"/>
        <v>3.5250695245280217E-3</v>
      </c>
      <c r="K176" s="85">
        <f>H176/'סכום נכסי הקרן'!$C$42</f>
        <v>2.426435074600572E-4</v>
      </c>
    </row>
    <row r="177" spans="2:11" s="122" customFormat="1">
      <c r="B177" s="77" t="s">
        <v>2406</v>
      </c>
      <c r="C177" s="74">
        <v>5306</v>
      </c>
      <c r="D177" s="87" t="s">
        <v>166</v>
      </c>
      <c r="E177" s="97">
        <v>43068</v>
      </c>
      <c r="F177" s="84">
        <v>321744.51</v>
      </c>
      <c r="G177" s="86">
        <v>66.595500000000001</v>
      </c>
      <c r="H177" s="84">
        <v>835.70699000000002</v>
      </c>
      <c r="I177" s="85">
        <v>1.3273712920298165E-3</v>
      </c>
      <c r="J177" s="85">
        <f t="shared" si="7"/>
        <v>2.3307185985689809E-4</v>
      </c>
      <c r="K177" s="85">
        <f>H177/'סכום נכסי הקרן'!$C$42</f>
        <v>1.6043193807216808E-5</v>
      </c>
    </row>
    <row r="178" spans="2:11" s="122" customFormat="1">
      <c r="B178" s="77" t="s">
        <v>2407</v>
      </c>
      <c r="C178" s="74">
        <v>5268</v>
      </c>
      <c r="D178" s="87" t="s">
        <v>166</v>
      </c>
      <c r="E178" s="97">
        <v>42206</v>
      </c>
      <c r="F178" s="84">
        <v>7464207.5599999996</v>
      </c>
      <c r="G178" s="86">
        <v>95.506299999999996</v>
      </c>
      <c r="H178" s="84">
        <v>27804.413629999999</v>
      </c>
      <c r="I178" s="85">
        <v>3.9035591274397246E-3</v>
      </c>
      <c r="J178" s="85">
        <f t="shared" si="7"/>
        <v>7.7544240679075652E-3</v>
      </c>
      <c r="K178" s="85">
        <f>H178/'סכום נכסי הקרן'!$C$42</f>
        <v>5.3376554450275762E-4</v>
      </c>
    </row>
    <row r="179" spans="2:11" s="122" customFormat="1">
      <c r="B179" s="77" t="s">
        <v>2408</v>
      </c>
      <c r="C179" s="74">
        <v>4022</v>
      </c>
      <c r="D179" s="87" t="s">
        <v>164</v>
      </c>
      <c r="E179" s="97">
        <v>39134</v>
      </c>
      <c r="F179" s="84">
        <v>338203.28</v>
      </c>
      <c r="G179" s="86">
        <v>1E-4</v>
      </c>
      <c r="H179" s="84">
        <v>1.2099999999999999E-3</v>
      </c>
      <c r="I179" s="85">
        <v>4.2000000000000006E-3</v>
      </c>
      <c r="J179" s="85">
        <f t="shared" si="7"/>
        <v>3.374591259872634E-10</v>
      </c>
      <c r="K179" s="85">
        <f>H179/'סכום נכסי הקרן'!$C$42</f>
        <v>2.3228553475102961E-11</v>
      </c>
    </row>
    <row r="180" spans="2:11" s="122" customFormat="1">
      <c r="B180" s="77" t="s">
        <v>2409</v>
      </c>
      <c r="C180" s="74">
        <v>5304</v>
      </c>
      <c r="D180" s="87" t="s">
        <v>166</v>
      </c>
      <c r="E180" s="97">
        <v>43080</v>
      </c>
      <c r="F180" s="84">
        <v>21729039.039999999</v>
      </c>
      <c r="G180" s="86">
        <v>92.096199999999996</v>
      </c>
      <c r="H180" s="84">
        <v>78051.318599999999</v>
      </c>
      <c r="I180" s="85">
        <v>4.5327203999999998E-3</v>
      </c>
      <c r="J180" s="85">
        <f t="shared" si="7"/>
        <v>2.1767875832156558E-2</v>
      </c>
      <c r="K180" s="85">
        <f>H180/'סכום נכסי הקרן'!$C$42</f>
        <v>1.498362998266445E-3</v>
      </c>
    </row>
    <row r="181" spans="2:11" s="122" customFormat="1">
      <c r="B181" s="77" t="s">
        <v>2410</v>
      </c>
      <c r="C181" s="74">
        <v>5233</v>
      </c>
      <c r="D181" s="87" t="s">
        <v>164</v>
      </c>
      <c r="E181" s="97">
        <v>41269</v>
      </c>
      <c r="F181" s="84">
        <v>7414011.75</v>
      </c>
      <c r="G181" s="86">
        <v>13.7744</v>
      </c>
      <c r="H181" s="84">
        <v>3640.7050299999996</v>
      </c>
      <c r="I181" s="85">
        <v>8.5047385835919521E-3</v>
      </c>
      <c r="J181" s="85">
        <f t="shared" si="7"/>
        <v>1.0153629234720938E-3</v>
      </c>
      <c r="K181" s="85">
        <f>H181/'סכום נכסי הקרן'!$C$42</f>
        <v>6.9891166509447383E-5</v>
      </c>
    </row>
    <row r="182" spans="2:11" s="122" customFormat="1">
      <c r="B182" s="77" t="s">
        <v>2411</v>
      </c>
      <c r="C182" s="74">
        <v>5267</v>
      </c>
      <c r="D182" s="87" t="s">
        <v>166</v>
      </c>
      <c r="E182" s="97">
        <v>42446</v>
      </c>
      <c r="F182" s="84">
        <v>8746687.3100000005</v>
      </c>
      <c r="G182" s="86">
        <v>105.7606</v>
      </c>
      <c r="H182" s="84">
        <v>36079.916189999996</v>
      </c>
      <c r="I182" s="85">
        <v>1.0688340629370871E-2</v>
      </c>
      <c r="J182" s="85">
        <f t="shared" si="7"/>
        <v>1.0062394200967863E-2</v>
      </c>
      <c r="K182" s="85">
        <f>H182/'סכום נכסי הקרן'!$C$42</f>
        <v>6.9263162198070086E-4</v>
      </c>
    </row>
    <row r="183" spans="2:11" s="122" customFormat="1">
      <c r="B183" s="77" t="s">
        <v>2412</v>
      </c>
      <c r="C183" s="74">
        <v>5284</v>
      </c>
      <c r="D183" s="87" t="s">
        <v>166</v>
      </c>
      <c r="E183" s="97">
        <v>42662</v>
      </c>
      <c r="F183" s="84">
        <v>16578113.6</v>
      </c>
      <c r="G183" s="86">
        <v>80.034000000000006</v>
      </c>
      <c r="H183" s="84">
        <v>51749.677459999999</v>
      </c>
      <c r="I183" s="85">
        <v>1.8516791349999999E-2</v>
      </c>
      <c r="J183" s="85">
        <f t="shared" si="7"/>
        <v>1.4432562748573873E-2</v>
      </c>
      <c r="K183" s="85">
        <f>H183/'סכום נכסי הקרן'!$C$42</f>
        <v>9.9344640512309137E-4</v>
      </c>
    </row>
    <row r="184" spans="2:11" s="122" customFormat="1">
      <c r="B184" s="77" t="s">
        <v>2413</v>
      </c>
      <c r="C184" s="74">
        <v>6652</v>
      </c>
      <c r="D184" s="87" t="s">
        <v>164</v>
      </c>
      <c r="E184" s="97">
        <v>43816</v>
      </c>
      <c r="F184" s="84">
        <v>798723.92</v>
      </c>
      <c r="G184" s="86">
        <v>100</v>
      </c>
      <c r="H184" s="84">
        <v>2847.4507699999999</v>
      </c>
      <c r="I184" s="85">
        <v>2.29202968E-3</v>
      </c>
      <c r="J184" s="85">
        <f t="shared" si="7"/>
        <v>7.9413078358343814E-4</v>
      </c>
      <c r="K184" s="85">
        <f>H184/'סכום נכסי הקרן'!$C$42</f>
        <v>5.4662944197246369E-5</v>
      </c>
    </row>
    <row r="185" spans="2:11" s="122" customFormat="1">
      <c r="B185" s="77" t="s">
        <v>2414</v>
      </c>
      <c r="C185" s="74">
        <v>6646</v>
      </c>
      <c r="D185" s="87" t="s">
        <v>166</v>
      </c>
      <c r="E185" s="97">
        <v>43460</v>
      </c>
      <c r="F185" s="84">
        <v>20205138.690000001</v>
      </c>
      <c r="G185" s="86">
        <v>97.394999999999996</v>
      </c>
      <c r="H185" s="84">
        <v>76753.203480000011</v>
      </c>
      <c r="I185" s="85">
        <v>1.706211979950795E-2</v>
      </c>
      <c r="J185" s="85">
        <f t="shared" si="7"/>
        <v>2.1405842118250733E-2</v>
      </c>
      <c r="K185" s="85">
        <f>H185/'סכום נכסי הקרן'!$C$42</f>
        <v>1.4734428854716027E-3</v>
      </c>
    </row>
    <row r="186" spans="2:11" s="122" customFormat="1">
      <c r="B186" s="77" t="s">
        <v>2415</v>
      </c>
      <c r="C186" s="74">
        <v>5083</v>
      </c>
      <c r="D186" s="87" t="s">
        <v>164</v>
      </c>
      <c r="E186" s="97">
        <v>39415</v>
      </c>
      <c r="F186" s="84">
        <v>3693864</v>
      </c>
      <c r="G186" s="86">
        <v>70.038899999999998</v>
      </c>
      <c r="H186" s="84">
        <v>9223.1601899999987</v>
      </c>
      <c r="I186" s="85">
        <v>2.9136892404740572E-2</v>
      </c>
      <c r="J186" s="85">
        <f t="shared" si="7"/>
        <v>2.5722641128577868E-3</v>
      </c>
      <c r="K186" s="85">
        <f>H186/'סכום נכסי הקרן'!$C$42</f>
        <v>1.7705840469657504E-4</v>
      </c>
    </row>
    <row r="187" spans="2:11" s="122" customFormat="1">
      <c r="B187" s="77" t="s">
        <v>2416</v>
      </c>
      <c r="C187" s="74">
        <v>5276</v>
      </c>
      <c r="D187" s="87" t="s">
        <v>164</v>
      </c>
      <c r="E187" s="97">
        <v>42521</v>
      </c>
      <c r="F187" s="84">
        <v>15562279.32</v>
      </c>
      <c r="G187" s="86">
        <v>144.95930000000001</v>
      </c>
      <c r="H187" s="84">
        <v>80422.732230000009</v>
      </c>
      <c r="I187" s="85">
        <v>2.1066666666666668E-3</v>
      </c>
      <c r="J187" s="85">
        <f t="shared" si="7"/>
        <v>2.242924374201944E-2</v>
      </c>
      <c r="K187" s="85">
        <f>H187/'סכום נכסי הקרן'!$C$42</f>
        <v>1.5438873853044974E-3</v>
      </c>
    </row>
    <row r="188" spans="2:11" s="122" customFormat="1">
      <c r="B188" s="77" t="s">
        <v>2417</v>
      </c>
      <c r="C188" s="74">
        <v>6647</v>
      </c>
      <c r="D188" s="87" t="s">
        <v>164</v>
      </c>
      <c r="E188" s="97">
        <v>43510</v>
      </c>
      <c r="F188" s="84">
        <v>17087954.940000001</v>
      </c>
      <c r="G188" s="86">
        <v>105.2923</v>
      </c>
      <c r="H188" s="84">
        <v>64142.552240000005</v>
      </c>
      <c r="I188" s="85">
        <v>2.5233726033065378E-3</v>
      </c>
      <c r="J188" s="85">
        <f t="shared" si="7"/>
        <v>1.7888834394630401E-2</v>
      </c>
      <c r="K188" s="85">
        <f>H188/'סכום נכסי הקרן'!$C$42</f>
        <v>1.2313543014350623E-3</v>
      </c>
    </row>
    <row r="189" spans="2:11" s="122" customFormat="1">
      <c r="B189" s="77" t="s">
        <v>2418</v>
      </c>
      <c r="C189" s="74">
        <v>6642</v>
      </c>
      <c r="D189" s="87" t="s">
        <v>164</v>
      </c>
      <c r="E189" s="97">
        <v>43465</v>
      </c>
      <c r="F189" s="84">
        <v>1802520.9</v>
      </c>
      <c r="G189" s="86">
        <v>96.271000000000001</v>
      </c>
      <c r="H189" s="84">
        <v>6186.3619699999999</v>
      </c>
      <c r="I189" s="85">
        <v>1.4802691666666668E-3</v>
      </c>
      <c r="J189" s="85">
        <f t="shared" si="7"/>
        <v>1.7253258706091282E-3</v>
      </c>
      <c r="K189" s="85">
        <f>H189/'סכום נכסי הקרן'!$C$42</f>
        <v>1.1876052879048621E-4</v>
      </c>
    </row>
    <row r="190" spans="2:11" s="122" customFormat="1">
      <c r="B190" s="77" t="s">
        <v>2419</v>
      </c>
      <c r="C190" s="74">
        <v>5337</v>
      </c>
      <c r="D190" s="87" t="s">
        <v>164</v>
      </c>
      <c r="E190" s="97">
        <v>43490</v>
      </c>
      <c r="F190" s="84">
        <v>8975871.2799999993</v>
      </c>
      <c r="G190" s="86">
        <v>97.939899999999994</v>
      </c>
      <c r="H190" s="84">
        <v>31339.770120000001</v>
      </c>
      <c r="I190" s="85">
        <v>4.1007092333333328E-3</v>
      </c>
      <c r="J190" s="85">
        <f t="shared" si="7"/>
        <v>8.7404061432536807E-3</v>
      </c>
      <c r="K190" s="85">
        <f>H190/'סכום נכסי הקרן'!$C$42</f>
        <v>6.0163431911558181E-4</v>
      </c>
    </row>
    <row r="191" spans="2:11" s="122" customFormat="1">
      <c r="B191" s="77" t="s">
        <v>2420</v>
      </c>
      <c r="C191" s="74">
        <v>5269</v>
      </c>
      <c r="D191" s="87" t="s">
        <v>166</v>
      </c>
      <c r="E191" s="97">
        <v>42271</v>
      </c>
      <c r="F191" s="84">
        <v>8857020.6199999992</v>
      </c>
      <c r="G191" s="86">
        <v>107.92400000000001</v>
      </c>
      <c r="H191" s="84">
        <v>37282.386319999998</v>
      </c>
      <c r="I191" s="85">
        <v>2.2184807368525305E-2</v>
      </c>
      <c r="J191" s="85">
        <f t="shared" si="7"/>
        <v>1.0397753307658434E-2</v>
      </c>
      <c r="K191" s="85">
        <f>H191/'סכום נכסי הקרן'!$C$42</f>
        <v>7.1571562339964225E-4</v>
      </c>
    </row>
    <row r="192" spans="2:11" s="122" customFormat="1">
      <c r="B192" s="77" t="s">
        <v>2421</v>
      </c>
      <c r="C192" s="74">
        <v>5312</v>
      </c>
      <c r="D192" s="87" t="s">
        <v>164</v>
      </c>
      <c r="E192" s="97">
        <v>43095</v>
      </c>
      <c r="F192" s="84">
        <v>395625.96</v>
      </c>
      <c r="G192" s="86">
        <v>126.45829999999999</v>
      </c>
      <c r="H192" s="84">
        <v>1783.5761699999998</v>
      </c>
      <c r="I192" s="85">
        <v>1.509962234337937E-2</v>
      </c>
      <c r="J192" s="85">
        <f t="shared" si="7"/>
        <v>4.9742483922306669E-4</v>
      </c>
      <c r="K192" s="85">
        <f>H192/'סכום נכסי הקרן'!$C$42</f>
        <v>3.4239582183276307E-5</v>
      </c>
    </row>
    <row r="193" spans="2:11" s="122" customFormat="1">
      <c r="B193" s="77" t="s">
        <v>2422</v>
      </c>
      <c r="C193" s="74">
        <v>5227</v>
      </c>
      <c r="D193" s="87" t="s">
        <v>164</v>
      </c>
      <c r="E193" s="97">
        <v>40997</v>
      </c>
      <c r="F193" s="84">
        <v>2262715.73</v>
      </c>
      <c r="G193" s="86">
        <v>68.3947</v>
      </c>
      <c r="H193" s="84">
        <v>5517.1142499999996</v>
      </c>
      <c r="I193" s="85">
        <v>3.0303030303030303E-3</v>
      </c>
      <c r="J193" s="85">
        <f t="shared" si="7"/>
        <v>1.5386781427908067E-3</v>
      </c>
      <c r="K193" s="85">
        <f>H193/'סכום נכסי הקרן'!$C$42</f>
        <v>1.0591287883006411E-4</v>
      </c>
    </row>
    <row r="194" spans="2:11" s="122" customFormat="1">
      <c r="B194" s="77" t="s">
        <v>2423</v>
      </c>
      <c r="C194" s="74">
        <v>5257</v>
      </c>
      <c r="D194" s="87" t="s">
        <v>164</v>
      </c>
      <c r="E194" s="97">
        <v>42033</v>
      </c>
      <c r="F194" s="84">
        <v>6616927.8799999999</v>
      </c>
      <c r="G194" s="86">
        <v>120.12860000000001</v>
      </c>
      <c r="H194" s="84">
        <v>28337.553350000002</v>
      </c>
      <c r="I194" s="85">
        <v>2.4990949283073514E-2</v>
      </c>
      <c r="J194" s="85">
        <f t="shared" si="7"/>
        <v>7.903112385213594E-3</v>
      </c>
      <c r="K194" s="85">
        <f>H194/'סכום נכסי הקרן'!$C$42</f>
        <v>5.4400030854880846E-4</v>
      </c>
    </row>
    <row r="195" spans="2:11" s="122" customFormat="1">
      <c r="B195" s="77" t="s">
        <v>2424</v>
      </c>
      <c r="C195" s="74">
        <v>7005</v>
      </c>
      <c r="D195" s="87" t="s">
        <v>164</v>
      </c>
      <c r="E195" s="97">
        <v>43636</v>
      </c>
      <c r="F195" s="84">
        <v>586794.26</v>
      </c>
      <c r="G195" s="86">
        <v>84.864400000000003</v>
      </c>
      <c r="H195" s="84">
        <v>1775.2966699999999</v>
      </c>
      <c r="I195" s="85">
        <v>3.9448353505882354E-3</v>
      </c>
      <c r="J195" s="85">
        <f t="shared" si="7"/>
        <v>4.9511575423661085E-4</v>
      </c>
      <c r="K195" s="85">
        <f>H195/'סכום נכסי הקרן'!$C$42</f>
        <v>3.4080639366336546E-5</v>
      </c>
    </row>
    <row r="196" spans="2:11" s="122" customFormat="1">
      <c r="B196" s="77" t="s">
        <v>2425</v>
      </c>
      <c r="C196" s="74">
        <v>5286</v>
      </c>
      <c r="D196" s="87" t="s">
        <v>164</v>
      </c>
      <c r="E196" s="97">
        <v>42727</v>
      </c>
      <c r="F196" s="84">
        <v>11995576.82</v>
      </c>
      <c r="G196" s="86">
        <v>120.6546</v>
      </c>
      <c r="H196" s="84">
        <v>51597.012299999995</v>
      </c>
      <c r="I196" s="85">
        <v>6.318782595639171E-3</v>
      </c>
      <c r="J196" s="85">
        <f t="shared" si="7"/>
        <v>1.4389985681249651E-2</v>
      </c>
      <c r="K196" s="85">
        <f>H196/'סכום נכסי הקרן'!$C$42</f>
        <v>9.9051566889759939E-4</v>
      </c>
    </row>
    <row r="197" spans="2:11" s="122" customFormat="1">
      <c r="B197" s="77" t="s">
        <v>2426</v>
      </c>
      <c r="C197" s="74">
        <v>5338</v>
      </c>
      <c r="D197" s="87" t="s">
        <v>164</v>
      </c>
      <c r="E197" s="97">
        <v>43375</v>
      </c>
      <c r="F197" s="84">
        <v>487591.61</v>
      </c>
      <c r="G197" s="86">
        <v>98.3626</v>
      </c>
      <c r="H197" s="84">
        <v>1709.8017299999999</v>
      </c>
      <c r="I197" s="85">
        <v>1.8085758857142858E-3</v>
      </c>
      <c r="J197" s="85">
        <f t="shared" si="7"/>
        <v>4.7684974993166191E-4</v>
      </c>
      <c r="K197" s="85">
        <f>H197/'סכום נכסי הקרן'!$C$42</f>
        <v>3.2823323072007075E-5</v>
      </c>
    </row>
    <row r="198" spans="2:11" s="122" customFormat="1">
      <c r="B198" s="77" t="s">
        <v>2427</v>
      </c>
      <c r="C198" s="74">
        <v>6641</v>
      </c>
      <c r="D198" s="87" t="s">
        <v>164</v>
      </c>
      <c r="E198" s="97">
        <v>43461</v>
      </c>
      <c r="F198" s="84">
        <v>540543.12</v>
      </c>
      <c r="G198" s="86">
        <v>93.043099999999995</v>
      </c>
      <c r="H198" s="84">
        <v>1792.97425</v>
      </c>
      <c r="I198" s="85">
        <v>1.8189699425287358E-3</v>
      </c>
      <c r="J198" s="85">
        <f t="shared" si="7"/>
        <v>5.0004588704352822E-4</v>
      </c>
      <c r="K198" s="85">
        <f>H198/'סכום נכסי הקרן'!$C$42</f>
        <v>3.4419998550088953E-5</v>
      </c>
    </row>
    <row r="199" spans="2:11" s="122" customFormat="1">
      <c r="B199" s="77" t="s">
        <v>2428</v>
      </c>
      <c r="C199" s="74">
        <v>6658</v>
      </c>
      <c r="D199" s="87" t="s">
        <v>164</v>
      </c>
      <c r="E199" s="97">
        <v>43633</v>
      </c>
      <c r="F199" s="84">
        <v>5040647.63</v>
      </c>
      <c r="G199" s="86">
        <v>71.037099999999995</v>
      </c>
      <c r="H199" s="84">
        <v>12765.302089999999</v>
      </c>
      <c r="I199" s="85">
        <v>2.96021544E-2</v>
      </c>
      <c r="J199" s="85">
        <f t="shared" si="7"/>
        <v>3.5601385836816421E-3</v>
      </c>
      <c r="K199" s="85">
        <f>H199/'סכום נכסי הקרן'!$C$42</f>
        <v>2.4505743985405668E-4</v>
      </c>
    </row>
    <row r="200" spans="2:11" s="122" customFormat="1">
      <c r="B200" s="121"/>
    </row>
    <row r="201" spans="2:11" s="122" customFormat="1">
      <c r="B201" s="121"/>
    </row>
    <row r="202" spans="2:11" s="122" customFormat="1">
      <c r="B202" s="121"/>
    </row>
    <row r="203" spans="2:11" s="122" customFormat="1">
      <c r="B203" s="124" t="s">
        <v>115</v>
      </c>
    </row>
    <row r="204" spans="2:11" s="122" customFormat="1">
      <c r="B204" s="124" t="s">
        <v>243</v>
      </c>
    </row>
    <row r="205" spans="2:11" s="122" customFormat="1">
      <c r="B205" s="124" t="s">
        <v>251</v>
      </c>
    </row>
    <row r="206" spans="2:11" s="122" customFormat="1">
      <c r="B206" s="121"/>
    </row>
    <row r="207" spans="2:11" s="122" customFormat="1">
      <c r="B207" s="121"/>
    </row>
    <row r="208" spans="2:11" s="122" customFormat="1">
      <c r="B208" s="121"/>
    </row>
    <row r="209" spans="2:2" s="122" customFormat="1">
      <c r="B209" s="121"/>
    </row>
    <row r="210" spans="2:2" s="122" customFormat="1">
      <c r="B210" s="121"/>
    </row>
    <row r="211" spans="2:2" s="122" customFormat="1">
      <c r="B211" s="121"/>
    </row>
    <row r="212" spans="2:2" s="122" customFormat="1">
      <c r="B212" s="121"/>
    </row>
    <row r="213" spans="2:2" s="122" customFormat="1">
      <c r="B213" s="121"/>
    </row>
    <row r="214" spans="2:2" s="122" customFormat="1">
      <c r="B214" s="121"/>
    </row>
    <row r="215" spans="2:2" s="122" customFormat="1">
      <c r="B215" s="121"/>
    </row>
    <row r="216" spans="2:2" s="122" customFormat="1">
      <c r="B216" s="121"/>
    </row>
    <row r="217" spans="2:2" s="122" customFormat="1">
      <c r="B217" s="121"/>
    </row>
    <row r="218" spans="2:2" s="122" customFormat="1">
      <c r="B218" s="121"/>
    </row>
    <row r="219" spans="2:2" s="122" customFormat="1">
      <c r="B219" s="121"/>
    </row>
    <row r="220" spans="2:2" s="122" customFormat="1">
      <c r="B220" s="121"/>
    </row>
    <row r="221" spans="2:2" s="122" customFormat="1">
      <c r="B221" s="121"/>
    </row>
    <row r="222" spans="2:2" s="122" customFormat="1">
      <c r="B222" s="121"/>
    </row>
    <row r="223" spans="2:2" s="122" customFormat="1">
      <c r="B223" s="121"/>
    </row>
    <row r="224" spans="2:2" s="122" customFormat="1">
      <c r="B224" s="121"/>
    </row>
    <row r="225" spans="2:2" s="122" customFormat="1">
      <c r="B225" s="121"/>
    </row>
    <row r="226" spans="2:2" s="122" customFormat="1">
      <c r="B226" s="121"/>
    </row>
    <row r="227" spans="2:2" s="122" customFormat="1">
      <c r="B227" s="121"/>
    </row>
    <row r="228" spans="2:2" s="122" customFormat="1">
      <c r="B228" s="121"/>
    </row>
    <row r="229" spans="2:2" s="122" customFormat="1">
      <c r="B229" s="121"/>
    </row>
    <row r="230" spans="2:2" s="122" customFormat="1">
      <c r="B230" s="121"/>
    </row>
    <row r="231" spans="2:2" s="122" customFormat="1">
      <c r="B231" s="121"/>
    </row>
    <row r="232" spans="2:2" s="122" customFormat="1">
      <c r="B232" s="121"/>
    </row>
    <row r="233" spans="2:2" s="122" customFormat="1">
      <c r="B233" s="121"/>
    </row>
    <row r="234" spans="2:2" s="122" customFormat="1">
      <c r="B234" s="121"/>
    </row>
    <row r="235" spans="2:2" s="122" customFormat="1">
      <c r="B235" s="121"/>
    </row>
    <row r="236" spans="2:2" s="122" customFormat="1">
      <c r="B236" s="121"/>
    </row>
    <row r="237" spans="2:2" s="122" customFormat="1">
      <c r="B237" s="121"/>
    </row>
    <row r="238" spans="2:2" s="122" customFormat="1">
      <c r="B238" s="121"/>
    </row>
    <row r="239" spans="2:2" s="122" customFormat="1">
      <c r="B239" s="121"/>
    </row>
    <row r="240" spans="2:2" s="122" customFormat="1">
      <c r="B240" s="121"/>
    </row>
    <row r="241" spans="2:2" s="122" customFormat="1">
      <c r="B241" s="121"/>
    </row>
    <row r="242" spans="2:2" s="122" customFormat="1">
      <c r="B242" s="121"/>
    </row>
    <row r="243" spans="2:2" s="122" customFormat="1">
      <c r="B243" s="121"/>
    </row>
    <row r="244" spans="2:2" s="122" customFormat="1">
      <c r="B244" s="121"/>
    </row>
    <row r="245" spans="2:2" s="122" customFormat="1">
      <c r="B245" s="121"/>
    </row>
    <row r="246" spans="2:2" s="122" customFormat="1">
      <c r="B246" s="121"/>
    </row>
    <row r="247" spans="2:2" s="122" customFormat="1">
      <c r="B247" s="121"/>
    </row>
    <row r="248" spans="2:2" s="122" customFormat="1">
      <c r="B248" s="121"/>
    </row>
    <row r="249" spans="2:2" s="122" customFormat="1">
      <c r="B249" s="121"/>
    </row>
    <row r="250" spans="2:2" s="122" customFormat="1">
      <c r="B250" s="121"/>
    </row>
    <row r="251" spans="2:2" s="122" customFormat="1">
      <c r="B251" s="121"/>
    </row>
    <row r="252" spans="2:2" s="122" customFormat="1">
      <c r="B252" s="121"/>
    </row>
    <row r="253" spans="2:2" s="122" customFormat="1">
      <c r="B253" s="121"/>
    </row>
    <row r="254" spans="2:2" s="122" customFormat="1">
      <c r="B254" s="121"/>
    </row>
    <row r="255" spans="2:2" s="122" customFormat="1">
      <c r="B255" s="121"/>
    </row>
    <row r="256" spans="2:2" s="122" customFormat="1">
      <c r="B256" s="121"/>
    </row>
    <row r="257" spans="2:2" s="122" customFormat="1">
      <c r="B257" s="121"/>
    </row>
    <row r="258" spans="2:2" s="122" customFormat="1">
      <c r="B258" s="121"/>
    </row>
    <row r="259" spans="2:2" s="122" customFormat="1">
      <c r="B259" s="121"/>
    </row>
    <row r="260" spans="2:2" s="122" customFormat="1">
      <c r="B260" s="121"/>
    </row>
    <row r="261" spans="2:2" s="122" customFormat="1">
      <c r="B261" s="121"/>
    </row>
    <row r="262" spans="2:2" s="122" customFormat="1">
      <c r="B262" s="121"/>
    </row>
    <row r="263" spans="2:2" s="122" customFormat="1">
      <c r="B263" s="121"/>
    </row>
    <row r="264" spans="2:2" s="122" customFormat="1">
      <c r="B264" s="121"/>
    </row>
    <row r="265" spans="2:2" s="122" customFormat="1">
      <c r="B265" s="121"/>
    </row>
    <row r="266" spans="2:2" s="122" customFormat="1">
      <c r="B266" s="121"/>
    </row>
    <row r="267" spans="2:2" s="122" customFormat="1">
      <c r="B267" s="121"/>
    </row>
    <row r="268" spans="2:2" s="122" customFormat="1">
      <c r="B268" s="121"/>
    </row>
    <row r="269" spans="2:2" s="122" customFormat="1">
      <c r="B269" s="121"/>
    </row>
    <row r="270" spans="2:2" s="122" customFormat="1">
      <c r="B270" s="121"/>
    </row>
    <row r="271" spans="2:2" s="122" customFormat="1">
      <c r="B271" s="121"/>
    </row>
    <row r="272" spans="2:2" s="122" customFormat="1">
      <c r="B272" s="121"/>
    </row>
    <row r="273" spans="2:2" s="122" customFormat="1">
      <c r="B273" s="121"/>
    </row>
    <row r="274" spans="2:2" s="122" customFormat="1">
      <c r="B274" s="121"/>
    </row>
    <row r="275" spans="2:2" s="122" customFormat="1">
      <c r="B275" s="121"/>
    </row>
    <row r="276" spans="2:2" s="122" customFormat="1">
      <c r="B276" s="121"/>
    </row>
    <row r="277" spans="2:2" s="122" customFormat="1">
      <c r="B277" s="121"/>
    </row>
    <row r="278" spans="2:2" s="122" customFormat="1">
      <c r="B278" s="121"/>
    </row>
    <row r="279" spans="2:2" s="122" customFormat="1">
      <c r="B279" s="121"/>
    </row>
    <row r="280" spans="2:2" s="122" customFormat="1">
      <c r="B280" s="121"/>
    </row>
    <row r="281" spans="2:2" s="122" customFormat="1">
      <c r="B281" s="121"/>
    </row>
    <row r="282" spans="2:2" s="122" customFormat="1">
      <c r="B282" s="121"/>
    </row>
    <row r="283" spans="2:2" s="122" customFormat="1">
      <c r="B283" s="121"/>
    </row>
    <row r="284" spans="2:2" s="122" customFormat="1">
      <c r="B284" s="121"/>
    </row>
    <row r="285" spans="2:2" s="122" customFormat="1">
      <c r="B285" s="121"/>
    </row>
    <row r="286" spans="2:2" s="122" customFormat="1">
      <c r="B286" s="121"/>
    </row>
    <row r="287" spans="2:2" s="122" customFormat="1">
      <c r="B287" s="121"/>
    </row>
    <row r="288" spans="2:2" s="122" customFormat="1">
      <c r="B288" s="121"/>
    </row>
    <row r="289" spans="2:2" s="122" customFormat="1">
      <c r="B289" s="121"/>
    </row>
    <row r="290" spans="2:2" s="122" customFormat="1">
      <c r="B290" s="121"/>
    </row>
    <row r="291" spans="2:2" s="122" customFormat="1">
      <c r="B291" s="121"/>
    </row>
    <row r="292" spans="2:2" s="122" customFormat="1">
      <c r="B292" s="121"/>
    </row>
    <row r="293" spans="2:2" s="122" customFormat="1">
      <c r="B293" s="121"/>
    </row>
    <row r="294" spans="2:2" s="122" customFormat="1">
      <c r="B294" s="121"/>
    </row>
    <row r="295" spans="2:2" s="122" customFormat="1">
      <c r="B295" s="121"/>
    </row>
    <row r="296" spans="2:2" s="122" customFormat="1">
      <c r="B296" s="121"/>
    </row>
    <row r="297" spans="2:2" s="122" customFormat="1">
      <c r="B297" s="121"/>
    </row>
    <row r="298" spans="2:2" s="122" customFormat="1">
      <c r="B298" s="121"/>
    </row>
    <row r="299" spans="2:2" s="122" customFormat="1">
      <c r="B299" s="121"/>
    </row>
    <row r="300" spans="2:2" s="122" customFormat="1">
      <c r="B300" s="121"/>
    </row>
    <row r="301" spans="2:2" s="122" customFormat="1">
      <c r="B301" s="121"/>
    </row>
    <row r="302" spans="2:2" s="122" customFormat="1">
      <c r="B302" s="121"/>
    </row>
    <row r="303" spans="2:2" s="122" customFormat="1">
      <c r="B303" s="121"/>
    </row>
    <row r="304" spans="2:2" s="122" customFormat="1">
      <c r="B304" s="121"/>
    </row>
    <row r="305" spans="2:2" s="122" customFormat="1">
      <c r="B305" s="121"/>
    </row>
    <row r="306" spans="2:2" s="122" customFormat="1">
      <c r="B306" s="121"/>
    </row>
    <row r="307" spans="2:2" s="122" customFormat="1">
      <c r="B307" s="121"/>
    </row>
    <row r="308" spans="2:2" s="122" customFormat="1">
      <c r="B308" s="121"/>
    </row>
    <row r="309" spans="2:2" s="122" customFormat="1">
      <c r="B309" s="121"/>
    </row>
    <row r="310" spans="2:2" s="122" customFormat="1">
      <c r="B310" s="121"/>
    </row>
    <row r="311" spans="2:2" s="122" customFormat="1">
      <c r="B311" s="121"/>
    </row>
    <row r="312" spans="2:2" s="122" customFormat="1">
      <c r="B312" s="121"/>
    </row>
    <row r="313" spans="2:2" s="122" customFormat="1">
      <c r="B313" s="121"/>
    </row>
    <row r="314" spans="2:2" s="122" customFormat="1">
      <c r="B314" s="121"/>
    </row>
    <row r="315" spans="2:2" s="122" customFormat="1">
      <c r="B315" s="121"/>
    </row>
    <row r="316" spans="2:2" s="122" customFormat="1">
      <c r="B316" s="121"/>
    </row>
    <row r="317" spans="2:2" s="122" customFormat="1">
      <c r="B317" s="121"/>
    </row>
    <row r="318" spans="2:2" s="122" customFormat="1">
      <c r="B318" s="121"/>
    </row>
    <row r="319" spans="2:2" s="122" customFormat="1">
      <c r="B319" s="121"/>
    </row>
    <row r="320" spans="2:2" s="122" customFormat="1">
      <c r="B320" s="121"/>
    </row>
    <row r="321" spans="2:2" s="122" customFormat="1">
      <c r="B321" s="121"/>
    </row>
    <row r="322" spans="2:2" s="122" customFormat="1">
      <c r="B322" s="121"/>
    </row>
    <row r="323" spans="2:2" s="122" customFormat="1">
      <c r="B323" s="121"/>
    </row>
    <row r="324" spans="2:2" s="122" customFormat="1">
      <c r="B324" s="121"/>
    </row>
    <row r="325" spans="2:2" s="122" customFormat="1">
      <c r="B325" s="121"/>
    </row>
    <row r="326" spans="2:2" s="122" customFormat="1">
      <c r="B326" s="121"/>
    </row>
    <row r="327" spans="2:2" s="122" customFormat="1">
      <c r="B327" s="121"/>
    </row>
    <row r="328" spans="2:2" s="122" customFormat="1">
      <c r="B328" s="121"/>
    </row>
    <row r="329" spans="2:2" s="122" customFormat="1">
      <c r="B329" s="121"/>
    </row>
    <row r="330" spans="2:2" s="122" customFormat="1">
      <c r="B330" s="121"/>
    </row>
    <row r="331" spans="2:2" s="122" customFormat="1">
      <c r="B331" s="121"/>
    </row>
    <row r="332" spans="2:2" s="122" customFormat="1">
      <c r="B332" s="121"/>
    </row>
    <row r="333" spans="2:2" s="122" customFormat="1">
      <c r="B333" s="121"/>
    </row>
    <row r="334" spans="2:2" s="122" customFormat="1">
      <c r="B334" s="121"/>
    </row>
    <row r="335" spans="2:2" s="122" customFormat="1">
      <c r="B335" s="121"/>
    </row>
    <row r="336" spans="2:2" s="122" customFormat="1">
      <c r="B336" s="121"/>
    </row>
    <row r="337" spans="2:2" s="122" customFormat="1">
      <c r="B337" s="121"/>
    </row>
    <row r="338" spans="2:2" s="122" customFormat="1">
      <c r="B338" s="121"/>
    </row>
    <row r="339" spans="2:2" s="122" customFormat="1">
      <c r="B339" s="121"/>
    </row>
    <row r="340" spans="2:2" s="122" customFormat="1">
      <c r="B340" s="121"/>
    </row>
    <row r="341" spans="2:2" s="122" customFormat="1">
      <c r="B341" s="121"/>
    </row>
    <row r="342" spans="2:2" s="122" customFormat="1">
      <c r="B342" s="121"/>
    </row>
    <row r="343" spans="2:2" s="122" customFormat="1">
      <c r="B343" s="121"/>
    </row>
    <row r="344" spans="2:2" s="122" customFormat="1">
      <c r="B344" s="121"/>
    </row>
    <row r="345" spans="2:2" s="122" customFormat="1">
      <c r="B345" s="121"/>
    </row>
    <row r="346" spans="2:2" s="122" customFormat="1">
      <c r="B346" s="121"/>
    </row>
    <row r="347" spans="2:2" s="122" customFormat="1">
      <c r="B347" s="121"/>
    </row>
    <row r="348" spans="2:2" s="122" customFormat="1">
      <c r="B348" s="121"/>
    </row>
    <row r="349" spans="2:2" s="122" customFormat="1">
      <c r="B349" s="121"/>
    </row>
    <row r="350" spans="2:2" s="122" customFormat="1">
      <c r="B350" s="121"/>
    </row>
    <row r="351" spans="2:2" s="122" customFormat="1">
      <c r="B351" s="121"/>
    </row>
    <row r="352" spans="2:2" s="122" customFormat="1">
      <c r="B352" s="121"/>
    </row>
    <row r="353" spans="2:2" s="122" customFormat="1">
      <c r="B353" s="121"/>
    </row>
    <row r="354" spans="2:2" s="122" customFormat="1">
      <c r="B354" s="121"/>
    </row>
    <row r="355" spans="2:2" s="122" customFormat="1">
      <c r="B355" s="121"/>
    </row>
    <row r="356" spans="2:2" s="122" customFormat="1">
      <c r="B356" s="121"/>
    </row>
    <row r="357" spans="2:2" s="122" customFormat="1">
      <c r="B357" s="121"/>
    </row>
    <row r="358" spans="2:2" s="122" customFormat="1">
      <c r="B358" s="121"/>
    </row>
    <row r="359" spans="2:2" s="122" customFormat="1">
      <c r="B359" s="121"/>
    </row>
    <row r="360" spans="2:2" s="122" customFormat="1">
      <c r="B360" s="121"/>
    </row>
    <row r="361" spans="2:2" s="122" customFormat="1">
      <c r="B361" s="121"/>
    </row>
    <row r="362" spans="2:2" s="122" customFormat="1">
      <c r="B362" s="121"/>
    </row>
    <row r="363" spans="2:2" s="122" customFormat="1">
      <c r="B363" s="121"/>
    </row>
    <row r="364" spans="2:2" s="122" customFormat="1">
      <c r="B364" s="121"/>
    </row>
    <row r="365" spans="2:2" s="122" customFormat="1">
      <c r="B365" s="121"/>
    </row>
    <row r="366" spans="2:2" s="122" customFormat="1">
      <c r="B366" s="121"/>
    </row>
    <row r="367" spans="2:2" s="122" customFormat="1">
      <c r="B367" s="121"/>
    </row>
    <row r="368" spans="2:2" s="122" customFormat="1">
      <c r="B368" s="121"/>
    </row>
    <row r="369" spans="2:2" s="122" customFormat="1">
      <c r="B369" s="121"/>
    </row>
    <row r="370" spans="2:2" s="122" customFormat="1">
      <c r="B370" s="121"/>
    </row>
    <row r="371" spans="2:2" s="122" customFormat="1">
      <c r="B371" s="121"/>
    </row>
    <row r="372" spans="2:2" s="122" customFormat="1">
      <c r="B372" s="121"/>
    </row>
    <row r="373" spans="2:2" s="122" customFormat="1">
      <c r="B373" s="121"/>
    </row>
    <row r="374" spans="2:2" s="122" customFormat="1">
      <c r="B374" s="121"/>
    </row>
    <row r="375" spans="2:2" s="122" customFormat="1">
      <c r="B375" s="121"/>
    </row>
    <row r="376" spans="2:2" s="122" customFormat="1">
      <c r="B376" s="121"/>
    </row>
    <row r="377" spans="2:2" s="122" customFormat="1">
      <c r="B377" s="121"/>
    </row>
    <row r="378" spans="2:2" s="122" customFormat="1">
      <c r="B378" s="121"/>
    </row>
    <row r="379" spans="2:2" s="122" customFormat="1">
      <c r="B379" s="121"/>
    </row>
    <row r="380" spans="2:2" s="122" customFormat="1">
      <c r="B380" s="121"/>
    </row>
    <row r="381" spans="2:2" s="122" customFormat="1">
      <c r="B381" s="121"/>
    </row>
    <row r="382" spans="2:2" s="122" customFormat="1">
      <c r="B382" s="121"/>
    </row>
    <row r="383" spans="2:2" s="122" customFormat="1">
      <c r="B383" s="121"/>
    </row>
    <row r="384" spans="2:2" s="122" customFormat="1">
      <c r="B384" s="121"/>
    </row>
    <row r="385" spans="2:3" s="122" customFormat="1">
      <c r="B385" s="121"/>
    </row>
    <row r="386" spans="2:3" s="122" customFormat="1">
      <c r="B386" s="121"/>
    </row>
    <row r="387" spans="2:3" s="122" customFormat="1">
      <c r="B387" s="121"/>
    </row>
    <row r="388" spans="2:3" s="122" customFormat="1">
      <c r="B388" s="121"/>
    </row>
    <row r="389" spans="2:3">
      <c r="C389" s="1"/>
    </row>
    <row r="390" spans="2:3">
      <c r="C390" s="1"/>
    </row>
    <row r="391" spans="2:3">
      <c r="C391" s="1"/>
    </row>
    <row r="392" spans="2:3">
      <c r="C392" s="1"/>
    </row>
    <row r="393" spans="2:3">
      <c r="C393" s="1"/>
    </row>
    <row r="394" spans="2:3">
      <c r="C394" s="1"/>
    </row>
    <row r="395" spans="2:3">
      <c r="C395" s="1"/>
    </row>
    <row r="396" spans="2:3">
      <c r="C396" s="1"/>
    </row>
    <row r="397" spans="2:3">
      <c r="C397" s="1"/>
    </row>
    <row r="398" spans="2:3">
      <c r="C398" s="1"/>
    </row>
    <row r="399" spans="2:3">
      <c r="C399" s="1"/>
    </row>
    <row r="400" spans="2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C574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48.42578125" style="2" bestFit="1" customWidth="1"/>
    <col min="4" max="4" width="10.425781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6" style="1" customWidth="1"/>
    <col min="14" max="14" width="7.85546875" style="1" customWidth="1"/>
    <col min="15" max="15" width="8.140625" style="1" customWidth="1"/>
    <col min="16" max="16" width="6.28515625" style="1" customWidth="1"/>
    <col min="17" max="17" width="8" style="1" customWidth="1"/>
    <col min="18" max="18" width="8.7109375" style="1" customWidth="1"/>
    <col min="19" max="19" width="10" style="1" customWidth="1"/>
    <col min="20" max="20" width="9.5703125" style="1" customWidth="1"/>
    <col min="21" max="21" width="6.140625" style="1" customWidth="1"/>
    <col min="22" max="23" width="5.7109375" style="1" customWidth="1"/>
    <col min="24" max="24" width="6.85546875" style="1" customWidth="1"/>
    <col min="25" max="25" width="6.42578125" style="1" customWidth="1"/>
    <col min="26" max="26" width="6.7109375" style="1" customWidth="1"/>
    <col min="27" max="27" width="7.28515625" style="1" customWidth="1"/>
    <col min="28" max="39" width="5.7109375" style="1" customWidth="1"/>
    <col min="40" max="16384" width="9.140625" style="1"/>
  </cols>
  <sheetData>
    <row r="1" spans="2:55">
      <c r="B1" s="47" t="s">
        <v>180</v>
      </c>
      <c r="C1" s="68" t="s" vm="1">
        <v>270</v>
      </c>
    </row>
    <row r="2" spans="2:55">
      <c r="B2" s="47" t="s">
        <v>179</v>
      </c>
      <c r="C2" s="68" t="s">
        <v>271</v>
      </c>
    </row>
    <row r="3" spans="2:55">
      <c r="B3" s="47" t="s">
        <v>181</v>
      </c>
      <c r="C3" s="68" t="s">
        <v>272</v>
      </c>
    </row>
    <row r="4" spans="2:55">
      <c r="B4" s="47" t="s">
        <v>182</v>
      </c>
      <c r="C4" s="68">
        <v>2102</v>
      </c>
    </row>
    <row r="6" spans="2:55" ht="26.25" customHeight="1">
      <c r="B6" s="163" t="s">
        <v>211</v>
      </c>
      <c r="C6" s="164"/>
      <c r="D6" s="164"/>
      <c r="E6" s="164"/>
      <c r="F6" s="164"/>
      <c r="G6" s="164"/>
      <c r="H6" s="164"/>
      <c r="I6" s="164"/>
      <c r="J6" s="164"/>
      <c r="K6" s="164"/>
      <c r="L6" s="165"/>
    </row>
    <row r="7" spans="2:55" ht="26.25" customHeight="1">
      <c r="B7" s="163" t="s">
        <v>102</v>
      </c>
      <c r="C7" s="164"/>
      <c r="D7" s="164"/>
      <c r="E7" s="164"/>
      <c r="F7" s="164"/>
      <c r="G7" s="164"/>
      <c r="H7" s="164"/>
      <c r="I7" s="164"/>
      <c r="J7" s="164"/>
      <c r="K7" s="164"/>
      <c r="L7" s="165"/>
    </row>
    <row r="8" spans="2:55" s="3" customFormat="1" ht="78.75">
      <c r="B8" s="22" t="s">
        <v>119</v>
      </c>
      <c r="C8" s="30" t="s">
        <v>47</v>
      </c>
      <c r="D8" s="30" t="s">
        <v>68</v>
      </c>
      <c r="E8" s="30" t="s">
        <v>106</v>
      </c>
      <c r="F8" s="30" t="s">
        <v>107</v>
      </c>
      <c r="G8" s="30" t="s">
        <v>245</v>
      </c>
      <c r="H8" s="30" t="s">
        <v>244</v>
      </c>
      <c r="I8" s="30" t="s">
        <v>114</v>
      </c>
      <c r="J8" s="30" t="s">
        <v>61</v>
      </c>
      <c r="K8" s="30" t="s">
        <v>183</v>
      </c>
      <c r="L8" s="31" t="s">
        <v>185</v>
      </c>
      <c r="BC8" s="1"/>
    </row>
    <row r="9" spans="2:55" s="3" customFormat="1" ht="24" customHeight="1">
      <c r="B9" s="15"/>
      <c r="C9" s="16"/>
      <c r="D9" s="16"/>
      <c r="E9" s="16"/>
      <c r="F9" s="16" t="s">
        <v>21</v>
      </c>
      <c r="G9" s="16" t="s">
        <v>252</v>
      </c>
      <c r="H9" s="16"/>
      <c r="I9" s="16" t="s">
        <v>248</v>
      </c>
      <c r="J9" s="32" t="s">
        <v>19</v>
      </c>
      <c r="K9" s="32" t="s">
        <v>19</v>
      </c>
      <c r="L9" s="33" t="s">
        <v>19</v>
      </c>
      <c r="BC9" s="1"/>
    </row>
    <row r="10" spans="2:5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BC10" s="1"/>
    </row>
    <row r="11" spans="2:55" s="4" customFormat="1" ht="18" customHeight="1">
      <c r="B11" s="117" t="s">
        <v>50</v>
      </c>
      <c r="C11" s="113"/>
      <c r="D11" s="113"/>
      <c r="E11" s="113"/>
      <c r="F11" s="113"/>
      <c r="G11" s="114"/>
      <c r="H11" s="116"/>
      <c r="I11" s="114">
        <v>38.773351086000005</v>
      </c>
      <c r="J11" s="113"/>
      <c r="K11" s="115">
        <f>I11/$I$11</f>
        <v>1</v>
      </c>
      <c r="L11" s="115">
        <f>I11/'סכום נכסי הקרן'!$C$42</f>
        <v>7.443379000909857E-7</v>
      </c>
      <c r="M11" s="123"/>
      <c r="N11" s="123"/>
      <c r="BC11" s="90"/>
    </row>
    <row r="12" spans="2:55" s="90" customFormat="1" ht="21" customHeight="1">
      <c r="B12" s="118" t="s">
        <v>239</v>
      </c>
      <c r="C12" s="113"/>
      <c r="D12" s="113"/>
      <c r="E12" s="113"/>
      <c r="F12" s="113"/>
      <c r="G12" s="114"/>
      <c r="H12" s="116"/>
      <c r="I12" s="114">
        <v>38.773351086000005</v>
      </c>
      <c r="J12" s="113"/>
      <c r="K12" s="115">
        <f t="shared" ref="K12:K14" si="0">I12/$I$11</f>
        <v>1</v>
      </c>
      <c r="L12" s="115">
        <f>I12/'סכום נכסי הקרן'!$C$42</f>
        <v>7.443379000909857E-7</v>
      </c>
      <c r="M12" s="128"/>
      <c r="N12" s="128"/>
    </row>
    <row r="13" spans="2:55">
      <c r="B13" s="73" t="s">
        <v>2429</v>
      </c>
      <c r="C13" s="74" t="s">
        <v>2430</v>
      </c>
      <c r="D13" s="87" t="s">
        <v>1025</v>
      </c>
      <c r="E13" s="87" t="s">
        <v>164</v>
      </c>
      <c r="F13" s="97">
        <v>43375</v>
      </c>
      <c r="G13" s="84">
        <v>250</v>
      </c>
      <c r="H13" s="84">
        <v>0</v>
      </c>
      <c r="I13" s="84">
        <v>0</v>
      </c>
      <c r="J13" s="85">
        <v>0</v>
      </c>
      <c r="K13" s="85">
        <f t="shared" si="0"/>
        <v>0</v>
      </c>
      <c r="L13" s="85">
        <f>I13/'סכום נכסי הקרן'!$C$42</f>
        <v>0</v>
      </c>
      <c r="M13" s="122"/>
      <c r="N13" s="122"/>
    </row>
    <row r="14" spans="2:55">
      <c r="B14" s="73" t="s">
        <v>2431</v>
      </c>
      <c r="C14" s="74" t="s">
        <v>2432</v>
      </c>
      <c r="D14" s="87" t="s">
        <v>1313</v>
      </c>
      <c r="E14" s="87" t="s">
        <v>164</v>
      </c>
      <c r="F14" s="97">
        <v>43879</v>
      </c>
      <c r="G14" s="84">
        <v>101246.617662</v>
      </c>
      <c r="H14" s="86">
        <v>10.7422</v>
      </c>
      <c r="I14" s="84">
        <v>38.773351086000005</v>
      </c>
      <c r="J14" s="85">
        <v>0</v>
      </c>
      <c r="K14" s="85">
        <f t="shared" si="0"/>
        <v>1</v>
      </c>
      <c r="L14" s="85">
        <f>I14/'סכום נכסי הקרן'!$C$42</f>
        <v>7.443379000909857E-7</v>
      </c>
      <c r="M14" s="122"/>
      <c r="N14" s="122"/>
    </row>
    <row r="15" spans="2:55">
      <c r="B15" s="91"/>
      <c r="C15" s="74"/>
      <c r="D15" s="74"/>
      <c r="E15" s="74"/>
      <c r="F15" s="74"/>
      <c r="G15" s="84"/>
      <c r="H15" s="86"/>
      <c r="I15" s="74"/>
      <c r="J15" s="74"/>
      <c r="K15" s="85"/>
      <c r="L15" s="74"/>
    </row>
    <row r="16" spans="2:5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103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103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103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AD39:XFD41 D1:XFD38 D39:AB41 D42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>
      <selection activeCell="C17" sqref="C17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180</v>
      </c>
      <c r="C1" s="68" t="s" vm="1">
        <v>270</v>
      </c>
    </row>
    <row r="2" spans="2:54">
      <c r="B2" s="47" t="s">
        <v>179</v>
      </c>
      <c r="C2" s="68" t="s">
        <v>271</v>
      </c>
    </row>
    <row r="3" spans="2:54">
      <c r="B3" s="47" t="s">
        <v>181</v>
      </c>
      <c r="C3" s="68" t="s">
        <v>272</v>
      </c>
    </row>
    <row r="4" spans="2:54">
      <c r="B4" s="47" t="s">
        <v>182</v>
      </c>
      <c r="C4" s="68">
        <v>2102</v>
      </c>
    </row>
    <row r="6" spans="2:54" ht="26.25" customHeight="1">
      <c r="B6" s="163" t="s">
        <v>211</v>
      </c>
      <c r="C6" s="164"/>
      <c r="D6" s="164"/>
      <c r="E6" s="164"/>
      <c r="F6" s="164"/>
      <c r="G6" s="164"/>
      <c r="H6" s="164"/>
      <c r="I6" s="164"/>
      <c r="J6" s="164"/>
      <c r="K6" s="164"/>
      <c r="L6" s="165"/>
    </row>
    <row r="7" spans="2:54" ht="26.25" customHeight="1">
      <c r="B7" s="163" t="s">
        <v>103</v>
      </c>
      <c r="C7" s="164"/>
      <c r="D7" s="164"/>
      <c r="E7" s="164"/>
      <c r="F7" s="164"/>
      <c r="G7" s="164"/>
      <c r="H7" s="164"/>
      <c r="I7" s="164"/>
      <c r="J7" s="164"/>
      <c r="K7" s="164"/>
      <c r="L7" s="165"/>
    </row>
    <row r="8" spans="2:54" s="3" customFormat="1" ht="78.75">
      <c r="B8" s="22" t="s">
        <v>119</v>
      </c>
      <c r="C8" s="30" t="s">
        <v>47</v>
      </c>
      <c r="D8" s="30" t="s">
        <v>68</v>
      </c>
      <c r="E8" s="30" t="s">
        <v>106</v>
      </c>
      <c r="F8" s="30" t="s">
        <v>107</v>
      </c>
      <c r="G8" s="30" t="s">
        <v>245</v>
      </c>
      <c r="H8" s="30" t="s">
        <v>244</v>
      </c>
      <c r="I8" s="30" t="s">
        <v>114</v>
      </c>
      <c r="J8" s="30" t="s">
        <v>61</v>
      </c>
      <c r="K8" s="30" t="s">
        <v>183</v>
      </c>
      <c r="L8" s="31" t="s">
        <v>185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252</v>
      </c>
      <c r="H9" s="16"/>
      <c r="I9" s="16" t="s">
        <v>248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AZ11" s="1"/>
    </row>
    <row r="12" spans="2:54" ht="19.5" customHeight="1">
      <c r="B12" s="89" t="s">
        <v>261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54">
      <c r="B13" s="89" t="s">
        <v>115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54">
      <c r="B14" s="89" t="s">
        <v>243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54">
      <c r="B15" s="89" t="s">
        <v>251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4" s="7" customForma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AZ16" s="1"/>
      <c r="BB16" s="1"/>
    </row>
    <row r="17" spans="2:54" s="7" customFormat="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AZ17" s="1"/>
      <c r="BB17" s="1"/>
    </row>
    <row r="18" spans="2:54" s="7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AZ18" s="1"/>
      <c r="BB18" s="1"/>
    </row>
    <row r="19" spans="2:54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54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54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4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4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4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4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4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4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4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4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4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4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4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C519"/>
  <sheetViews>
    <sheetView rightToLeft="1" zoomScaleNormal="100" workbookViewId="0">
      <selection activeCell="L15" sqref="L15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8.42578125" style="2" bestFit="1" customWidth="1"/>
    <col min="4" max="4" width="11.285156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22.140625" style="1" customWidth="1"/>
    <col min="11" max="11" width="9.140625" style="1" bestFit="1" customWidth="1"/>
    <col min="12" max="12" width="9" style="1" customWidth="1"/>
    <col min="13" max="13" width="9.5703125" style="1" customWidth="1"/>
    <col min="14" max="14" width="6.140625" style="1" customWidth="1"/>
    <col min="15" max="16" width="5.710937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27" width="5.7109375" style="1" customWidth="1"/>
    <col min="28" max="28" width="3.42578125" style="1" customWidth="1"/>
    <col min="29" max="29" width="5.7109375" style="1" hidden="1" customWidth="1"/>
    <col min="30" max="30" width="10.140625" style="1" customWidth="1"/>
    <col min="31" max="31" width="13.85546875" style="1" customWidth="1"/>
    <col min="32" max="32" width="5.7109375" style="1" customWidth="1"/>
    <col min="33" max="16384" width="9.140625" style="1"/>
  </cols>
  <sheetData>
    <row r="1" spans="2:12">
      <c r="B1" s="47" t="s">
        <v>180</v>
      </c>
      <c r="C1" s="68" t="s" vm="1">
        <v>270</v>
      </c>
    </row>
    <row r="2" spans="2:12">
      <c r="B2" s="47" t="s">
        <v>179</v>
      </c>
      <c r="C2" s="68" t="s">
        <v>271</v>
      </c>
    </row>
    <row r="3" spans="2:12">
      <c r="B3" s="47" t="s">
        <v>181</v>
      </c>
      <c r="C3" s="68" t="s">
        <v>272</v>
      </c>
      <c r="J3" s="149"/>
    </row>
    <row r="4" spans="2:12">
      <c r="B4" s="47" t="s">
        <v>182</v>
      </c>
      <c r="C4" s="68">
        <v>2102</v>
      </c>
    </row>
    <row r="6" spans="2:12" ht="26.25" customHeight="1">
      <c r="B6" s="163" t="s">
        <v>209</v>
      </c>
      <c r="C6" s="164"/>
      <c r="D6" s="164"/>
      <c r="E6" s="164"/>
      <c r="F6" s="164"/>
      <c r="G6" s="164"/>
      <c r="H6" s="164"/>
      <c r="I6" s="164"/>
      <c r="J6" s="164"/>
      <c r="K6" s="164"/>
      <c r="L6" s="165"/>
    </row>
    <row r="7" spans="2:12" s="3" customFormat="1" ht="63">
      <c r="B7" s="67" t="s">
        <v>118</v>
      </c>
      <c r="C7" s="50" t="s">
        <v>47</v>
      </c>
      <c r="D7" s="50" t="s">
        <v>120</v>
      </c>
      <c r="E7" s="50" t="s">
        <v>14</v>
      </c>
      <c r="F7" s="50" t="s">
        <v>69</v>
      </c>
      <c r="G7" s="50" t="s">
        <v>106</v>
      </c>
      <c r="H7" s="50" t="s">
        <v>16</v>
      </c>
      <c r="I7" s="50" t="s">
        <v>18</v>
      </c>
      <c r="J7" s="50" t="s">
        <v>64</v>
      </c>
      <c r="K7" s="50" t="s">
        <v>183</v>
      </c>
      <c r="L7" s="52" t="s">
        <v>184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248</v>
      </c>
      <c r="K8" s="16" t="s">
        <v>19</v>
      </c>
      <c r="L8" s="17" t="s">
        <v>19</v>
      </c>
    </row>
    <row r="9" spans="2:12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2" s="123" customFormat="1" ht="18" customHeight="1">
      <c r="B10" s="69" t="s">
        <v>46</v>
      </c>
      <c r="C10" s="70"/>
      <c r="D10" s="70"/>
      <c r="E10" s="70"/>
      <c r="F10" s="70"/>
      <c r="G10" s="70"/>
      <c r="H10" s="70"/>
      <c r="I10" s="70"/>
      <c r="J10" s="78">
        <f>J11+J62</f>
        <v>4674676.5597247006</v>
      </c>
      <c r="K10" s="79">
        <f>J10/$J$10</f>
        <v>1</v>
      </c>
      <c r="L10" s="79">
        <f>J10/'סכום נכסי הקרן'!$C$42</f>
        <v>8.9740474749070709E-2</v>
      </c>
    </row>
    <row r="11" spans="2:12" s="122" customFormat="1">
      <c r="B11" s="71" t="s">
        <v>238</v>
      </c>
      <c r="C11" s="72"/>
      <c r="D11" s="72"/>
      <c r="E11" s="72"/>
      <c r="F11" s="72"/>
      <c r="G11" s="72"/>
      <c r="H11" s="72"/>
      <c r="I11" s="72"/>
      <c r="J11" s="81">
        <f>J12+J21+J59</f>
        <v>4674615.6781847002</v>
      </c>
      <c r="K11" s="82">
        <f t="shared" ref="K11:K19" si="0">J11/$J$10</f>
        <v>0.99998697630964994</v>
      </c>
      <c r="L11" s="82">
        <f>J11/'סכום נכסי הקרן'!$C$42</f>
        <v>8.9739305996915708E-2</v>
      </c>
    </row>
    <row r="12" spans="2:12" s="122" customFormat="1">
      <c r="B12" s="92" t="s">
        <v>44</v>
      </c>
      <c r="C12" s="72"/>
      <c r="D12" s="72"/>
      <c r="E12" s="72"/>
      <c r="F12" s="72"/>
      <c r="G12" s="72"/>
      <c r="H12" s="72"/>
      <c r="I12" s="72"/>
      <c r="J12" s="81">
        <f>SUM(J13:J19)</f>
        <v>1338319.5022121251</v>
      </c>
      <c r="K12" s="82">
        <f t="shared" si="0"/>
        <v>0.28629135836746339</v>
      </c>
      <c r="L12" s="82">
        <f>J12/'סכום נכסי הקרן'!$C$42</f>
        <v>2.5691922416452503E-2</v>
      </c>
    </row>
    <row r="13" spans="2:12" s="122" customFormat="1">
      <c r="B13" s="77" t="s">
        <v>2910</v>
      </c>
      <c r="C13" s="74" t="s">
        <v>2911</v>
      </c>
      <c r="D13" s="74">
        <v>11</v>
      </c>
      <c r="E13" s="74" t="s">
        <v>355</v>
      </c>
      <c r="F13" s="74" t="s">
        <v>356</v>
      </c>
      <c r="G13" s="87" t="s">
        <v>165</v>
      </c>
      <c r="H13" s="88">
        <v>0</v>
      </c>
      <c r="I13" s="88">
        <v>0</v>
      </c>
      <c r="J13" s="84">
        <v>106329.26337546999</v>
      </c>
      <c r="K13" s="85">
        <f t="shared" si="0"/>
        <v>2.2745801130192395E-2</v>
      </c>
      <c r="L13" s="85">
        <f>J13/'סכום נכסי הקרן'!$C$42</f>
        <v>2.0412189919714148E-3</v>
      </c>
    </row>
    <row r="14" spans="2:12" s="122" customFormat="1">
      <c r="B14" s="77" t="s">
        <v>2912</v>
      </c>
      <c r="C14" s="74" t="s">
        <v>2913</v>
      </c>
      <c r="D14" s="74">
        <v>12</v>
      </c>
      <c r="E14" s="74" t="s">
        <v>355</v>
      </c>
      <c r="F14" s="74" t="s">
        <v>356</v>
      </c>
      <c r="G14" s="87" t="s">
        <v>165</v>
      </c>
      <c r="H14" s="88">
        <v>0</v>
      </c>
      <c r="I14" s="88">
        <v>0</v>
      </c>
      <c r="J14" s="84">
        <v>84871.42</v>
      </c>
      <c r="K14" s="85">
        <f t="shared" si="0"/>
        <v>1.8155570533204594E-2</v>
      </c>
      <c r="L14" s="85">
        <f>J14/'סכום נכסי הקרן'!$C$42</f>
        <v>1.6292895189900191E-3</v>
      </c>
    </row>
    <row r="15" spans="2:12" s="122" customFormat="1">
      <c r="B15" s="77" t="s">
        <v>2912</v>
      </c>
      <c r="C15" s="74" t="s">
        <v>2914</v>
      </c>
      <c r="D15" s="74">
        <v>12</v>
      </c>
      <c r="E15" s="74" t="s">
        <v>355</v>
      </c>
      <c r="F15" s="74" t="s">
        <v>356</v>
      </c>
      <c r="G15" s="87" t="s">
        <v>165</v>
      </c>
      <c r="H15" s="88">
        <v>0</v>
      </c>
      <c r="I15" s="88">
        <v>0</v>
      </c>
      <c r="J15" s="84">
        <v>62543.761229706201</v>
      </c>
      <c r="K15" s="85">
        <f t="shared" si="0"/>
        <v>1.3379270294026397E-2</v>
      </c>
      <c r="L15" s="85">
        <f>J15/'סכום נכסי הקרן'!$C$42</f>
        <v>1.2006620679820678E-3</v>
      </c>
    </row>
    <row r="16" spans="2:12" s="122" customFormat="1">
      <c r="B16" s="77" t="s">
        <v>2915</v>
      </c>
      <c r="C16" s="74" t="s">
        <v>2916</v>
      </c>
      <c r="D16" s="74">
        <v>10</v>
      </c>
      <c r="E16" s="74" t="s">
        <v>355</v>
      </c>
      <c r="F16" s="74" t="s">
        <v>356</v>
      </c>
      <c r="G16" s="87" t="s">
        <v>165</v>
      </c>
      <c r="H16" s="88">
        <v>0</v>
      </c>
      <c r="I16" s="88">
        <v>0</v>
      </c>
      <c r="J16" s="84">
        <v>262869.31656087498</v>
      </c>
      <c r="K16" s="85">
        <f t="shared" si="0"/>
        <v>5.6232621273878208E-2</v>
      </c>
      <c r="L16" s="85">
        <f>J16/'סכום נכסי הקרן'!$C$42</f>
        <v>5.0463421295025238E-3</v>
      </c>
    </row>
    <row r="17" spans="2:12" s="122" customFormat="1">
      <c r="B17" s="77" t="s">
        <v>2915</v>
      </c>
      <c r="C17" s="74" t="s">
        <v>2917</v>
      </c>
      <c r="D17" s="74">
        <v>10</v>
      </c>
      <c r="E17" s="74" t="s">
        <v>355</v>
      </c>
      <c r="F17" s="74" t="s">
        <v>356</v>
      </c>
      <c r="G17" s="87" t="s">
        <v>165</v>
      </c>
      <c r="H17" s="88">
        <v>0</v>
      </c>
      <c r="I17" s="88">
        <v>0</v>
      </c>
      <c r="J17" s="84">
        <v>816687.50616999995</v>
      </c>
      <c r="K17" s="85">
        <f t="shared" si="0"/>
        <v>0.17470460164159379</v>
      </c>
      <c r="L17" s="85">
        <f>J17/'סכום נכסי הקרן'!$C$42</f>
        <v>1.5678073892163906E-2</v>
      </c>
    </row>
    <row r="18" spans="2:12" s="122" customFormat="1">
      <c r="B18" s="77" t="s">
        <v>2918</v>
      </c>
      <c r="C18" s="74" t="s">
        <v>2919</v>
      </c>
      <c r="D18" s="74">
        <v>20</v>
      </c>
      <c r="E18" s="74" t="s">
        <v>355</v>
      </c>
      <c r="F18" s="74" t="s">
        <v>356</v>
      </c>
      <c r="G18" s="87" t="s">
        <v>165</v>
      </c>
      <c r="H18" s="88">
        <v>0</v>
      </c>
      <c r="I18" s="88">
        <v>0</v>
      </c>
      <c r="J18" s="84">
        <v>5001.8521860740011</v>
      </c>
      <c r="K18" s="85">
        <f t="shared" si="0"/>
        <v>1.0699889333880607E-3</v>
      </c>
      <c r="L18" s="85">
        <f>J18/'סכום נכסי הקרן'!$C$42</f>
        <v>9.6021314858496352E-5</v>
      </c>
    </row>
    <row r="19" spans="2:12" s="122" customFormat="1">
      <c r="B19" s="77" t="s">
        <v>2920</v>
      </c>
      <c r="C19" s="74" t="s">
        <v>2921</v>
      </c>
      <c r="D19" s="74">
        <v>26</v>
      </c>
      <c r="E19" s="74" t="s">
        <v>355</v>
      </c>
      <c r="F19" s="74" t="s">
        <v>356</v>
      </c>
      <c r="G19" s="87" t="s">
        <v>165</v>
      </c>
      <c r="H19" s="88">
        <v>0</v>
      </c>
      <c r="I19" s="88">
        <v>0</v>
      </c>
      <c r="J19" s="84">
        <v>16.38269</v>
      </c>
      <c r="K19" s="85">
        <f t="shared" si="0"/>
        <v>3.5045611799428546E-6</v>
      </c>
      <c r="L19" s="85">
        <f>J19/'סכום נכסי הקרן'!$C$42</f>
        <v>3.145009840752352E-7</v>
      </c>
    </row>
    <row r="20" spans="2:12" s="122" customFormat="1">
      <c r="B20" s="73"/>
      <c r="C20" s="74"/>
      <c r="D20" s="74"/>
      <c r="E20" s="74"/>
      <c r="F20" s="74"/>
      <c r="G20" s="74"/>
      <c r="H20" s="74"/>
      <c r="I20" s="74"/>
      <c r="J20" s="74"/>
      <c r="K20" s="85"/>
      <c r="L20" s="74"/>
    </row>
    <row r="21" spans="2:12" s="122" customFormat="1">
      <c r="B21" s="92" t="s">
        <v>45</v>
      </c>
      <c r="C21" s="72"/>
      <c r="D21" s="72"/>
      <c r="E21" s="72"/>
      <c r="F21" s="72"/>
      <c r="G21" s="72"/>
      <c r="H21" s="72"/>
      <c r="I21" s="72"/>
      <c r="J21" s="81">
        <f>SUM(J22:J57)</f>
        <v>3336216.4709725748</v>
      </c>
      <c r="K21" s="82">
        <f t="shared" ref="K21:K60" si="1">J21/$J$10</f>
        <v>0.71367856756469372</v>
      </c>
      <c r="L21" s="82">
        <f>J21/'סכום נכסי הקרן'!$C$42</f>
        <v>6.4045853471492359E-2</v>
      </c>
    </row>
    <row r="22" spans="2:12" s="122" customFormat="1">
      <c r="B22" s="77" t="s">
        <v>2909</v>
      </c>
      <c r="C22" s="74" t="s">
        <v>2922</v>
      </c>
      <c r="D22" s="74">
        <v>95</v>
      </c>
      <c r="E22" s="74" t="s">
        <v>725</v>
      </c>
      <c r="F22" s="74"/>
      <c r="G22" s="87" t="s">
        <v>164</v>
      </c>
      <c r="H22" s="88">
        <v>0</v>
      </c>
      <c r="I22" s="88">
        <v>0</v>
      </c>
      <c r="J22" s="84">
        <v>7.1300000000000001E-3</v>
      </c>
      <c r="K22" s="85">
        <f t="shared" si="1"/>
        <v>1.5252392136451676E-9</v>
      </c>
      <c r="L22" s="85">
        <f>J22/'סכום נכסי הקרן'!$C$42</f>
        <v>1.3687569113841663E-10</v>
      </c>
    </row>
    <row r="23" spans="2:12" s="122" customFormat="1">
      <c r="B23" s="77" t="s">
        <v>2909</v>
      </c>
      <c r="C23" s="74" t="s">
        <v>2924</v>
      </c>
      <c r="D23" s="74">
        <v>95</v>
      </c>
      <c r="E23" s="74" t="s">
        <v>725</v>
      </c>
      <c r="F23" s="74"/>
      <c r="G23" s="87" t="s">
        <v>166</v>
      </c>
      <c r="H23" s="88">
        <v>0</v>
      </c>
      <c r="I23" s="88">
        <v>0</v>
      </c>
      <c r="J23" s="84">
        <v>6.9999999999999999E-4</v>
      </c>
      <c r="K23" s="85">
        <f t="shared" si="1"/>
        <v>1.4974298030176961E-10</v>
      </c>
      <c r="L23" s="85">
        <f>J23/'סכום נכסי הקרן'!$C$42</f>
        <v>1.3438006142621549E-11</v>
      </c>
    </row>
    <row r="24" spans="2:12" s="122" customFormat="1">
      <c r="B24" s="77" t="s">
        <v>2912</v>
      </c>
      <c r="C24" s="74" t="s">
        <v>2925</v>
      </c>
      <c r="D24" s="74">
        <v>12</v>
      </c>
      <c r="E24" s="74" t="s">
        <v>355</v>
      </c>
      <c r="F24" s="74" t="s">
        <v>356</v>
      </c>
      <c r="G24" s="87" t="s">
        <v>173</v>
      </c>
      <c r="H24" s="88">
        <v>0</v>
      </c>
      <c r="I24" s="88">
        <v>0</v>
      </c>
      <c r="J24" s="84">
        <v>6046.2582400000001</v>
      </c>
      <c r="K24" s="85">
        <f t="shared" si="1"/>
        <v>1.2934067550453318E-3</v>
      </c>
      <c r="L24" s="85">
        <f>J24/'סכום נכסי הקרן'!$C$42</f>
        <v>1.1607093624142308E-4</v>
      </c>
    </row>
    <row r="25" spans="2:12" s="122" customFormat="1">
      <c r="B25" s="77" t="s">
        <v>2912</v>
      </c>
      <c r="C25" s="74" t="s">
        <v>2926</v>
      </c>
      <c r="D25" s="74">
        <v>12</v>
      </c>
      <c r="E25" s="74" t="s">
        <v>355</v>
      </c>
      <c r="F25" s="74" t="s">
        <v>356</v>
      </c>
      <c r="G25" s="87" t="s">
        <v>166</v>
      </c>
      <c r="H25" s="88">
        <v>0</v>
      </c>
      <c r="I25" s="88">
        <v>0</v>
      </c>
      <c r="J25" s="84">
        <v>16665.32</v>
      </c>
      <c r="K25" s="85">
        <f t="shared" si="1"/>
        <v>3.5650209778324104E-3</v>
      </c>
      <c r="L25" s="85">
        <f>J25/'סכום נכסי הקרן'!$C$42</f>
        <v>3.199266750410768E-4</v>
      </c>
    </row>
    <row r="26" spans="2:12" s="122" customFormat="1">
      <c r="B26" s="77" t="s">
        <v>2912</v>
      </c>
      <c r="C26" s="74" t="s">
        <v>2927</v>
      </c>
      <c r="D26" s="74">
        <v>12</v>
      </c>
      <c r="E26" s="74" t="s">
        <v>355</v>
      </c>
      <c r="F26" s="74" t="s">
        <v>356</v>
      </c>
      <c r="G26" s="87" t="s">
        <v>168</v>
      </c>
      <c r="H26" s="88">
        <v>0</v>
      </c>
      <c r="I26" s="88">
        <v>0</v>
      </c>
      <c r="J26" s="84">
        <v>3.7933600000000003</v>
      </c>
      <c r="K26" s="85">
        <f t="shared" si="1"/>
        <v>8.114700453678869E-7</v>
      </c>
      <c r="L26" s="85">
        <f>J26/'סכום נכסי הקרן'!$C$42</f>
        <v>7.2821707115964115E-8</v>
      </c>
    </row>
    <row r="27" spans="2:12" s="122" customFormat="1">
      <c r="B27" s="77" t="s">
        <v>2912</v>
      </c>
      <c r="C27" s="74" t="s">
        <v>2928</v>
      </c>
      <c r="D27" s="74">
        <v>12</v>
      </c>
      <c r="E27" s="74" t="s">
        <v>355</v>
      </c>
      <c r="F27" s="74" t="s">
        <v>356</v>
      </c>
      <c r="G27" s="87" t="s">
        <v>172</v>
      </c>
      <c r="H27" s="88">
        <v>0</v>
      </c>
      <c r="I27" s="88">
        <v>0</v>
      </c>
      <c r="J27" s="84">
        <v>-13872.02</v>
      </c>
      <c r="K27" s="85">
        <f t="shared" si="1"/>
        <v>-2.967482310865363E-3</v>
      </c>
      <c r="L27" s="85">
        <f>J27/'סכום נכסי הקרן'!$C$42</f>
        <v>-2.6630327138652714E-4</v>
      </c>
    </row>
    <row r="28" spans="2:12" s="122" customFormat="1">
      <c r="B28" s="77" t="s">
        <v>2912</v>
      </c>
      <c r="C28" s="74" t="s">
        <v>2929</v>
      </c>
      <c r="D28" s="74">
        <v>12</v>
      </c>
      <c r="E28" s="74" t="s">
        <v>355</v>
      </c>
      <c r="F28" s="74" t="s">
        <v>356</v>
      </c>
      <c r="G28" s="87" t="s">
        <v>167</v>
      </c>
      <c r="H28" s="88">
        <v>0</v>
      </c>
      <c r="I28" s="88">
        <v>0</v>
      </c>
      <c r="J28" s="84">
        <v>4018.43</v>
      </c>
      <c r="K28" s="85">
        <f t="shared" si="1"/>
        <v>8.5961669190577151E-4</v>
      </c>
      <c r="L28" s="85">
        <f>J28/'סכום נכסי הקרן'!$C$42</f>
        <v>7.714241003384958E-5</v>
      </c>
    </row>
    <row r="29" spans="2:12" s="122" customFormat="1">
      <c r="B29" s="77" t="s">
        <v>2912</v>
      </c>
      <c r="C29" s="74" t="s">
        <v>2930</v>
      </c>
      <c r="D29" s="74">
        <v>12</v>
      </c>
      <c r="E29" s="74" t="s">
        <v>355</v>
      </c>
      <c r="F29" s="74" t="s">
        <v>356</v>
      </c>
      <c r="G29" s="87" t="s">
        <v>164</v>
      </c>
      <c r="H29" s="88">
        <v>0</v>
      </c>
      <c r="I29" s="88">
        <v>0</v>
      </c>
      <c r="J29" s="84">
        <v>318688.17</v>
      </c>
      <c r="K29" s="85">
        <f t="shared" si="1"/>
        <v>6.8173309089595721E-2</v>
      </c>
      <c r="L29" s="85">
        <f>J29/'סכום נכסי הקרן'!$C$42</f>
        <v>6.1179051229154572E-3</v>
      </c>
    </row>
    <row r="30" spans="2:12" s="122" customFormat="1">
      <c r="B30" s="77" t="s">
        <v>2912</v>
      </c>
      <c r="C30" s="74" t="s">
        <v>2931</v>
      </c>
      <c r="D30" s="74">
        <v>12</v>
      </c>
      <c r="E30" s="74" t="s">
        <v>355</v>
      </c>
      <c r="F30" s="74" t="s">
        <v>356</v>
      </c>
      <c r="G30" s="87" t="s">
        <v>174</v>
      </c>
      <c r="H30" s="88">
        <v>0</v>
      </c>
      <c r="I30" s="88">
        <v>0</v>
      </c>
      <c r="J30" s="84">
        <v>0.21641736500000003</v>
      </c>
      <c r="K30" s="85">
        <f t="shared" si="1"/>
        <v>4.6295687463079843E-8</v>
      </c>
      <c r="L30" s="85">
        <f>J30/'סכום נכסי הקרן'!$C$42</f>
        <v>4.1545969717713858E-9</v>
      </c>
    </row>
    <row r="31" spans="2:12" s="122" customFormat="1">
      <c r="B31" s="77" t="s">
        <v>2915</v>
      </c>
      <c r="C31" s="74" t="s">
        <v>2932</v>
      </c>
      <c r="D31" s="74">
        <v>10</v>
      </c>
      <c r="E31" s="74" t="s">
        <v>355</v>
      </c>
      <c r="F31" s="74" t="s">
        <v>356</v>
      </c>
      <c r="G31" s="87" t="s">
        <v>174</v>
      </c>
      <c r="H31" s="88">
        <v>0</v>
      </c>
      <c r="I31" s="88">
        <v>0</v>
      </c>
      <c r="J31" s="84">
        <v>913.93</v>
      </c>
      <c r="K31" s="85">
        <f t="shared" si="1"/>
        <v>1.9550657426742327E-4</v>
      </c>
      <c r="L31" s="85">
        <f>J31/'סכום נכסי הקרן'!$C$42</f>
        <v>1.7544852791323018E-5</v>
      </c>
    </row>
    <row r="32" spans="2:12" s="122" customFormat="1">
      <c r="B32" s="77" t="s">
        <v>2915</v>
      </c>
      <c r="C32" s="74" t="s">
        <v>2933</v>
      </c>
      <c r="D32" s="74">
        <v>10</v>
      </c>
      <c r="E32" s="74" t="s">
        <v>355</v>
      </c>
      <c r="F32" s="74" t="s">
        <v>356</v>
      </c>
      <c r="G32" s="87" t="s">
        <v>167</v>
      </c>
      <c r="H32" s="88">
        <v>0</v>
      </c>
      <c r="I32" s="88">
        <v>0</v>
      </c>
      <c r="J32" s="84">
        <v>106.41924</v>
      </c>
      <c r="K32" s="85">
        <f t="shared" si="1"/>
        <v>2.2765048798641848E-5</v>
      </c>
      <c r="L32" s="85">
        <f>J32/'סכום נכסי הקרן'!$C$42</f>
        <v>2.0429462868758811E-6</v>
      </c>
    </row>
    <row r="33" spans="2:12" s="122" customFormat="1">
      <c r="B33" s="77" t="s">
        <v>2915</v>
      </c>
      <c r="C33" s="74" t="s">
        <v>2934</v>
      </c>
      <c r="D33" s="74">
        <v>10</v>
      </c>
      <c r="E33" s="74" t="s">
        <v>355</v>
      </c>
      <c r="F33" s="74" t="s">
        <v>356</v>
      </c>
      <c r="G33" s="87" t="s">
        <v>1532</v>
      </c>
      <c r="H33" s="88">
        <v>0</v>
      </c>
      <c r="I33" s="88">
        <v>0</v>
      </c>
      <c r="J33" s="84">
        <v>5.3252652820000002</v>
      </c>
      <c r="K33" s="85">
        <f t="shared" si="1"/>
        <v>1.1391729917488908E-6</v>
      </c>
      <c r="L33" s="85">
        <f>J33/'סכום נכסי הקרן'!$C$42</f>
        <v>1.0222992510086469E-7</v>
      </c>
    </row>
    <row r="34" spans="2:12" s="122" customFormat="1">
      <c r="B34" s="77" t="s">
        <v>2915</v>
      </c>
      <c r="C34" s="74" t="s">
        <v>2935</v>
      </c>
      <c r="D34" s="74">
        <v>10</v>
      </c>
      <c r="E34" s="74" t="s">
        <v>355</v>
      </c>
      <c r="F34" s="74" t="s">
        <v>356</v>
      </c>
      <c r="G34" s="87" t="s">
        <v>167</v>
      </c>
      <c r="H34" s="88">
        <v>0</v>
      </c>
      <c r="I34" s="88">
        <v>0</v>
      </c>
      <c r="J34" s="84">
        <v>18167.121289111001</v>
      </c>
      <c r="K34" s="85">
        <f t="shared" si="1"/>
        <v>3.8862841219074401E-3</v>
      </c>
      <c r="L34" s="85">
        <f>J34/'סכום נכסי הקרן'!$C$42</f>
        <v>3.4875698210974908E-4</v>
      </c>
    </row>
    <row r="35" spans="2:12" s="122" customFormat="1">
      <c r="B35" s="77" t="s">
        <v>2915</v>
      </c>
      <c r="C35" s="74" t="s">
        <v>2936</v>
      </c>
      <c r="D35" s="74">
        <v>10</v>
      </c>
      <c r="E35" s="74" t="s">
        <v>355</v>
      </c>
      <c r="F35" s="74" t="s">
        <v>356</v>
      </c>
      <c r="G35" s="87" t="s">
        <v>164</v>
      </c>
      <c r="H35" s="88">
        <v>0</v>
      </c>
      <c r="I35" s="88">
        <v>0</v>
      </c>
      <c r="J35" s="84">
        <v>1058151.8899999999</v>
      </c>
      <c r="K35" s="85">
        <f t="shared" si="1"/>
        <v>0.22635831088650038</v>
      </c>
      <c r="L35" s="85">
        <f>J35/'סכום נכסי הקרן'!$C$42</f>
        <v>2.0313502282352288E-2</v>
      </c>
    </row>
    <row r="36" spans="2:12" s="122" customFormat="1">
      <c r="B36" s="77" t="s">
        <v>2915</v>
      </c>
      <c r="C36" s="74" t="s">
        <v>2937</v>
      </c>
      <c r="D36" s="74">
        <v>10</v>
      </c>
      <c r="E36" s="74" t="s">
        <v>355</v>
      </c>
      <c r="F36" s="74" t="s">
        <v>356</v>
      </c>
      <c r="G36" s="87" t="s">
        <v>169</v>
      </c>
      <c r="H36" s="88">
        <v>0</v>
      </c>
      <c r="I36" s="88">
        <v>0</v>
      </c>
      <c r="J36" s="84">
        <v>1327.266454203</v>
      </c>
      <c r="K36" s="85">
        <f t="shared" si="1"/>
        <v>2.8392690643845635E-4</v>
      </c>
      <c r="L36" s="85">
        <f>J36/'סכום נכסי הקרן'!$C$42</f>
        <v>2.5479735377822053E-5</v>
      </c>
    </row>
    <row r="37" spans="2:12" s="122" customFormat="1">
      <c r="B37" s="77" t="s">
        <v>2915</v>
      </c>
      <c r="C37" s="74" t="s">
        <v>2938</v>
      </c>
      <c r="D37" s="74">
        <v>10</v>
      </c>
      <c r="E37" s="74" t="s">
        <v>355</v>
      </c>
      <c r="F37" s="74" t="s">
        <v>356</v>
      </c>
      <c r="G37" s="87" t="s">
        <v>164</v>
      </c>
      <c r="H37" s="88">
        <v>0</v>
      </c>
      <c r="I37" s="88">
        <v>0</v>
      </c>
      <c r="J37" s="84">
        <v>1629087.8436625269</v>
      </c>
      <c r="K37" s="85">
        <f t="shared" si="1"/>
        <v>0.34849209840487161</v>
      </c>
      <c r="L37" s="85">
        <f>J37/'סכום נכסי הקרן'!$C$42</f>
        <v>3.1273846357153044E-2</v>
      </c>
    </row>
    <row r="38" spans="2:12" s="122" customFormat="1">
      <c r="B38" s="77" t="s">
        <v>2915</v>
      </c>
      <c r="C38" s="74" t="s">
        <v>2939</v>
      </c>
      <c r="D38" s="74">
        <v>10</v>
      </c>
      <c r="E38" s="74" t="s">
        <v>355</v>
      </c>
      <c r="F38" s="74" t="s">
        <v>356</v>
      </c>
      <c r="G38" s="87" t="s">
        <v>171</v>
      </c>
      <c r="H38" s="88">
        <v>0</v>
      </c>
      <c r="I38" s="88">
        <v>0</v>
      </c>
      <c r="J38" s="84">
        <v>20.440615061999999</v>
      </c>
      <c r="K38" s="85">
        <f t="shared" si="1"/>
        <v>4.3726265979787441E-6</v>
      </c>
      <c r="L38" s="85">
        <f>J38/'סכום נכסי הקרן'!$C$42</f>
        <v>3.9240158680302649E-7</v>
      </c>
    </row>
    <row r="39" spans="2:12" s="122" customFormat="1">
      <c r="B39" s="77" t="s">
        <v>2915</v>
      </c>
      <c r="C39" s="74" t="s">
        <v>2940</v>
      </c>
      <c r="D39" s="74">
        <v>10</v>
      </c>
      <c r="E39" s="74" t="s">
        <v>355</v>
      </c>
      <c r="F39" s="74" t="s">
        <v>356</v>
      </c>
      <c r="G39" s="87" t="s">
        <v>166</v>
      </c>
      <c r="H39" s="88">
        <v>0</v>
      </c>
      <c r="I39" s="88">
        <v>0</v>
      </c>
      <c r="J39" s="84">
        <v>1282.0450000000001</v>
      </c>
      <c r="K39" s="85">
        <f t="shared" si="1"/>
        <v>2.7425319882997464E-4</v>
      </c>
      <c r="L39" s="85">
        <f>J39/'סכום נכסי הקרן'!$C$42</f>
        <v>2.4611612264453206E-5</v>
      </c>
    </row>
    <row r="40" spans="2:12" s="122" customFormat="1">
      <c r="B40" s="77" t="s">
        <v>2915</v>
      </c>
      <c r="C40" s="74" t="s">
        <v>2941</v>
      </c>
      <c r="D40" s="74">
        <v>10</v>
      </c>
      <c r="E40" s="74" t="s">
        <v>355</v>
      </c>
      <c r="F40" s="74" t="s">
        <v>356</v>
      </c>
      <c r="G40" s="87" t="s">
        <v>173</v>
      </c>
      <c r="H40" s="88">
        <v>0</v>
      </c>
      <c r="I40" s="88">
        <v>0</v>
      </c>
      <c r="J40" s="84">
        <v>1698.6949999999999</v>
      </c>
      <c r="K40" s="85">
        <f t="shared" si="1"/>
        <v>3.6338235989102078E-4</v>
      </c>
      <c r="L40" s="85">
        <f>J40/'סכום נכסי הקרן'!$C$42</f>
        <v>3.2610105492057873E-5</v>
      </c>
    </row>
    <row r="41" spans="2:12" s="122" customFormat="1">
      <c r="B41" s="77" t="s">
        <v>2915</v>
      </c>
      <c r="C41" s="74" t="s">
        <v>2942</v>
      </c>
      <c r="D41" s="74">
        <v>10</v>
      </c>
      <c r="E41" s="74" t="s">
        <v>355</v>
      </c>
      <c r="F41" s="74" t="s">
        <v>356</v>
      </c>
      <c r="G41" s="87" t="s">
        <v>166</v>
      </c>
      <c r="H41" s="88">
        <v>0</v>
      </c>
      <c r="I41" s="88">
        <v>0</v>
      </c>
      <c r="J41" s="84">
        <v>77642.778419342008</v>
      </c>
      <c r="K41" s="85">
        <f t="shared" si="1"/>
        <v>1.6609230056317419E-2</v>
      </c>
      <c r="L41" s="85">
        <f>J41/'סכום נכסי הקרן'!$C$42</f>
        <v>1.4905201904704597E-3</v>
      </c>
    </row>
    <row r="42" spans="2:12" s="122" customFormat="1">
      <c r="B42" s="77" t="s">
        <v>2915</v>
      </c>
      <c r="C42" s="74" t="s">
        <v>2943</v>
      </c>
      <c r="D42" s="74">
        <v>10</v>
      </c>
      <c r="E42" s="74" t="s">
        <v>355</v>
      </c>
      <c r="F42" s="74" t="s">
        <v>356</v>
      </c>
      <c r="G42" s="87" t="s">
        <v>168</v>
      </c>
      <c r="H42" s="88">
        <v>0</v>
      </c>
      <c r="I42" s="88">
        <v>0</v>
      </c>
      <c r="J42" s="84">
        <v>47.272420745999995</v>
      </c>
      <c r="K42" s="85">
        <f t="shared" si="1"/>
        <v>1.0112447383693203E-5</v>
      </c>
      <c r="L42" s="85">
        <f>J42/'סכום נכסי הקרן'!$C$42</f>
        <v>9.0749582908762609E-7</v>
      </c>
    </row>
    <row r="43" spans="2:12" s="122" customFormat="1">
      <c r="B43" s="77" t="s">
        <v>2915</v>
      </c>
      <c r="C43" s="74" t="s">
        <v>2944</v>
      </c>
      <c r="D43" s="74">
        <v>10</v>
      </c>
      <c r="E43" s="74" t="s">
        <v>355</v>
      </c>
      <c r="F43" s="74" t="s">
        <v>356</v>
      </c>
      <c r="G43" s="87" t="s">
        <v>168</v>
      </c>
      <c r="H43" s="88">
        <v>0</v>
      </c>
      <c r="I43" s="88">
        <v>0</v>
      </c>
      <c r="J43" s="84">
        <v>14.24075</v>
      </c>
      <c r="K43" s="85">
        <f t="shared" si="1"/>
        <v>3.0463604953320366E-6</v>
      </c>
      <c r="L43" s="85">
        <f>J43/'סכום נכסי הקרן'!$C$42</f>
        <v>2.7338183710791117E-7</v>
      </c>
    </row>
    <row r="44" spans="2:12" s="122" customFormat="1">
      <c r="B44" s="77" t="s">
        <v>2918</v>
      </c>
      <c r="C44" s="74" t="s">
        <v>2945</v>
      </c>
      <c r="D44" s="74">
        <v>20</v>
      </c>
      <c r="E44" s="74" t="s">
        <v>355</v>
      </c>
      <c r="F44" s="74" t="s">
        <v>356</v>
      </c>
      <c r="G44" s="87" t="s">
        <v>166</v>
      </c>
      <c r="H44" s="88">
        <v>0</v>
      </c>
      <c r="I44" s="88">
        <v>0</v>
      </c>
      <c r="J44" s="84">
        <v>5.1815013350000001</v>
      </c>
      <c r="K44" s="85">
        <f t="shared" si="1"/>
        <v>1.1084192176292828E-6</v>
      </c>
      <c r="L44" s="85">
        <f>J44/'סכום נכסי הקרן'!$C$42</f>
        <v>9.9470066811045367E-8</v>
      </c>
    </row>
    <row r="45" spans="2:12" s="122" customFormat="1">
      <c r="B45" s="77" t="s">
        <v>2918</v>
      </c>
      <c r="C45" s="74" t="s">
        <v>2946</v>
      </c>
      <c r="D45" s="74">
        <v>20</v>
      </c>
      <c r="E45" s="74" t="s">
        <v>355</v>
      </c>
      <c r="F45" s="74" t="s">
        <v>356</v>
      </c>
      <c r="G45" s="87" t="s">
        <v>164</v>
      </c>
      <c r="H45" s="88">
        <v>0</v>
      </c>
      <c r="I45" s="88">
        <v>0</v>
      </c>
      <c r="J45" s="84">
        <v>4.1964700000000006</v>
      </c>
      <c r="K45" s="85">
        <f t="shared" si="1"/>
        <v>8.9770274935281031E-7</v>
      </c>
      <c r="L45" s="85">
        <f>J45/'סכום נכסי הקרן'!$C$42</f>
        <v>8.0560270910467233E-8</v>
      </c>
    </row>
    <row r="46" spans="2:12" s="122" customFormat="1">
      <c r="B46" s="77" t="s">
        <v>2918</v>
      </c>
      <c r="C46" s="74" t="s">
        <v>2947</v>
      </c>
      <c r="D46" s="74">
        <v>20</v>
      </c>
      <c r="E46" s="74" t="s">
        <v>355</v>
      </c>
      <c r="F46" s="74" t="s">
        <v>356</v>
      </c>
      <c r="G46" s="87" t="s">
        <v>171</v>
      </c>
      <c r="H46" s="88">
        <v>0</v>
      </c>
      <c r="I46" s="88">
        <v>0</v>
      </c>
      <c r="J46" s="84">
        <v>170.31565409299998</v>
      </c>
      <c r="K46" s="85">
        <f t="shared" si="1"/>
        <v>3.6433676622758719E-5</v>
      </c>
      <c r="L46" s="85">
        <f>J46/'סכום נכסי הקרן'!$C$42</f>
        <v>3.2695754369804866E-6</v>
      </c>
    </row>
    <row r="47" spans="2:12" s="122" customFormat="1">
      <c r="B47" s="77" t="s">
        <v>2918</v>
      </c>
      <c r="C47" s="74" t="s">
        <v>2948</v>
      </c>
      <c r="D47" s="74">
        <v>20</v>
      </c>
      <c r="E47" s="74" t="s">
        <v>355</v>
      </c>
      <c r="F47" s="74" t="s">
        <v>356</v>
      </c>
      <c r="G47" s="87" t="s">
        <v>173</v>
      </c>
      <c r="H47" s="88">
        <v>0</v>
      </c>
      <c r="I47" s="88">
        <v>0</v>
      </c>
      <c r="J47" s="84">
        <v>0.20002</v>
      </c>
      <c r="K47" s="85">
        <f t="shared" si="1"/>
        <v>4.2787987028514224E-8</v>
      </c>
      <c r="L47" s="85">
        <f>J47/'סכום נכסי הקרן'!$C$42</f>
        <v>3.8398142694959459E-9</v>
      </c>
    </row>
    <row r="48" spans="2:12" s="122" customFormat="1">
      <c r="B48" s="77" t="s">
        <v>2918</v>
      </c>
      <c r="C48" s="74" t="s">
        <v>2949</v>
      </c>
      <c r="D48" s="74">
        <v>20</v>
      </c>
      <c r="E48" s="74" t="s">
        <v>355</v>
      </c>
      <c r="F48" s="74" t="s">
        <v>356</v>
      </c>
      <c r="G48" s="87" t="s">
        <v>168</v>
      </c>
      <c r="H48" s="88">
        <v>0</v>
      </c>
      <c r="I48" s="88">
        <v>0</v>
      </c>
      <c r="J48" s="84">
        <v>10.665133209</v>
      </c>
      <c r="K48" s="85">
        <f t="shared" si="1"/>
        <v>2.2814697600443372E-6</v>
      </c>
      <c r="L48" s="85">
        <f>J48/'סכום נכסי הקרן'!$C$42</f>
        <v>2.0474017939202726E-7</v>
      </c>
    </row>
    <row r="49" spans="2:12" s="122" customFormat="1">
      <c r="B49" s="77" t="s">
        <v>2918</v>
      </c>
      <c r="C49" s="74" t="s">
        <v>2950</v>
      </c>
      <c r="D49" s="74">
        <v>20</v>
      </c>
      <c r="E49" s="74" t="s">
        <v>355</v>
      </c>
      <c r="F49" s="74" t="s">
        <v>356</v>
      </c>
      <c r="G49" s="87" t="s">
        <v>166</v>
      </c>
      <c r="H49" s="88">
        <v>0</v>
      </c>
      <c r="I49" s="88">
        <v>0</v>
      </c>
      <c r="J49" s="84">
        <v>269.63847355600001</v>
      </c>
      <c r="K49" s="85">
        <f t="shared" si="1"/>
        <v>5.7680669477564765E-5</v>
      </c>
      <c r="L49" s="85">
        <f>J49/'סכום נכסי הקרן'!$C$42</f>
        <v>5.1762906627608949E-6</v>
      </c>
    </row>
    <row r="50" spans="2:12" s="122" customFormat="1">
      <c r="B50" s="77" t="s">
        <v>2918</v>
      </c>
      <c r="C50" s="74" t="s">
        <v>2951</v>
      </c>
      <c r="D50" s="74">
        <v>20</v>
      </c>
      <c r="E50" s="74" t="s">
        <v>355</v>
      </c>
      <c r="F50" s="74" t="s">
        <v>356</v>
      </c>
      <c r="G50" s="87" t="s">
        <v>164</v>
      </c>
      <c r="H50" s="88">
        <v>0</v>
      </c>
      <c r="I50" s="88">
        <v>0</v>
      </c>
      <c r="J50" s="84">
        <v>207199.53597540403</v>
      </c>
      <c r="K50" s="85">
        <f t="shared" si="1"/>
        <v>4.4323822905858186E-2</v>
      </c>
      <c r="L50" s="85">
        <f>J50/'סכום נכסי הקרן'!$C$42</f>
        <v>3.9776409102654483E-3</v>
      </c>
    </row>
    <row r="51" spans="2:12" s="122" customFormat="1">
      <c r="B51" s="77" t="s">
        <v>2918</v>
      </c>
      <c r="C51" s="74" t="s">
        <v>2952</v>
      </c>
      <c r="D51" s="74">
        <v>20</v>
      </c>
      <c r="E51" s="74" t="s">
        <v>355</v>
      </c>
      <c r="F51" s="74" t="s">
        <v>356</v>
      </c>
      <c r="G51" s="87" t="s">
        <v>174</v>
      </c>
      <c r="H51" s="88">
        <v>0</v>
      </c>
      <c r="I51" s="88">
        <v>0</v>
      </c>
      <c r="J51" s="84">
        <v>0.88694177200000002</v>
      </c>
      <c r="K51" s="85">
        <f t="shared" si="1"/>
        <v>1.8973329184773235E-7</v>
      </c>
      <c r="L51" s="85">
        <f>J51/'סכום נכסי הקרן'!$C$42</f>
        <v>1.702675568611949E-8</v>
      </c>
    </row>
    <row r="52" spans="2:12" s="122" customFormat="1">
      <c r="B52" s="77" t="s">
        <v>2918</v>
      </c>
      <c r="C52" s="74" t="s">
        <v>2950</v>
      </c>
      <c r="D52" s="74">
        <v>20</v>
      </c>
      <c r="E52" s="74" t="s">
        <v>355</v>
      </c>
      <c r="F52" s="74" t="s">
        <v>356</v>
      </c>
      <c r="G52" s="87" t="s">
        <v>166</v>
      </c>
      <c r="H52" s="88">
        <v>0</v>
      </c>
      <c r="I52" s="88">
        <v>0</v>
      </c>
      <c r="J52" s="84">
        <v>1183.1949999999999</v>
      </c>
      <c r="K52" s="85">
        <f t="shared" si="1"/>
        <v>2.5310735082593186E-4</v>
      </c>
      <c r="L52" s="85">
        <f>J52/'סכום נכסי הקרן'!$C$42</f>
        <v>2.271397382559872E-5</v>
      </c>
    </row>
    <row r="53" spans="2:12" s="122" customFormat="1">
      <c r="B53" s="77" t="s">
        <v>2910</v>
      </c>
      <c r="C53" s="74" t="s">
        <v>2953</v>
      </c>
      <c r="D53" s="74">
        <v>11</v>
      </c>
      <c r="E53" s="74" t="s">
        <v>355</v>
      </c>
      <c r="F53" s="74" t="s">
        <v>356</v>
      </c>
      <c r="G53" s="87" t="s">
        <v>166</v>
      </c>
      <c r="H53" s="88">
        <v>0</v>
      </c>
      <c r="I53" s="88">
        <v>0</v>
      </c>
      <c r="J53" s="84">
        <v>59.384677422999999</v>
      </c>
      <c r="K53" s="85">
        <f t="shared" si="1"/>
        <v>1.2703483687970331E-5</v>
      </c>
      <c r="L53" s="85">
        <f>J53/'סכום נכסי הקרן'!$C$42</f>
        <v>1.1400166571255331E-6</v>
      </c>
    </row>
    <row r="54" spans="2:12" s="122" customFormat="1">
      <c r="B54" s="77" t="s">
        <v>2910</v>
      </c>
      <c r="C54" s="74" t="s">
        <v>2954</v>
      </c>
      <c r="D54" s="74">
        <v>11</v>
      </c>
      <c r="E54" s="74" t="s">
        <v>355</v>
      </c>
      <c r="F54" s="74" t="s">
        <v>356</v>
      </c>
      <c r="G54" s="87" t="s">
        <v>167</v>
      </c>
      <c r="H54" s="88">
        <v>0</v>
      </c>
      <c r="I54" s="88">
        <v>0</v>
      </c>
      <c r="J54" s="84">
        <v>8.780564999000001</v>
      </c>
      <c r="K54" s="85">
        <f t="shared" si="1"/>
        <v>1.8783256738338069E-6</v>
      </c>
      <c r="L54" s="85">
        <f>J54/'סכום נכסי הקרן'!$C$42</f>
        <v>1.6856183770321399E-7</v>
      </c>
    </row>
    <row r="55" spans="2:12" s="122" customFormat="1">
      <c r="B55" s="77" t="s">
        <v>2910</v>
      </c>
      <c r="C55" s="74" t="s">
        <v>2955</v>
      </c>
      <c r="D55" s="74">
        <v>11</v>
      </c>
      <c r="E55" s="74" t="s">
        <v>355</v>
      </c>
      <c r="F55" s="74" t="s">
        <v>356</v>
      </c>
      <c r="G55" s="87" t="s">
        <v>164</v>
      </c>
      <c r="H55" s="88">
        <v>0</v>
      </c>
      <c r="I55" s="88">
        <v>0</v>
      </c>
      <c r="J55" s="84">
        <v>7289.0681171469996</v>
      </c>
      <c r="K55" s="85">
        <f t="shared" si="1"/>
        <v>1.5592668335488572E-3</v>
      </c>
      <c r="L55" s="85">
        <f>J55/'סכום נכסי הקרן'!$C$42</f>
        <v>1.3992934590315468E-4</v>
      </c>
    </row>
    <row r="56" spans="2:12" s="122" customFormat="1">
      <c r="B56" s="77" t="s">
        <v>2920</v>
      </c>
      <c r="C56" s="74" t="s">
        <v>2956</v>
      </c>
      <c r="D56" s="74">
        <v>26</v>
      </c>
      <c r="E56" s="74" t="s">
        <v>355</v>
      </c>
      <c r="F56" s="74" t="s">
        <v>356</v>
      </c>
      <c r="G56" s="87" t="s">
        <v>174</v>
      </c>
      <c r="H56" s="88">
        <v>0</v>
      </c>
      <c r="I56" s="88">
        <v>0</v>
      </c>
      <c r="J56" s="84">
        <v>-1.41E-3</v>
      </c>
      <c r="K56" s="85">
        <f t="shared" si="1"/>
        <v>-3.0162514603642164E-10</v>
      </c>
      <c r="L56" s="85">
        <f>J56/'סכום נכסי הקרן'!$C$42</f>
        <v>-2.7067983801566263E-11</v>
      </c>
    </row>
    <row r="57" spans="2:12" s="122" customFormat="1">
      <c r="B57" s="77" t="s">
        <v>2920</v>
      </c>
      <c r="C57" s="74" t="s">
        <v>2957</v>
      </c>
      <c r="D57" s="74">
        <v>26</v>
      </c>
      <c r="E57" s="74" t="s">
        <v>355</v>
      </c>
      <c r="F57" s="74" t="s">
        <v>356</v>
      </c>
      <c r="G57" s="87" t="s">
        <v>164</v>
      </c>
      <c r="H57" s="88">
        <v>0</v>
      </c>
      <c r="I57" s="88">
        <v>0</v>
      </c>
      <c r="J57" s="84">
        <v>-2.0109999999999999E-2</v>
      </c>
      <c r="K57" s="85">
        <f t="shared" si="1"/>
        <v>-4.3019019055265529E-9</v>
      </c>
      <c r="L57" s="85">
        <f>J57/'סכום נכסי הקרן'!$C$42</f>
        <v>-3.8605471932588478E-10</v>
      </c>
    </row>
    <row r="58" spans="2:12" s="122" customFormat="1">
      <c r="B58" s="77"/>
      <c r="C58" s="74"/>
      <c r="D58" s="74"/>
      <c r="E58" s="74"/>
      <c r="F58" s="74"/>
      <c r="G58" s="87"/>
      <c r="H58" s="88"/>
      <c r="I58" s="88"/>
      <c r="J58" s="84"/>
      <c r="K58" s="85"/>
      <c r="L58" s="85"/>
    </row>
    <row r="59" spans="2:12" s="122" customFormat="1">
      <c r="B59" s="150" t="s">
        <v>3495</v>
      </c>
      <c r="C59" s="151"/>
      <c r="D59" s="151"/>
      <c r="E59" s="151"/>
      <c r="F59" s="151"/>
      <c r="G59" s="151"/>
      <c r="H59" s="151"/>
      <c r="I59" s="151"/>
      <c r="J59" s="152">
        <f>J60</f>
        <v>79.704999999999998</v>
      </c>
      <c r="K59" s="153">
        <f t="shared" si="1"/>
        <v>1.7050377492789351E-5</v>
      </c>
      <c r="L59" s="153">
        <f>J59/'סכום נכסי הקרן'!$C$42</f>
        <v>1.5301089708537865E-6</v>
      </c>
    </row>
    <row r="60" spans="2:12" s="122" customFormat="1">
      <c r="B60" s="154" t="s">
        <v>2909</v>
      </c>
      <c r="C60" s="155" t="s">
        <v>3496</v>
      </c>
      <c r="D60" s="156">
        <v>95</v>
      </c>
      <c r="E60" s="155" t="s">
        <v>725</v>
      </c>
      <c r="F60" s="155"/>
      <c r="G60" s="156" t="s">
        <v>165</v>
      </c>
      <c r="H60" s="157">
        <v>0</v>
      </c>
      <c r="I60" s="157">
        <v>0</v>
      </c>
      <c r="J60" s="158">
        <v>79.704999999999998</v>
      </c>
      <c r="K60" s="159">
        <f t="shared" si="1"/>
        <v>1.7050377492789351E-5</v>
      </c>
      <c r="L60" s="159">
        <f>J60/'סכום נכסי הקרן'!$C$42</f>
        <v>1.5301089708537865E-6</v>
      </c>
    </row>
    <row r="61" spans="2:12" s="122" customFormat="1">
      <c r="B61" s="77"/>
      <c r="C61" s="74"/>
      <c r="D61" s="74"/>
      <c r="E61" s="74"/>
      <c r="F61" s="74"/>
      <c r="G61" s="87"/>
      <c r="H61" s="88"/>
      <c r="I61" s="88"/>
      <c r="J61" s="84"/>
      <c r="K61" s="85"/>
      <c r="L61" s="85"/>
    </row>
    <row r="62" spans="2:12" s="122" customFormat="1">
      <c r="B62" s="71" t="s">
        <v>237</v>
      </c>
      <c r="C62" s="72"/>
      <c r="D62" s="72"/>
      <c r="E62" s="72"/>
      <c r="F62" s="72"/>
      <c r="G62" s="72"/>
      <c r="H62" s="72"/>
      <c r="I62" s="72"/>
      <c r="J62" s="81">
        <f>J63</f>
        <v>60.881540000000001</v>
      </c>
      <c r="K62" s="82">
        <f t="shared" ref="K62:K69" si="2">J62/$J$10</f>
        <v>1.3023690349944855E-5</v>
      </c>
      <c r="L62" s="82">
        <f>J62/'סכום נכסי הקרן'!$C$42</f>
        <v>1.1687521549889423E-6</v>
      </c>
    </row>
    <row r="63" spans="2:12" s="122" customFormat="1">
      <c r="B63" s="92" t="s">
        <v>45</v>
      </c>
      <c r="C63" s="72"/>
      <c r="D63" s="72"/>
      <c r="E63" s="72"/>
      <c r="F63" s="72"/>
      <c r="G63" s="72"/>
      <c r="H63" s="72"/>
      <c r="I63" s="72"/>
      <c r="J63" s="81">
        <f>SUM(J64:J69)</f>
        <v>60.881540000000001</v>
      </c>
      <c r="K63" s="82">
        <f t="shared" si="2"/>
        <v>1.3023690349944855E-5</v>
      </c>
      <c r="L63" s="82">
        <f>J63/'סכום נכסי הקרן'!$C$42</f>
        <v>1.1687521549889423E-6</v>
      </c>
    </row>
    <row r="64" spans="2:12" s="122" customFormat="1">
      <c r="B64" s="77" t="s">
        <v>2958</v>
      </c>
      <c r="C64" s="74" t="s">
        <v>2959</v>
      </c>
      <c r="D64" s="74">
        <v>91</v>
      </c>
      <c r="E64" s="74" t="s">
        <v>988</v>
      </c>
      <c r="F64" s="74" t="s">
        <v>959</v>
      </c>
      <c r="G64" s="87" t="s">
        <v>167</v>
      </c>
      <c r="H64" s="88">
        <v>0</v>
      </c>
      <c r="I64" s="88">
        <v>0</v>
      </c>
      <c r="J64" s="84">
        <v>29.31174</v>
      </c>
      <c r="K64" s="85">
        <f t="shared" si="2"/>
        <v>6.270324722043704E-6</v>
      </c>
      <c r="L64" s="85">
        <f>J64/'סכום נכסי הקרן'!$C$42</f>
        <v>5.6270191738703677E-7</v>
      </c>
    </row>
    <row r="65" spans="2:12" s="122" customFormat="1">
      <c r="B65" s="77" t="s">
        <v>2958</v>
      </c>
      <c r="C65" s="74" t="s">
        <v>2960</v>
      </c>
      <c r="D65" s="74">
        <v>91</v>
      </c>
      <c r="E65" s="74" t="s">
        <v>988</v>
      </c>
      <c r="F65" s="74" t="s">
        <v>959</v>
      </c>
      <c r="G65" s="87" t="s">
        <v>164</v>
      </c>
      <c r="H65" s="88">
        <v>0</v>
      </c>
      <c r="I65" s="88">
        <v>0</v>
      </c>
      <c r="J65" s="84">
        <v>19.734999999999999</v>
      </c>
      <c r="K65" s="85">
        <f t="shared" si="2"/>
        <v>4.2216824517934621E-6</v>
      </c>
      <c r="L65" s="85">
        <f>J65/'סכום נכסי הקרן'!$C$42</f>
        <v>3.7885578746376611E-7</v>
      </c>
    </row>
    <row r="66" spans="2:12" s="122" customFormat="1">
      <c r="B66" s="77" t="s">
        <v>2958</v>
      </c>
      <c r="C66" s="74" t="s">
        <v>2961</v>
      </c>
      <c r="D66" s="74">
        <v>91</v>
      </c>
      <c r="E66" s="74" t="s">
        <v>988</v>
      </c>
      <c r="F66" s="74" t="s">
        <v>959</v>
      </c>
      <c r="G66" s="87" t="s">
        <v>166</v>
      </c>
      <c r="H66" s="88">
        <v>0</v>
      </c>
      <c r="I66" s="88">
        <v>0</v>
      </c>
      <c r="J66" s="84">
        <v>7.88368</v>
      </c>
      <c r="K66" s="85">
        <f t="shared" si="2"/>
        <v>1.6864653413506501E-6</v>
      </c>
      <c r="L66" s="85">
        <f>J66/'סכום נכסי הקרן'!$C$42</f>
        <v>1.5134420038066094E-7</v>
      </c>
    </row>
    <row r="67" spans="2:12" s="122" customFormat="1">
      <c r="B67" s="77" t="s">
        <v>2958</v>
      </c>
      <c r="C67" s="74" t="s">
        <v>2962</v>
      </c>
      <c r="D67" s="74">
        <v>91</v>
      </c>
      <c r="E67" s="74" t="s">
        <v>988</v>
      </c>
      <c r="F67" s="74" t="s">
        <v>959</v>
      </c>
      <c r="G67" s="87" t="s">
        <v>171</v>
      </c>
      <c r="H67" s="88">
        <v>0</v>
      </c>
      <c r="I67" s="88">
        <v>0</v>
      </c>
      <c r="J67" s="84">
        <v>5.9800000000000001E-3</v>
      </c>
      <c r="K67" s="85">
        <f t="shared" si="2"/>
        <v>1.279232888863689E-9</v>
      </c>
      <c r="L67" s="85">
        <f>J67/'סכום נכסי הקרן'!$C$42</f>
        <v>1.1479896676125267E-10</v>
      </c>
    </row>
    <row r="68" spans="2:12" s="122" customFormat="1">
      <c r="B68" s="77" t="s">
        <v>2958</v>
      </c>
      <c r="C68" s="74" t="s">
        <v>2963</v>
      </c>
      <c r="D68" s="74">
        <v>91</v>
      </c>
      <c r="E68" s="74" t="s">
        <v>988</v>
      </c>
      <c r="F68" s="74" t="s">
        <v>959</v>
      </c>
      <c r="G68" s="87" t="s">
        <v>174</v>
      </c>
      <c r="H68" s="88">
        <v>0</v>
      </c>
      <c r="I68" s="88">
        <v>0</v>
      </c>
      <c r="J68" s="84">
        <v>3.94489</v>
      </c>
      <c r="K68" s="85">
        <f t="shared" si="2"/>
        <v>8.4388512223235417E-7</v>
      </c>
      <c r="L68" s="85">
        <f>J68/'סכום נכסי הקרן'!$C$42</f>
        <v>7.5730651502809037E-8</v>
      </c>
    </row>
    <row r="69" spans="2:12" s="122" customFormat="1">
      <c r="B69" s="77" t="s">
        <v>2964</v>
      </c>
      <c r="C69" s="74" t="s">
        <v>2965</v>
      </c>
      <c r="D69" s="74">
        <v>91</v>
      </c>
      <c r="E69" s="74" t="s">
        <v>725</v>
      </c>
      <c r="F69" s="74"/>
      <c r="G69" s="87" t="s">
        <v>164</v>
      </c>
      <c r="H69" s="88">
        <v>0</v>
      </c>
      <c r="I69" s="88">
        <v>0</v>
      </c>
      <c r="J69" s="84">
        <v>2.5000000000000001E-4</v>
      </c>
      <c r="K69" s="85">
        <f t="shared" si="2"/>
        <v>5.3479635822060579E-11</v>
      </c>
      <c r="L69" s="85">
        <f>J69/'סכום נכסי הקרן'!$C$42</f>
        <v>4.7992879080791246E-12</v>
      </c>
    </row>
    <row r="70" spans="2:12" s="122" customFormat="1">
      <c r="B70" s="73"/>
      <c r="C70" s="74"/>
      <c r="D70" s="74"/>
      <c r="E70" s="74"/>
      <c r="F70" s="74"/>
      <c r="G70" s="74"/>
      <c r="H70" s="74"/>
      <c r="I70" s="74"/>
      <c r="J70" s="74"/>
      <c r="K70" s="85"/>
      <c r="L70" s="74"/>
    </row>
    <row r="71" spans="2:12" s="122" customFormat="1">
      <c r="B71" s="121"/>
      <c r="C71" s="121"/>
    </row>
    <row r="72" spans="2:12" s="122" customFormat="1">
      <c r="B72" s="148" t="s">
        <v>261</v>
      </c>
      <c r="C72" s="121"/>
    </row>
    <row r="73" spans="2:12" s="122" customFormat="1">
      <c r="B73" s="125"/>
      <c r="C73" s="121"/>
    </row>
    <row r="74" spans="2:12" s="122" customFormat="1">
      <c r="B74" s="121"/>
      <c r="C74" s="121"/>
    </row>
    <row r="75" spans="2:12" s="122" customFormat="1">
      <c r="B75" s="121"/>
      <c r="C75" s="121"/>
    </row>
    <row r="76" spans="2:12" s="122" customFormat="1">
      <c r="B76" s="121"/>
      <c r="C76" s="121"/>
    </row>
    <row r="77" spans="2:12" s="122" customFormat="1">
      <c r="B77" s="121"/>
      <c r="C77" s="121"/>
    </row>
    <row r="78" spans="2:12" s="122" customFormat="1">
      <c r="B78" s="121"/>
      <c r="C78" s="121"/>
    </row>
    <row r="79" spans="2:12" s="122" customFormat="1">
      <c r="B79" s="121"/>
      <c r="C79" s="121"/>
    </row>
    <row r="80" spans="2:12" s="122" customFormat="1">
      <c r="B80" s="121"/>
      <c r="C80" s="121"/>
    </row>
    <row r="81" spans="2:3" s="122" customFormat="1">
      <c r="B81" s="121"/>
      <c r="C81" s="121"/>
    </row>
    <row r="82" spans="2:3" s="122" customFormat="1">
      <c r="B82" s="121"/>
      <c r="C82" s="121"/>
    </row>
    <row r="83" spans="2:3" s="122" customFormat="1">
      <c r="B83" s="121"/>
      <c r="C83" s="121"/>
    </row>
    <row r="84" spans="2:3" s="122" customFormat="1">
      <c r="B84" s="121"/>
      <c r="C84" s="121"/>
    </row>
    <row r="85" spans="2:3" s="122" customFormat="1">
      <c r="B85" s="121"/>
      <c r="C85" s="121"/>
    </row>
    <row r="86" spans="2:3" s="122" customFormat="1">
      <c r="B86" s="121"/>
      <c r="C86" s="121"/>
    </row>
    <row r="87" spans="2:3" s="122" customFormat="1">
      <c r="B87" s="121"/>
      <c r="C87" s="121"/>
    </row>
    <row r="88" spans="2:3" s="122" customFormat="1">
      <c r="B88" s="121"/>
      <c r="C88" s="121"/>
    </row>
    <row r="89" spans="2:3" s="122" customFormat="1">
      <c r="B89" s="121"/>
      <c r="C89" s="121"/>
    </row>
    <row r="90" spans="2:3" s="122" customFormat="1">
      <c r="B90" s="121"/>
      <c r="C90" s="121"/>
    </row>
    <row r="91" spans="2:3" s="122" customFormat="1">
      <c r="B91" s="121"/>
      <c r="C91" s="121"/>
    </row>
    <row r="92" spans="2:3" s="122" customFormat="1">
      <c r="B92" s="121"/>
      <c r="C92" s="121"/>
    </row>
    <row r="93" spans="2:3" s="122" customFormat="1">
      <c r="B93" s="121"/>
      <c r="C93" s="121"/>
    </row>
    <row r="94" spans="2:3" s="122" customFormat="1">
      <c r="B94" s="121"/>
      <c r="C94" s="121"/>
    </row>
    <row r="95" spans="2:3" s="122" customFormat="1">
      <c r="B95" s="121"/>
      <c r="C95" s="121"/>
    </row>
    <row r="96" spans="2:3" s="122" customFormat="1">
      <c r="B96" s="121"/>
      <c r="C96" s="121"/>
    </row>
    <row r="97" spans="2:3" s="122" customFormat="1">
      <c r="B97" s="121"/>
      <c r="C97" s="121"/>
    </row>
    <row r="98" spans="2:3" s="122" customFormat="1">
      <c r="B98" s="121"/>
      <c r="C98" s="121"/>
    </row>
    <row r="99" spans="2:3" s="122" customFormat="1">
      <c r="B99" s="121"/>
      <c r="C99" s="121"/>
    </row>
    <row r="100" spans="2:3" s="122" customFormat="1">
      <c r="B100" s="121"/>
      <c r="C100" s="121"/>
    </row>
    <row r="101" spans="2:3" s="122" customFormat="1">
      <c r="B101" s="121"/>
      <c r="C101" s="121"/>
    </row>
    <row r="102" spans="2:3" s="122" customFormat="1">
      <c r="B102" s="121"/>
      <c r="C102" s="121"/>
    </row>
    <row r="103" spans="2:3" s="122" customFormat="1">
      <c r="B103" s="121"/>
      <c r="C103" s="121"/>
    </row>
    <row r="104" spans="2:3" s="122" customFormat="1">
      <c r="B104" s="121"/>
      <c r="C104" s="121"/>
    </row>
    <row r="105" spans="2:3" s="122" customFormat="1">
      <c r="B105" s="121"/>
      <c r="C105" s="121"/>
    </row>
    <row r="106" spans="2:3" s="122" customFormat="1">
      <c r="B106" s="121"/>
      <c r="C106" s="121"/>
    </row>
    <row r="107" spans="2:3" s="122" customFormat="1">
      <c r="B107" s="121"/>
      <c r="C107" s="121"/>
    </row>
    <row r="108" spans="2:3" s="122" customFormat="1">
      <c r="B108" s="121"/>
      <c r="C108" s="121"/>
    </row>
    <row r="109" spans="2:3" s="122" customFormat="1">
      <c r="B109" s="121"/>
      <c r="C109" s="121"/>
    </row>
    <row r="110" spans="2:3" s="122" customFormat="1">
      <c r="B110" s="121"/>
      <c r="C110" s="121"/>
    </row>
    <row r="111" spans="2:3" s="122" customFormat="1">
      <c r="B111" s="121"/>
      <c r="C111" s="121"/>
    </row>
    <row r="112" spans="2:3" s="122" customFormat="1">
      <c r="B112" s="121"/>
      <c r="C112" s="121"/>
    </row>
    <row r="113" spans="2:3" s="122" customFormat="1">
      <c r="B113" s="121"/>
      <c r="C113" s="121"/>
    </row>
    <row r="114" spans="2:3" s="122" customFormat="1">
      <c r="B114" s="121"/>
      <c r="C114" s="121"/>
    </row>
    <row r="115" spans="2:3" s="122" customFormat="1">
      <c r="B115" s="121"/>
      <c r="C115" s="121"/>
    </row>
    <row r="116" spans="2:3" s="122" customFormat="1">
      <c r="B116" s="121"/>
      <c r="C116" s="121"/>
    </row>
    <row r="117" spans="2:3" s="122" customFormat="1">
      <c r="B117" s="121"/>
      <c r="C117" s="121"/>
    </row>
    <row r="118" spans="2:3" s="122" customFormat="1">
      <c r="B118" s="121"/>
      <c r="C118" s="121"/>
    </row>
    <row r="119" spans="2:3" s="122" customFormat="1">
      <c r="B119" s="121"/>
      <c r="C119" s="121"/>
    </row>
    <row r="120" spans="2:3" s="122" customFormat="1">
      <c r="B120" s="121"/>
      <c r="C120" s="121"/>
    </row>
    <row r="121" spans="2:3" s="122" customFormat="1">
      <c r="B121" s="121"/>
      <c r="C121" s="121"/>
    </row>
    <row r="122" spans="2:3" s="122" customFormat="1">
      <c r="B122" s="121"/>
      <c r="C122" s="121"/>
    </row>
    <row r="123" spans="2:3" s="122" customFormat="1">
      <c r="B123" s="121"/>
      <c r="C123" s="121"/>
    </row>
    <row r="124" spans="2:3" s="122" customFormat="1">
      <c r="B124" s="121"/>
      <c r="C124" s="121"/>
    </row>
    <row r="125" spans="2:3" s="122" customFormat="1">
      <c r="B125" s="121"/>
      <c r="C125" s="121"/>
    </row>
    <row r="126" spans="2:3" s="122" customFormat="1">
      <c r="B126" s="121"/>
      <c r="C126" s="121"/>
    </row>
    <row r="127" spans="2:3" s="122" customFormat="1">
      <c r="B127" s="121"/>
      <c r="C127" s="121"/>
    </row>
    <row r="128" spans="2:3" s="122" customFormat="1">
      <c r="B128" s="121"/>
      <c r="C128" s="121"/>
    </row>
    <row r="129" spans="2:3" s="122" customFormat="1">
      <c r="B129" s="121"/>
      <c r="C129" s="121"/>
    </row>
    <row r="130" spans="2:3" s="122" customFormat="1">
      <c r="B130" s="121"/>
      <c r="C130" s="121"/>
    </row>
    <row r="131" spans="2:3" s="122" customFormat="1">
      <c r="B131" s="121"/>
      <c r="C131" s="121"/>
    </row>
    <row r="132" spans="2:3" s="122" customFormat="1">
      <c r="B132" s="121"/>
      <c r="C132" s="121"/>
    </row>
    <row r="133" spans="2:3" s="122" customFormat="1">
      <c r="B133" s="121"/>
      <c r="C133" s="121"/>
    </row>
    <row r="134" spans="2:3" s="122" customFormat="1">
      <c r="B134" s="121"/>
      <c r="C134" s="121"/>
    </row>
    <row r="135" spans="2:3" s="122" customFormat="1">
      <c r="B135" s="121"/>
      <c r="C135" s="121"/>
    </row>
    <row r="136" spans="2:3" s="122" customFormat="1">
      <c r="B136" s="121"/>
      <c r="C136" s="121"/>
    </row>
    <row r="137" spans="2:3" s="122" customFormat="1">
      <c r="B137" s="121"/>
      <c r="C137" s="121"/>
    </row>
    <row r="138" spans="2:3" s="122" customFormat="1">
      <c r="B138" s="121"/>
      <c r="C138" s="121"/>
    </row>
    <row r="139" spans="2:3" s="122" customFormat="1">
      <c r="B139" s="121"/>
      <c r="C139" s="121"/>
    </row>
    <row r="140" spans="2:3" s="122" customFormat="1">
      <c r="B140" s="121"/>
      <c r="C140" s="121"/>
    </row>
    <row r="141" spans="2:3" s="122" customFormat="1">
      <c r="B141" s="121"/>
      <c r="C141" s="121"/>
    </row>
    <row r="142" spans="2:3" s="122" customFormat="1">
      <c r="B142" s="121"/>
      <c r="C142" s="121"/>
    </row>
    <row r="143" spans="2:3" s="122" customFormat="1">
      <c r="B143" s="121"/>
      <c r="C143" s="121"/>
    </row>
    <row r="144" spans="2:3" s="122" customFormat="1">
      <c r="B144" s="121"/>
      <c r="C144" s="121"/>
    </row>
    <row r="145" spans="2:3" s="122" customFormat="1">
      <c r="B145" s="121"/>
      <c r="C145" s="121"/>
    </row>
    <row r="146" spans="2:3" s="122" customFormat="1">
      <c r="B146" s="121"/>
      <c r="C146" s="121"/>
    </row>
    <row r="147" spans="2:3" s="122" customFormat="1">
      <c r="B147" s="121"/>
      <c r="C147" s="121"/>
    </row>
    <row r="148" spans="2:3" s="122" customFormat="1">
      <c r="B148" s="121"/>
      <c r="C148" s="121"/>
    </row>
    <row r="149" spans="2:3" s="122" customFormat="1">
      <c r="B149" s="121"/>
      <c r="C149" s="121"/>
    </row>
    <row r="150" spans="2:3" s="122" customFormat="1">
      <c r="B150" s="121"/>
      <c r="C150" s="121"/>
    </row>
    <row r="151" spans="2:3" s="122" customFormat="1">
      <c r="B151" s="121"/>
      <c r="C151" s="121"/>
    </row>
    <row r="152" spans="2:3" s="122" customFormat="1">
      <c r="B152" s="121"/>
      <c r="C152" s="121"/>
    </row>
    <row r="153" spans="2:3" s="122" customFormat="1">
      <c r="B153" s="121"/>
      <c r="C153" s="121"/>
    </row>
    <row r="154" spans="2:3" s="122" customFormat="1">
      <c r="B154" s="121"/>
      <c r="C154" s="121"/>
    </row>
    <row r="155" spans="2:3" s="122" customFormat="1">
      <c r="B155" s="121"/>
      <c r="C155" s="121"/>
    </row>
    <row r="156" spans="2:3" s="122" customFormat="1">
      <c r="B156" s="121"/>
      <c r="C156" s="121"/>
    </row>
    <row r="157" spans="2:3" s="122" customFormat="1">
      <c r="B157" s="121"/>
      <c r="C157" s="121"/>
    </row>
    <row r="158" spans="2:3" s="122" customFormat="1">
      <c r="B158" s="121"/>
      <c r="C158" s="121"/>
    </row>
    <row r="159" spans="2:3" s="122" customFormat="1">
      <c r="B159" s="121"/>
      <c r="C159" s="121"/>
    </row>
    <row r="160" spans="2:3" s="122" customFormat="1">
      <c r="B160" s="121"/>
      <c r="C160" s="121"/>
    </row>
    <row r="161" spans="2:3" s="122" customFormat="1">
      <c r="B161" s="121"/>
      <c r="C161" s="121"/>
    </row>
    <row r="162" spans="2:3" s="122" customFormat="1">
      <c r="B162" s="121"/>
      <c r="C162" s="121"/>
    </row>
    <row r="163" spans="2:3" s="122" customFormat="1">
      <c r="B163" s="121"/>
      <c r="C163" s="121"/>
    </row>
    <row r="164" spans="2:3" s="122" customFormat="1">
      <c r="B164" s="121"/>
      <c r="C164" s="121"/>
    </row>
    <row r="165" spans="2:3" s="122" customFormat="1">
      <c r="B165" s="121"/>
      <c r="C165" s="121"/>
    </row>
    <row r="166" spans="2:3" s="122" customFormat="1">
      <c r="B166" s="121"/>
      <c r="C166" s="121"/>
    </row>
    <row r="167" spans="2:3" s="122" customFormat="1">
      <c r="B167" s="121"/>
      <c r="C167" s="121"/>
    </row>
    <row r="168" spans="2:3" s="122" customFormat="1">
      <c r="B168" s="121"/>
      <c r="C168" s="121"/>
    </row>
    <row r="169" spans="2:3" s="122" customFormat="1">
      <c r="B169" s="121"/>
      <c r="C169" s="121"/>
    </row>
    <row r="170" spans="2:3" s="122" customFormat="1">
      <c r="B170" s="121"/>
      <c r="C170" s="121"/>
    </row>
    <row r="171" spans="2:3" s="122" customFormat="1">
      <c r="B171" s="121"/>
      <c r="C171" s="121"/>
    </row>
    <row r="172" spans="2:3" s="122" customFormat="1">
      <c r="B172" s="121"/>
      <c r="C172" s="121"/>
    </row>
    <row r="173" spans="2:3" s="122" customFormat="1">
      <c r="B173" s="121"/>
      <c r="C173" s="121"/>
    </row>
    <row r="174" spans="2:3" s="122" customFormat="1">
      <c r="B174" s="121"/>
      <c r="C174" s="121"/>
    </row>
    <row r="175" spans="2:3" s="122" customFormat="1">
      <c r="B175" s="121"/>
      <c r="C175" s="121"/>
    </row>
    <row r="176" spans="2:3" s="122" customFormat="1">
      <c r="B176" s="121"/>
      <c r="C176" s="121"/>
    </row>
    <row r="177" spans="2:3" s="122" customFormat="1">
      <c r="B177" s="121"/>
      <c r="C177" s="121"/>
    </row>
    <row r="178" spans="2:3" s="122" customFormat="1">
      <c r="B178" s="121"/>
      <c r="C178" s="121"/>
    </row>
    <row r="179" spans="2:3" s="122" customFormat="1">
      <c r="B179" s="121"/>
      <c r="C179" s="121"/>
    </row>
    <row r="180" spans="2:3" s="122" customFormat="1">
      <c r="B180" s="121"/>
      <c r="C180" s="121"/>
    </row>
    <row r="181" spans="2:3" s="122" customFormat="1">
      <c r="B181" s="121"/>
      <c r="C181" s="121"/>
    </row>
    <row r="182" spans="2:3" s="122" customFormat="1">
      <c r="B182" s="121"/>
      <c r="C182" s="121"/>
    </row>
    <row r="183" spans="2:3" s="122" customFormat="1">
      <c r="B183" s="121"/>
      <c r="C183" s="121"/>
    </row>
    <row r="184" spans="2:3" s="122" customFormat="1">
      <c r="B184" s="121"/>
      <c r="C184" s="121"/>
    </row>
    <row r="185" spans="2:3" s="122" customFormat="1">
      <c r="B185" s="121"/>
      <c r="C185" s="121"/>
    </row>
    <row r="186" spans="2:3" s="122" customFormat="1">
      <c r="B186" s="121"/>
      <c r="C186" s="121"/>
    </row>
    <row r="187" spans="2:3" s="122" customFormat="1">
      <c r="B187" s="121"/>
      <c r="C187" s="121"/>
    </row>
    <row r="188" spans="2:3" s="122" customFormat="1">
      <c r="B188" s="121"/>
      <c r="C188" s="121"/>
    </row>
    <row r="189" spans="2:3" s="122" customFormat="1">
      <c r="B189" s="121"/>
      <c r="C189" s="121"/>
    </row>
    <row r="190" spans="2:3" s="122" customFormat="1">
      <c r="B190" s="121"/>
      <c r="C190" s="121"/>
    </row>
    <row r="191" spans="2:3" s="122" customFormat="1">
      <c r="B191" s="121"/>
      <c r="C191" s="121"/>
    </row>
    <row r="192" spans="2:3" s="122" customFormat="1">
      <c r="B192" s="121"/>
      <c r="C192" s="121"/>
    </row>
    <row r="193" spans="2:12" s="122" customFormat="1">
      <c r="B193" s="121"/>
      <c r="C193" s="121"/>
    </row>
    <row r="194" spans="2:12" s="122" customFormat="1">
      <c r="B194" s="121"/>
      <c r="C194" s="121"/>
    </row>
    <row r="195" spans="2:12" s="122" customFormat="1">
      <c r="B195" s="121"/>
      <c r="C195" s="121"/>
    </row>
    <row r="196" spans="2:12" s="122" customFormat="1">
      <c r="B196" s="121"/>
      <c r="C196" s="121"/>
    </row>
    <row r="197" spans="2:12" s="122" customFormat="1">
      <c r="B197" s="121"/>
      <c r="C197" s="121"/>
    </row>
    <row r="198" spans="2:12" s="122" customFormat="1">
      <c r="B198" s="121"/>
      <c r="C198" s="121"/>
    </row>
    <row r="199" spans="2:12" s="122" customFormat="1">
      <c r="B199" s="121"/>
      <c r="C199" s="121"/>
    </row>
    <row r="200" spans="2:12" s="122" customFormat="1">
      <c r="B200" s="121"/>
      <c r="C200" s="121"/>
    </row>
    <row r="201" spans="2:12" s="122" customFormat="1">
      <c r="B201" s="121"/>
      <c r="C201" s="121"/>
    </row>
    <row r="202" spans="2:12" s="122" customFormat="1">
      <c r="B202" s="121"/>
      <c r="C202" s="121"/>
    </row>
    <row r="203" spans="2:12" s="122" customFormat="1">
      <c r="B203" s="121"/>
      <c r="C203" s="121"/>
    </row>
    <row r="204" spans="2:12" s="122" customFormat="1">
      <c r="B204" s="121"/>
      <c r="C204" s="121"/>
    </row>
    <row r="205" spans="2:12" s="122" customFormat="1">
      <c r="B205" s="121"/>
      <c r="C205" s="121"/>
    </row>
    <row r="206" spans="2:12" s="122" customFormat="1">
      <c r="B206" s="121"/>
      <c r="C206" s="121"/>
    </row>
    <row r="207" spans="2:12" s="122" customFormat="1">
      <c r="B207" s="121"/>
      <c r="C207" s="121"/>
    </row>
    <row r="208" spans="2:12" s="122" customFormat="1">
      <c r="B208" s="2"/>
      <c r="C208" s="2"/>
      <c r="D208" s="1"/>
      <c r="E208" s="1"/>
      <c r="F208" s="1"/>
      <c r="G208" s="1"/>
      <c r="H208" s="1"/>
      <c r="I208" s="1"/>
      <c r="J208" s="1"/>
      <c r="K208" s="1"/>
      <c r="L208" s="1"/>
    </row>
    <row r="209" spans="2:12" s="122" customForma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s="122" customForma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s="122" customForma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s="122" customForma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>
      <c r="B213" s="1"/>
      <c r="C213" s="1"/>
      <c r="D213" s="1"/>
    </row>
    <row r="214" spans="2:12">
      <c r="B214" s="1"/>
      <c r="C214" s="1"/>
      <c r="D214" s="1"/>
    </row>
    <row r="215" spans="2:12">
      <c r="B215" s="1"/>
      <c r="C215" s="1"/>
      <c r="D215" s="1"/>
    </row>
    <row r="216" spans="2:12">
      <c r="B216" s="1"/>
      <c r="C216" s="1"/>
      <c r="D216" s="1"/>
    </row>
    <row r="217" spans="2:12">
      <c r="B217" s="1"/>
      <c r="C217" s="1"/>
      <c r="D217" s="1"/>
    </row>
    <row r="218" spans="2:12">
      <c r="B218" s="1"/>
      <c r="C218" s="1"/>
      <c r="D218" s="1"/>
    </row>
    <row r="219" spans="2:12">
      <c r="B219" s="1"/>
      <c r="C219" s="1"/>
      <c r="D219" s="1"/>
    </row>
    <row r="220" spans="2:12">
      <c r="B220" s="1"/>
      <c r="C220" s="1"/>
      <c r="D220" s="1"/>
    </row>
    <row r="221" spans="2:12">
      <c r="B221" s="1"/>
      <c r="C221" s="1"/>
      <c r="D221" s="1"/>
    </row>
    <row r="222" spans="2:12">
      <c r="B222" s="1"/>
      <c r="C222" s="1"/>
      <c r="D222" s="1"/>
    </row>
    <row r="223" spans="2:12">
      <c r="B223" s="1"/>
      <c r="C223" s="1"/>
      <c r="D223" s="1"/>
    </row>
    <row r="224" spans="2:12">
      <c r="B224" s="1"/>
      <c r="C224" s="1"/>
      <c r="D224" s="1"/>
    </row>
    <row r="225" spans="2:4">
      <c r="B225" s="1"/>
      <c r="C225" s="1"/>
      <c r="D225" s="1"/>
    </row>
    <row r="226" spans="2:4">
      <c r="B226" s="1"/>
      <c r="C226" s="1"/>
      <c r="D226" s="1"/>
    </row>
    <row r="227" spans="2:4">
      <c r="B227" s="1"/>
      <c r="C227" s="1"/>
      <c r="D227" s="1"/>
    </row>
    <row r="228" spans="2:4">
      <c r="B228" s="1"/>
      <c r="C228" s="1"/>
      <c r="D228" s="1"/>
    </row>
    <row r="229" spans="2:4">
      <c r="B229" s="1"/>
      <c r="C229" s="1"/>
      <c r="D229" s="1"/>
    </row>
    <row r="230" spans="2:4">
      <c r="B230" s="1"/>
      <c r="C230" s="1"/>
      <c r="D230" s="1"/>
    </row>
    <row r="231" spans="2:4">
      <c r="B231" s="1"/>
      <c r="C231" s="1"/>
      <c r="D231" s="1"/>
    </row>
    <row r="232" spans="2:4">
      <c r="B232" s="1"/>
      <c r="C232" s="1"/>
      <c r="D232" s="1"/>
    </row>
    <row r="233" spans="2:4">
      <c r="B233" s="1"/>
      <c r="C233" s="1"/>
      <c r="D233" s="1"/>
    </row>
    <row r="234" spans="2:4">
      <c r="B234" s="1"/>
      <c r="C234" s="1"/>
      <c r="D234" s="1"/>
    </row>
    <row r="235" spans="2:4">
      <c r="B235" s="1"/>
      <c r="C235" s="1"/>
      <c r="D235" s="1"/>
    </row>
    <row r="236" spans="2:4">
      <c r="B236" s="1"/>
      <c r="C236" s="1"/>
      <c r="D236" s="1"/>
    </row>
    <row r="237" spans="2:4">
      <c r="B237" s="1"/>
      <c r="C237" s="1"/>
      <c r="D237" s="1"/>
    </row>
    <row r="238" spans="2:4">
      <c r="B238" s="1"/>
      <c r="C238" s="1"/>
      <c r="D238" s="1"/>
    </row>
    <row r="239" spans="2:4">
      <c r="B239" s="1"/>
      <c r="C239" s="1"/>
      <c r="D239" s="1"/>
    </row>
    <row r="240" spans="2:4">
      <c r="B240" s="1"/>
      <c r="C240" s="1"/>
      <c r="D240" s="1"/>
    </row>
    <row r="241" spans="2:4">
      <c r="B241" s="1"/>
      <c r="C241" s="1"/>
      <c r="D241" s="1"/>
    </row>
    <row r="242" spans="2:4">
      <c r="B242" s="1"/>
      <c r="C242" s="1"/>
      <c r="D242" s="1"/>
    </row>
    <row r="243" spans="2:4">
      <c r="B243" s="1"/>
      <c r="C243" s="1"/>
      <c r="D243" s="1"/>
    </row>
    <row r="244" spans="2:4">
      <c r="B244" s="1"/>
      <c r="C244" s="1"/>
      <c r="D244" s="1"/>
    </row>
    <row r="245" spans="2:4">
      <c r="B245" s="1"/>
      <c r="C245" s="1"/>
      <c r="D245" s="1"/>
    </row>
    <row r="246" spans="2:4">
      <c r="B246" s="1"/>
      <c r="C246" s="1"/>
      <c r="D246" s="1"/>
    </row>
    <row r="247" spans="2:4">
      <c r="B247" s="1"/>
      <c r="C247" s="1"/>
      <c r="D247" s="1"/>
    </row>
    <row r="248" spans="2:4">
      <c r="B248" s="1"/>
      <c r="C248" s="1"/>
      <c r="D248" s="1"/>
    </row>
    <row r="249" spans="2:4">
      <c r="B249" s="1"/>
      <c r="C249" s="1"/>
      <c r="D249" s="1"/>
    </row>
    <row r="250" spans="2:4">
      <c r="B250" s="1"/>
      <c r="C250" s="1"/>
      <c r="D250" s="1"/>
    </row>
    <row r="251" spans="2:4">
      <c r="B251" s="1"/>
      <c r="C251" s="1"/>
      <c r="D251" s="1"/>
    </row>
    <row r="252" spans="2:4">
      <c r="B252" s="1"/>
      <c r="C252" s="1"/>
      <c r="D252" s="1"/>
    </row>
    <row r="253" spans="2:4">
      <c r="B253" s="1"/>
      <c r="C253" s="1"/>
      <c r="D253" s="1"/>
    </row>
    <row r="254" spans="2:4">
      <c r="B254" s="1"/>
      <c r="C254" s="1"/>
      <c r="D254" s="1"/>
    </row>
    <row r="255" spans="2:4">
      <c r="B255" s="1"/>
      <c r="C255" s="1"/>
      <c r="D255" s="1"/>
    </row>
    <row r="256" spans="2:4">
      <c r="B256" s="1"/>
      <c r="C256" s="1"/>
      <c r="D256" s="1"/>
    </row>
    <row r="257" spans="2:4">
      <c r="B257" s="1"/>
      <c r="C257" s="1"/>
      <c r="D257" s="1"/>
    </row>
    <row r="258" spans="2:4">
      <c r="B258" s="1"/>
      <c r="C258" s="1"/>
      <c r="D258" s="1"/>
    </row>
    <row r="259" spans="2:4">
      <c r="B259" s="1"/>
      <c r="C259" s="1"/>
      <c r="D259" s="1"/>
    </row>
    <row r="260" spans="2:4">
      <c r="B260" s="1"/>
      <c r="C260" s="1"/>
      <c r="D260" s="1"/>
    </row>
    <row r="261" spans="2:4">
      <c r="B261" s="1"/>
      <c r="C261" s="1"/>
      <c r="D261" s="1"/>
    </row>
    <row r="262" spans="2:4">
      <c r="B262" s="1"/>
      <c r="C262" s="1"/>
      <c r="D262" s="1"/>
    </row>
    <row r="263" spans="2:4">
      <c r="B263" s="1"/>
      <c r="C263" s="1"/>
      <c r="D263" s="1"/>
    </row>
    <row r="264" spans="2:4">
      <c r="B264" s="1"/>
      <c r="C264" s="1"/>
      <c r="D264" s="1"/>
    </row>
    <row r="265" spans="2:4">
      <c r="B265" s="1"/>
      <c r="C265" s="1"/>
      <c r="D265" s="1"/>
    </row>
    <row r="266" spans="2:4">
      <c r="B266" s="1"/>
      <c r="C266" s="1"/>
      <c r="D266" s="1"/>
    </row>
    <row r="267" spans="2:4">
      <c r="B267" s="1"/>
      <c r="C267" s="1"/>
      <c r="D267" s="1"/>
    </row>
    <row r="268" spans="2:4">
      <c r="B268" s="1"/>
      <c r="C268" s="1"/>
      <c r="D268" s="1"/>
    </row>
    <row r="269" spans="2:4">
      <c r="B269" s="1"/>
      <c r="C269" s="1"/>
      <c r="D269" s="1"/>
    </row>
    <row r="270" spans="2:4">
      <c r="B270" s="1"/>
      <c r="C270" s="1"/>
      <c r="D270" s="1"/>
    </row>
    <row r="271" spans="2:4">
      <c r="B271" s="1"/>
      <c r="C271" s="1"/>
      <c r="D271" s="1"/>
    </row>
    <row r="272" spans="2:4">
      <c r="B272" s="1"/>
      <c r="C272" s="1"/>
      <c r="D272" s="1"/>
    </row>
    <row r="273" spans="2:4">
      <c r="B273" s="1"/>
      <c r="C273" s="1"/>
      <c r="D273" s="1"/>
    </row>
    <row r="274" spans="2:4">
      <c r="B274" s="1"/>
      <c r="C274" s="1"/>
      <c r="D274" s="1"/>
    </row>
    <row r="275" spans="2:4">
      <c r="B275" s="1"/>
      <c r="C275" s="1"/>
      <c r="D275" s="1"/>
    </row>
    <row r="276" spans="2:4">
      <c r="B276" s="1"/>
      <c r="C276" s="1"/>
      <c r="D276" s="1"/>
    </row>
    <row r="277" spans="2:4">
      <c r="B277" s="1"/>
      <c r="C277" s="1"/>
      <c r="D277" s="1"/>
    </row>
    <row r="278" spans="2:4">
      <c r="B278" s="1"/>
      <c r="C278" s="1"/>
      <c r="D278" s="1"/>
    </row>
    <row r="279" spans="2:4">
      <c r="B279" s="1"/>
      <c r="C279" s="1"/>
      <c r="D279" s="1"/>
    </row>
    <row r="280" spans="2:4">
      <c r="B280" s="1"/>
      <c r="C280" s="1"/>
      <c r="D280" s="1"/>
    </row>
    <row r="281" spans="2:4">
      <c r="B281" s="1"/>
      <c r="C281" s="1"/>
      <c r="D281" s="1"/>
    </row>
    <row r="282" spans="2:4">
      <c r="B282" s="1"/>
      <c r="C282" s="1"/>
      <c r="D282" s="1"/>
    </row>
    <row r="283" spans="2:4">
      <c r="B283" s="1"/>
      <c r="C283" s="1"/>
      <c r="D283" s="1"/>
    </row>
    <row r="284" spans="2:4">
      <c r="B284" s="1"/>
      <c r="C284" s="1"/>
      <c r="D284" s="1"/>
    </row>
    <row r="285" spans="2:4">
      <c r="B285" s="1"/>
      <c r="C285" s="1"/>
      <c r="D285" s="1"/>
    </row>
    <row r="286" spans="2:4">
      <c r="B286" s="1"/>
      <c r="C286" s="1"/>
      <c r="D286" s="1"/>
    </row>
    <row r="287" spans="2:4">
      <c r="B287" s="1"/>
      <c r="C287" s="1"/>
      <c r="D287" s="1"/>
    </row>
    <row r="288" spans="2:4">
      <c r="B288" s="1"/>
      <c r="C288" s="1"/>
      <c r="D288" s="1"/>
    </row>
    <row r="289" spans="2:4">
      <c r="B289" s="1"/>
      <c r="C289" s="1"/>
      <c r="D289" s="1"/>
    </row>
    <row r="290" spans="2:4">
      <c r="B290" s="1"/>
      <c r="C290" s="1"/>
      <c r="D290" s="1"/>
    </row>
    <row r="291" spans="2:4">
      <c r="B291" s="1"/>
      <c r="C291" s="1"/>
      <c r="D291" s="1"/>
    </row>
    <row r="292" spans="2:4">
      <c r="B292" s="1"/>
      <c r="C292" s="1"/>
      <c r="D292" s="1"/>
    </row>
    <row r="293" spans="2:4">
      <c r="B293" s="1"/>
      <c r="C293" s="1"/>
      <c r="D293" s="1"/>
    </row>
    <row r="294" spans="2:4">
      <c r="B294" s="1"/>
      <c r="C294" s="1"/>
      <c r="D294" s="1"/>
    </row>
    <row r="295" spans="2:4">
      <c r="B295" s="1"/>
      <c r="C295" s="1"/>
      <c r="D295" s="1"/>
    </row>
    <row r="296" spans="2:4">
      <c r="B296" s="1"/>
      <c r="C296" s="1"/>
      <c r="D296" s="1"/>
    </row>
    <row r="297" spans="2:4">
      <c r="B297" s="1"/>
      <c r="C297" s="1"/>
      <c r="D297" s="1"/>
    </row>
    <row r="298" spans="2:4">
      <c r="B298" s="1"/>
      <c r="C298" s="1"/>
      <c r="D298" s="1"/>
    </row>
    <row r="299" spans="2:4">
      <c r="B299" s="1"/>
      <c r="C299" s="1"/>
      <c r="D299" s="1"/>
    </row>
    <row r="300" spans="2:4">
      <c r="B300" s="1"/>
      <c r="C300" s="1"/>
      <c r="D300" s="1"/>
    </row>
    <row r="301" spans="2:4">
      <c r="B301" s="1"/>
      <c r="C301" s="1"/>
      <c r="D301" s="1"/>
    </row>
    <row r="302" spans="2:4">
      <c r="B302" s="1"/>
      <c r="C302" s="1"/>
      <c r="D302" s="1"/>
    </row>
    <row r="303" spans="2:4">
      <c r="B303" s="1"/>
      <c r="C303" s="1"/>
      <c r="D303" s="1"/>
    </row>
    <row r="304" spans="2:4">
      <c r="B304" s="1"/>
      <c r="C304" s="1"/>
      <c r="D304" s="1"/>
    </row>
    <row r="305" spans="2:4">
      <c r="B305" s="1"/>
      <c r="C305" s="1"/>
      <c r="D305" s="1"/>
    </row>
    <row r="306" spans="2:4">
      <c r="B306" s="1"/>
      <c r="C306" s="1"/>
      <c r="D306" s="1"/>
    </row>
    <row r="307" spans="2:4">
      <c r="B307" s="1"/>
      <c r="C307" s="1"/>
      <c r="D307" s="1"/>
    </row>
    <row r="308" spans="2:4">
      <c r="B308" s="1"/>
      <c r="C308" s="1"/>
      <c r="D308" s="1"/>
    </row>
    <row r="309" spans="2:4">
      <c r="B309" s="1"/>
      <c r="C309" s="1"/>
      <c r="D309" s="1"/>
    </row>
    <row r="310" spans="2:4">
      <c r="B310" s="1"/>
      <c r="C310" s="1"/>
      <c r="D310" s="1"/>
    </row>
    <row r="311" spans="2:4">
      <c r="B311" s="1"/>
      <c r="C311" s="1"/>
      <c r="D311" s="1"/>
    </row>
    <row r="312" spans="2:4">
      <c r="B312" s="1"/>
      <c r="C312" s="1"/>
      <c r="D312" s="1"/>
    </row>
    <row r="313" spans="2:4">
      <c r="B313" s="1"/>
      <c r="C313" s="1"/>
      <c r="D313" s="1"/>
    </row>
    <row r="314" spans="2:4">
      <c r="B314" s="1"/>
      <c r="C314" s="1"/>
      <c r="D314" s="1"/>
    </row>
    <row r="315" spans="2:4">
      <c r="B315" s="1"/>
      <c r="C315" s="1"/>
      <c r="D315" s="1"/>
    </row>
    <row r="316" spans="2:4">
      <c r="B316" s="1"/>
      <c r="C316" s="1"/>
      <c r="D316" s="1"/>
    </row>
    <row r="317" spans="2:4">
      <c r="B317" s="1"/>
      <c r="C317" s="1"/>
      <c r="D317" s="1"/>
    </row>
    <row r="318" spans="2:4">
      <c r="B318" s="1"/>
      <c r="C318" s="1"/>
      <c r="D318" s="1"/>
    </row>
    <row r="319" spans="2:4">
      <c r="B319" s="1"/>
      <c r="C319" s="1"/>
      <c r="D319" s="1"/>
    </row>
    <row r="320" spans="2:4">
      <c r="B320" s="1"/>
      <c r="C320" s="1"/>
      <c r="D320" s="1"/>
    </row>
    <row r="321" spans="2:4">
      <c r="B321" s="1"/>
      <c r="C321" s="1"/>
      <c r="D321" s="1"/>
    </row>
    <row r="322" spans="2:4">
      <c r="B322" s="1"/>
      <c r="C322" s="1"/>
      <c r="D322" s="1"/>
    </row>
    <row r="323" spans="2:4">
      <c r="B323" s="1"/>
      <c r="C323" s="1"/>
      <c r="D323" s="1"/>
    </row>
    <row r="324" spans="2:4">
      <c r="B324" s="1"/>
      <c r="C324" s="1"/>
      <c r="D324" s="1"/>
    </row>
    <row r="325" spans="2:4">
      <c r="B325" s="1"/>
      <c r="C325" s="1"/>
      <c r="D325" s="1"/>
    </row>
    <row r="326" spans="2:4">
      <c r="B326" s="1"/>
      <c r="C326" s="1"/>
      <c r="D326" s="1"/>
    </row>
    <row r="327" spans="2:4">
      <c r="B327" s="1"/>
      <c r="C327" s="1"/>
      <c r="D327" s="1"/>
    </row>
    <row r="328" spans="2:4">
      <c r="B328" s="1"/>
      <c r="C328" s="1"/>
      <c r="D328" s="1"/>
    </row>
    <row r="329" spans="2:4">
      <c r="B329" s="1"/>
      <c r="C329" s="1"/>
      <c r="D329" s="1"/>
    </row>
    <row r="330" spans="2:4">
      <c r="B330" s="1"/>
      <c r="C330" s="1"/>
      <c r="D330" s="1"/>
    </row>
    <row r="331" spans="2:4">
      <c r="B331" s="1"/>
      <c r="C331" s="1"/>
      <c r="D331" s="1"/>
    </row>
    <row r="332" spans="2:4">
      <c r="B332" s="1"/>
      <c r="C332" s="1"/>
      <c r="D332" s="1"/>
    </row>
    <row r="333" spans="2:4">
      <c r="B333" s="1"/>
      <c r="C333" s="1"/>
      <c r="D333" s="1"/>
    </row>
    <row r="334" spans="2:4">
      <c r="B334" s="1"/>
      <c r="C334" s="1"/>
      <c r="D334" s="1"/>
    </row>
    <row r="335" spans="2:4">
      <c r="B335" s="1"/>
      <c r="C335" s="1"/>
      <c r="D335" s="1"/>
    </row>
    <row r="336" spans="2:4">
      <c r="B336" s="1"/>
      <c r="C336" s="1"/>
      <c r="D336" s="1"/>
    </row>
    <row r="337" spans="2:4">
      <c r="B337" s="1"/>
      <c r="C337" s="1"/>
      <c r="D337" s="1"/>
    </row>
    <row r="338" spans="2:4">
      <c r="B338" s="1"/>
      <c r="C338" s="1"/>
      <c r="D338" s="1"/>
    </row>
    <row r="339" spans="2:4">
      <c r="B339" s="1"/>
      <c r="C339" s="1"/>
      <c r="D339" s="1"/>
    </row>
    <row r="340" spans="2:4">
      <c r="B340" s="1"/>
      <c r="C340" s="1"/>
      <c r="D340" s="1"/>
    </row>
    <row r="341" spans="2:4">
      <c r="B341" s="1"/>
      <c r="C341" s="1"/>
      <c r="D341" s="1"/>
    </row>
    <row r="342" spans="2:4">
      <c r="B342" s="1"/>
      <c r="C342" s="1"/>
      <c r="D342" s="1"/>
    </row>
    <row r="343" spans="2:4">
      <c r="B343" s="1"/>
      <c r="C343" s="1"/>
      <c r="D343" s="1"/>
    </row>
    <row r="344" spans="2:4">
      <c r="B344" s="1"/>
      <c r="C344" s="1"/>
      <c r="D344" s="1"/>
    </row>
    <row r="345" spans="2:4">
      <c r="B345" s="1"/>
      <c r="C345" s="1"/>
      <c r="D345" s="1"/>
    </row>
    <row r="346" spans="2:4">
      <c r="B346" s="1"/>
      <c r="C346" s="1"/>
      <c r="D346" s="1"/>
    </row>
    <row r="347" spans="2:4">
      <c r="B347" s="1"/>
      <c r="C347" s="1"/>
      <c r="D347" s="1"/>
    </row>
    <row r="348" spans="2:4">
      <c r="B348" s="1"/>
      <c r="C348" s="1"/>
      <c r="D348" s="1"/>
    </row>
    <row r="349" spans="2:4">
      <c r="B349" s="1"/>
      <c r="C349" s="1"/>
      <c r="D349" s="1"/>
    </row>
    <row r="350" spans="2:4">
      <c r="B350" s="1"/>
      <c r="C350" s="1"/>
      <c r="D350" s="1"/>
    </row>
    <row r="351" spans="2:4">
      <c r="B351" s="1"/>
      <c r="C351" s="1"/>
      <c r="D351" s="1"/>
    </row>
    <row r="352" spans="2:4">
      <c r="B352" s="1"/>
      <c r="C352" s="1"/>
      <c r="D352" s="1"/>
    </row>
    <row r="353" spans="2:4">
      <c r="B353" s="1"/>
      <c r="C353" s="1"/>
      <c r="D353" s="1"/>
    </row>
    <row r="354" spans="2:4">
      <c r="B354" s="1"/>
      <c r="C354" s="1"/>
      <c r="D354" s="1"/>
    </row>
    <row r="355" spans="2:4">
      <c r="B355" s="1"/>
      <c r="C355" s="1"/>
      <c r="D355" s="1"/>
    </row>
    <row r="356" spans="2:4">
      <c r="B356" s="1"/>
      <c r="C356" s="1"/>
      <c r="D356" s="1"/>
    </row>
    <row r="357" spans="2:4">
      <c r="B357" s="1"/>
      <c r="C357" s="1"/>
      <c r="D357" s="1"/>
    </row>
    <row r="358" spans="2:4">
      <c r="B358" s="1"/>
      <c r="C358" s="1"/>
      <c r="D358" s="1"/>
    </row>
    <row r="359" spans="2:4">
      <c r="B359" s="1"/>
      <c r="C359" s="1"/>
      <c r="D359" s="1"/>
    </row>
    <row r="360" spans="2:4">
      <c r="B360" s="1"/>
      <c r="C360" s="1"/>
      <c r="D360" s="1"/>
    </row>
    <row r="361" spans="2:4">
      <c r="B361" s="1"/>
      <c r="C361" s="1"/>
      <c r="D361" s="1"/>
    </row>
    <row r="362" spans="2:4">
      <c r="B362" s="1"/>
      <c r="C362" s="1"/>
      <c r="D362" s="1"/>
    </row>
    <row r="363" spans="2:4">
      <c r="B363" s="1"/>
      <c r="C363" s="1"/>
      <c r="D363" s="1"/>
    </row>
    <row r="364" spans="2:4">
      <c r="B364" s="1"/>
      <c r="C364" s="1"/>
      <c r="D364" s="1"/>
    </row>
    <row r="365" spans="2:4">
      <c r="B365" s="1"/>
      <c r="C365" s="1"/>
      <c r="D365" s="1"/>
    </row>
    <row r="366" spans="2:4">
      <c r="B366" s="1"/>
      <c r="C366" s="1"/>
      <c r="D366" s="1"/>
    </row>
    <row r="367" spans="2:4">
      <c r="B367" s="1"/>
      <c r="C367" s="1"/>
      <c r="D367" s="1"/>
    </row>
    <row r="368" spans="2:4">
      <c r="B368" s="1"/>
      <c r="C368" s="1"/>
      <c r="D368" s="1"/>
    </row>
    <row r="369" spans="2:4">
      <c r="B369" s="1"/>
      <c r="C369" s="1"/>
      <c r="D369" s="1"/>
    </row>
    <row r="370" spans="2:4">
      <c r="B370" s="1"/>
      <c r="C370" s="1"/>
      <c r="D370" s="1"/>
    </row>
    <row r="371" spans="2:4">
      <c r="B371" s="1"/>
      <c r="C371" s="1"/>
      <c r="D371" s="1"/>
    </row>
    <row r="372" spans="2:4">
      <c r="B372" s="1"/>
      <c r="C372" s="1"/>
      <c r="D372" s="1"/>
    </row>
    <row r="373" spans="2:4">
      <c r="B373" s="1"/>
      <c r="C373" s="1"/>
      <c r="D373" s="1"/>
    </row>
    <row r="374" spans="2:4">
      <c r="B374" s="1"/>
      <c r="C374" s="1"/>
      <c r="D374" s="1"/>
    </row>
    <row r="375" spans="2:4">
      <c r="B375" s="1"/>
      <c r="C375" s="1"/>
      <c r="D375" s="1"/>
    </row>
    <row r="376" spans="2:4">
      <c r="B376" s="1"/>
      <c r="C376" s="1"/>
      <c r="D376" s="1"/>
    </row>
    <row r="377" spans="2:4">
      <c r="B377" s="1"/>
      <c r="C377" s="1"/>
      <c r="D377" s="1"/>
    </row>
    <row r="378" spans="2:4">
      <c r="B378" s="1"/>
      <c r="C378" s="1"/>
      <c r="D378" s="1"/>
    </row>
    <row r="379" spans="2:4">
      <c r="B379" s="1"/>
      <c r="C379" s="1"/>
      <c r="D379" s="1"/>
    </row>
    <row r="380" spans="2:4">
      <c r="B380" s="1"/>
      <c r="C380" s="1"/>
      <c r="D380" s="1"/>
    </row>
    <row r="381" spans="2:4">
      <c r="B381" s="1"/>
      <c r="C381" s="1"/>
      <c r="D381" s="1"/>
    </row>
    <row r="382" spans="2:4">
      <c r="B382" s="1"/>
      <c r="C382" s="1"/>
      <c r="D382" s="1"/>
    </row>
    <row r="383" spans="2:4">
      <c r="B383" s="1"/>
      <c r="C383" s="1"/>
      <c r="D383" s="1"/>
    </row>
    <row r="384" spans="2:4">
      <c r="B384" s="1"/>
      <c r="C384" s="1"/>
      <c r="D384" s="1"/>
    </row>
    <row r="385" spans="2:4">
      <c r="B385" s="1"/>
      <c r="C385" s="1"/>
      <c r="D385" s="1"/>
    </row>
    <row r="386" spans="2:4">
      <c r="B386" s="1"/>
      <c r="C386" s="1"/>
      <c r="D386" s="1"/>
    </row>
    <row r="387" spans="2:4">
      <c r="B387" s="1"/>
      <c r="C387" s="1"/>
      <c r="D387" s="1"/>
    </row>
    <row r="388" spans="2:4">
      <c r="B388" s="1"/>
      <c r="C388" s="1"/>
      <c r="D388" s="1"/>
    </row>
    <row r="389" spans="2:4">
      <c r="B389" s="1"/>
      <c r="C389" s="1"/>
      <c r="D389" s="1"/>
    </row>
    <row r="390" spans="2:4">
      <c r="B390" s="1"/>
      <c r="C390" s="1"/>
      <c r="D390" s="1"/>
    </row>
    <row r="391" spans="2:4">
      <c r="B391" s="1"/>
      <c r="C391" s="1"/>
      <c r="D391" s="1"/>
    </row>
    <row r="392" spans="2:4">
      <c r="B392" s="1"/>
      <c r="C392" s="1"/>
      <c r="D392" s="1"/>
    </row>
    <row r="393" spans="2:4">
      <c r="B393" s="1"/>
      <c r="C393" s="1"/>
      <c r="D393" s="1"/>
    </row>
    <row r="394" spans="2:4">
      <c r="B394" s="1"/>
      <c r="C394" s="1"/>
      <c r="D394" s="1"/>
    </row>
    <row r="395" spans="2:4">
      <c r="B395" s="1"/>
      <c r="C395" s="1"/>
      <c r="D395" s="1"/>
    </row>
    <row r="396" spans="2:4">
      <c r="B396" s="1"/>
      <c r="C396" s="1"/>
      <c r="D396" s="1"/>
    </row>
    <row r="397" spans="2:4">
      <c r="B397" s="1"/>
      <c r="C397" s="1"/>
      <c r="D397" s="1"/>
    </row>
    <row r="398" spans="2:4">
      <c r="B398" s="1"/>
      <c r="C398" s="1"/>
      <c r="D398" s="1"/>
    </row>
    <row r="399" spans="2:4">
      <c r="B399" s="1"/>
      <c r="C399" s="1"/>
      <c r="D399" s="1"/>
    </row>
    <row r="400" spans="2:4">
      <c r="B400" s="1"/>
      <c r="C400" s="1"/>
      <c r="D400" s="1"/>
    </row>
    <row r="401" spans="2:4">
      <c r="B401" s="1"/>
      <c r="C401" s="1"/>
      <c r="D401" s="1"/>
    </row>
    <row r="402" spans="2:4">
      <c r="B402" s="1"/>
      <c r="C402" s="1"/>
      <c r="D402" s="1"/>
    </row>
    <row r="403" spans="2:4">
      <c r="B403" s="1"/>
      <c r="C403" s="1"/>
      <c r="D403" s="1"/>
    </row>
    <row r="404" spans="2:4">
      <c r="B404" s="1"/>
      <c r="C404" s="1"/>
      <c r="D404" s="1"/>
    </row>
    <row r="405" spans="2:4">
      <c r="B405" s="1"/>
      <c r="C405" s="1"/>
      <c r="D405" s="1"/>
    </row>
    <row r="406" spans="2:4">
      <c r="B406" s="1"/>
      <c r="C406" s="1"/>
      <c r="D406" s="1"/>
    </row>
    <row r="407" spans="2:4">
      <c r="B407" s="1"/>
      <c r="C407" s="1"/>
      <c r="D407" s="1"/>
    </row>
    <row r="408" spans="2:4">
      <c r="B408" s="1"/>
      <c r="C408" s="1"/>
      <c r="D408" s="1"/>
    </row>
    <row r="409" spans="2:4">
      <c r="B409" s="1"/>
      <c r="C409" s="1"/>
      <c r="D409" s="1"/>
    </row>
    <row r="410" spans="2:4">
      <c r="B410" s="1"/>
      <c r="C410" s="1"/>
      <c r="D410" s="1"/>
    </row>
    <row r="411" spans="2:4">
      <c r="B411" s="1"/>
      <c r="C411" s="1"/>
      <c r="D411" s="1"/>
    </row>
    <row r="412" spans="2:4">
      <c r="B412" s="1"/>
      <c r="C412" s="1"/>
      <c r="D412" s="1"/>
    </row>
    <row r="413" spans="2:4">
      <c r="B413" s="1"/>
      <c r="C413" s="1"/>
      <c r="D413" s="1"/>
    </row>
    <row r="414" spans="2:4">
      <c r="B414" s="1"/>
      <c r="C414" s="1"/>
      <c r="D414" s="1"/>
    </row>
    <row r="415" spans="2:4">
      <c r="B415" s="1"/>
      <c r="C415" s="1"/>
      <c r="D415" s="1"/>
    </row>
    <row r="416" spans="2:4">
      <c r="B416" s="1"/>
      <c r="C416" s="1"/>
      <c r="D416" s="1"/>
    </row>
    <row r="417" spans="2:4">
      <c r="B417" s="1"/>
      <c r="C417" s="1"/>
      <c r="D417" s="1"/>
    </row>
    <row r="418" spans="2:4">
      <c r="B418" s="1"/>
      <c r="C418" s="1"/>
      <c r="D418" s="1"/>
    </row>
    <row r="419" spans="2:4">
      <c r="B419" s="1"/>
      <c r="C419" s="1"/>
      <c r="D419" s="1"/>
    </row>
    <row r="420" spans="2:4">
      <c r="B420" s="1"/>
      <c r="C420" s="1"/>
      <c r="D420" s="1"/>
    </row>
    <row r="421" spans="2:4">
      <c r="B421" s="1"/>
      <c r="C421" s="1"/>
      <c r="D421" s="1"/>
    </row>
    <row r="422" spans="2:4">
      <c r="B422" s="1"/>
      <c r="C422" s="1"/>
      <c r="D422" s="1"/>
    </row>
    <row r="423" spans="2:4">
      <c r="B423" s="1"/>
      <c r="C423" s="1"/>
      <c r="D423" s="1"/>
    </row>
    <row r="424" spans="2:4">
      <c r="B424" s="1"/>
      <c r="C424" s="1"/>
      <c r="D424" s="1"/>
    </row>
    <row r="425" spans="2:4">
      <c r="B425" s="1"/>
      <c r="C425" s="1"/>
      <c r="D425" s="1"/>
    </row>
    <row r="426" spans="2:4">
      <c r="B426" s="1"/>
      <c r="C426" s="1"/>
      <c r="D426" s="1"/>
    </row>
    <row r="427" spans="2:4">
      <c r="B427" s="1"/>
      <c r="C427" s="1"/>
      <c r="D427" s="1"/>
    </row>
    <row r="428" spans="2:4">
      <c r="B428" s="1"/>
      <c r="C428" s="1"/>
      <c r="D428" s="1"/>
    </row>
    <row r="429" spans="2:4">
      <c r="B429" s="1"/>
      <c r="C429" s="1"/>
      <c r="D429" s="1"/>
    </row>
    <row r="430" spans="2:4">
      <c r="B430" s="1"/>
      <c r="C430" s="1"/>
      <c r="D430" s="1"/>
    </row>
    <row r="431" spans="2:4">
      <c r="B431" s="1"/>
      <c r="C431" s="1"/>
      <c r="D431" s="1"/>
    </row>
    <row r="432" spans="2:4">
      <c r="B432" s="1"/>
      <c r="C432" s="1"/>
      <c r="D432" s="1"/>
    </row>
    <row r="433" spans="2:4">
      <c r="B433" s="1"/>
      <c r="C433" s="1"/>
      <c r="D433" s="1"/>
    </row>
    <row r="434" spans="2:4">
      <c r="B434" s="1"/>
      <c r="C434" s="1"/>
      <c r="D434" s="1"/>
    </row>
    <row r="435" spans="2:4">
      <c r="B435" s="1"/>
      <c r="C435" s="1"/>
      <c r="D435" s="1"/>
    </row>
    <row r="436" spans="2:4">
      <c r="B436" s="1"/>
      <c r="C436" s="1"/>
      <c r="D436" s="1"/>
    </row>
    <row r="437" spans="2:4">
      <c r="B437" s="1"/>
      <c r="C437" s="1"/>
      <c r="D437" s="1"/>
    </row>
    <row r="438" spans="2:4">
      <c r="B438" s="1"/>
      <c r="C438" s="1"/>
      <c r="D438" s="1"/>
    </row>
    <row r="439" spans="2:4">
      <c r="B439" s="1"/>
      <c r="C439" s="1"/>
      <c r="D439" s="1"/>
    </row>
    <row r="440" spans="2:4">
      <c r="B440" s="1"/>
      <c r="C440" s="1"/>
      <c r="D440" s="1"/>
    </row>
    <row r="441" spans="2:4">
      <c r="B441" s="1"/>
      <c r="C441" s="1"/>
      <c r="D441" s="1"/>
    </row>
    <row r="442" spans="2:4">
      <c r="B442" s="1"/>
      <c r="C442" s="1"/>
      <c r="D442" s="1"/>
    </row>
    <row r="443" spans="2:4">
      <c r="B443" s="1"/>
      <c r="C443" s="1"/>
      <c r="D443" s="1"/>
    </row>
    <row r="444" spans="2:4">
      <c r="B444" s="1"/>
      <c r="C444" s="1"/>
      <c r="D444" s="1"/>
    </row>
    <row r="445" spans="2:4">
      <c r="B445" s="1"/>
      <c r="C445" s="1"/>
      <c r="D445" s="1"/>
    </row>
    <row r="446" spans="2:4">
      <c r="B446" s="1"/>
      <c r="C446" s="1"/>
      <c r="D446" s="1"/>
    </row>
    <row r="447" spans="2:4">
      <c r="B447" s="1"/>
      <c r="C447" s="1"/>
      <c r="D447" s="1"/>
    </row>
    <row r="448" spans="2:4">
      <c r="B448" s="1"/>
      <c r="C448" s="1"/>
      <c r="D448" s="1"/>
    </row>
    <row r="449" spans="2:4">
      <c r="B449" s="1"/>
      <c r="C449" s="1"/>
      <c r="D449" s="1"/>
    </row>
    <row r="450" spans="2:4">
      <c r="B450" s="1"/>
      <c r="C450" s="1"/>
      <c r="D450" s="1"/>
    </row>
    <row r="451" spans="2:4">
      <c r="B451" s="1"/>
      <c r="C451" s="1"/>
      <c r="D451" s="1"/>
    </row>
    <row r="452" spans="2:4">
      <c r="B452" s="1"/>
      <c r="C452" s="1"/>
      <c r="D452" s="1"/>
    </row>
    <row r="453" spans="2:4">
      <c r="B453" s="1"/>
      <c r="C453" s="1"/>
      <c r="D453" s="1"/>
    </row>
    <row r="454" spans="2:4">
      <c r="B454" s="1"/>
      <c r="C454" s="1"/>
      <c r="D454" s="1"/>
    </row>
    <row r="455" spans="2:4">
      <c r="B455" s="1"/>
      <c r="C455" s="1"/>
      <c r="D455" s="1"/>
    </row>
    <row r="456" spans="2:4">
      <c r="B456" s="1"/>
      <c r="C456" s="1"/>
      <c r="D456" s="1"/>
    </row>
    <row r="457" spans="2:4">
      <c r="B457" s="1"/>
      <c r="C457" s="1"/>
      <c r="D457" s="1"/>
    </row>
    <row r="458" spans="2:4">
      <c r="B458" s="1"/>
      <c r="C458" s="1"/>
      <c r="D458" s="1"/>
    </row>
    <row r="459" spans="2:4">
      <c r="B459" s="1"/>
      <c r="C459" s="1"/>
      <c r="D459" s="1"/>
    </row>
    <row r="460" spans="2:4">
      <c r="B460" s="1"/>
      <c r="C460" s="1"/>
      <c r="D460" s="1"/>
    </row>
    <row r="461" spans="2:4">
      <c r="B461" s="1"/>
      <c r="C461" s="1"/>
      <c r="D461" s="1"/>
    </row>
    <row r="462" spans="2:4">
      <c r="B462" s="1"/>
      <c r="C462" s="1"/>
      <c r="D462" s="1"/>
    </row>
    <row r="463" spans="2:4">
      <c r="B463" s="1"/>
      <c r="C463" s="1"/>
      <c r="D463" s="1"/>
    </row>
    <row r="464" spans="2:4">
      <c r="B464" s="1"/>
      <c r="C464" s="1"/>
      <c r="D464" s="1"/>
    </row>
    <row r="465" spans="2:4">
      <c r="B465" s="1"/>
      <c r="C465" s="1"/>
      <c r="D465" s="1"/>
    </row>
    <row r="466" spans="2:4">
      <c r="B466" s="1"/>
      <c r="C466" s="1"/>
      <c r="D466" s="1"/>
    </row>
    <row r="467" spans="2:4">
      <c r="B467" s="1"/>
      <c r="C467" s="1"/>
      <c r="D467" s="1"/>
    </row>
    <row r="468" spans="2:4">
      <c r="B468" s="1"/>
      <c r="C468" s="1"/>
      <c r="D468" s="1"/>
    </row>
    <row r="469" spans="2:4">
      <c r="B469" s="1"/>
      <c r="C469" s="1"/>
      <c r="D469" s="1"/>
    </row>
    <row r="470" spans="2:4">
      <c r="B470" s="1"/>
      <c r="C470" s="1"/>
      <c r="D470" s="1"/>
    </row>
    <row r="471" spans="2:4">
      <c r="B471" s="1"/>
      <c r="C471" s="1"/>
      <c r="D471" s="1"/>
    </row>
    <row r="472" spans="2:4">
      <c r="B472" s="1"/>
      <c r="C472" s="1"/>
      <c r="D472" s="1"/>
    </row>
    <row r="473" spans="2:4">
      <c r="B473" s="1"/>
      <c r="C473" s="1"/>
      <c r="D473" s="1"/>
    </row>
    <row r="474" spans="2:4">
      <c r="B474" s="1"/>
      <c r="C474" s="1"/>
      <c r="D474" s="1"/>
    </row>
    <row r="475" spans="2:4">
      <c r="B475" s="1"/>
      <c r="C475" s="1"/>
      <c r="D475" s="1"/>
    </row>
    <row r="476" spans="2:4">
      <c r="B476" s="1"/>
      <c r="C476" s="1"/>
      <c r="D476" s="1"/>
    </row>
    <row r="477" spans="2:4">
      <c r="B477" s="1"/>
      <c r="C477" s="1"/>
      <c r="D477" s="1"/>
    </row>
    <row r="478" spans="2:4">
      <c r="B478" s="1"/>
      <c r="C478" s="1"/>
      <c r="D478" s="1"/>
    </row>
    <row r="479" spans="2:4">
      <c r="B479" s="1"/>
      <c r="C479" s="1"/>
      <c r="D479" s="1"/>
    </row>
    <row r="480" spans="2:4">
      <c r="B480" s="1"/>
      <c r="C480" s="1"/>
      <c r="D480" s="1"/>
    </row>
    <row r="481" spans="2:4">
      <c r="B481" s="1"/>
      <c r="C481" s="1"/>
      <c r="D481" s="1"/>
    </row>
    <row r="482" spans="2:4">
      <c r="B482" s="1"/>
      <c r="C482" s="1"/>
      <c r="D482" s="1"/>
    </row>
    <row r="483" spans="2:4">
      <c r="B483" s="1"/>
      <c r="C483" s="1"/>
      <c r="D483" s="1"/>
    </row>
    <row r="484" spans="2:4">
      <c r="B484" s="1"/>
      <c r="C484" s="1"/>
      <c r="D484" s="1"/>
    </row>
    <row r="485" spans="2:4">
      <c r="B485" s="1"/>
      <c r="C485" s="1"/>
      <c r="D485" s="1"/>
    </row>
    <row r="486" spans="2:4">
      <c r="B486" s="1"/>
      <c r="C486" s="1"/>
      <c r="D486" s="1"/>
    </row>
    <row r="487" spans="2:4">
      <c r="B487" s="1"/>
      <c r="C487" s="1"/>
      <c r="D487" s="1"/>
    </row>
    <row r="488" spans="2:4">
      <c r="B488" s="1"/>
      <c r="C488" s="1"/>
      <c r="D488" s="1"/>
    </row>
    <row r="489" spans="2:4">
      <c r="B489" s="1"/>
      <c r="C489" s="1"/>
      <c r="D489" s="1"/>
    </row>
    <row r="490" spans="2:4">
      <c r="B490" s="1"/>
      <c r="C490" s="1"/>
      <c r="D490" s="1"/>
    </row>
    <row r="491" spans="2:4">
      <c r="B491" s="1"/>
      <c r="C491" s="1"/>
      <c r="D491" s="1"/>
    </row>
    <row r="492" spans="2:4">
      <c r="B492" s="1"/>
      <c r="C492" s="1"/>
      <c r="D492" s="1"/>
    </row>
    <row r="493" spans="2:4">
      <c r="B493" s="1"/>
      <c r="C493" s="1"/>
      <c r="D493" s="1"/>
    </row>
    <row r="494" spans="2:4">
      <c r="B494" s="1"/>
      <c r="C494" s="1"/>
      <c r="D494" s="1"/>
    </row>
    <row r="495" spans="2:4">
      <c r="B495" s="1"/>
      <c r="C495" s="1"/>
      <c r="D495" s="1"/>
    </row>
    <row r="496" spans="2:4">
      <c r="B496" s="1"/>
      <c r="C496" s="1"/>
      <c r="D496" s="1"/>
    </row>
    <row r="497" spans="2:5">
      <c r="B497" s="1"/>
      <c r="C497" s="1"/>
      <c r="D497" s="1"/>
    </row>
    <row r="498" spans="2:5">
      <c r="B498" s="1"/>
      <c r="C498" s="1"/>
      <c r="D498" s="1"/>
    </row>
    <row r="499" spans="2:5">
      <c r="B499" s="1"/>
      <c r="C499" s="1"/>
      <c r="D499" s="1"/>
    </row>
    <row r="500" spans="2:5">
      <c r="B500" s="1"/>
      <c r="C500" s="1"/>
      <c r="D500" s="1"/>
    </row>
    <row r="501" spans="2:5">
      <c r="B501" s="1"/>
      <c r="C501" s="1"/>
      <c r="D501" s="1"/>
    </row>
    <row r="502" spans="2:5">
      <c r="B502" s="1"/>
      <c r="C502" s="1"/>
      <c r="D502" s="1"/>
    </row>
    <row r="503" spans="2:5">
      <c r="B503" s="1"/>
      <c r="C503" s="1"/>
      <c r="D503" s="1"/>
    </row>
    <row r="504" spans="2:5">
      <c r="B504" s="1"/>
      <c r="C504" s="1"/>
      <c r="D504" s="1"/>
    </row>
    <row r="505" spans="2:5">
      <c r="B505" s="1"/>
      <c r="C505" s="1"/>
      <c r="D505" s="1"/>
    </row>
    <row r="506" spans="2:5">
      <c r="B506" s="1"/>
      <c r="C506" s="1"/>
      <c r="D506" s="1"/>
    </row>
    <row r="507" spans="2:5">
      <c r="B507" s="1"/>
      <c r="C507" s="1"/>
      <c r="D507" s="1"/>
    </row>
    <row r="508" spans="2:5">
      <c r="B508" s="1"/>
      <c r="C508" s="1"/>
      <c r="D508" s="1"/>
    </row>
    <row r="509" spans="2:5">
      <c r="B509" s="1"/>
      <c r="C509" s="1"/>
      <c r="D509" s="1"/>
    </row>
    <row r="510" spans="2:5">
      <c r="B510" s="1"/>
      <c r="C510" s="1"/>
      <c r="E510" s="2"/>
    </row>
    <row r="511" spans="2:5">
      <c r="B511" s="1"/>
      <c r="C511" s="1"/>
    </row>
    <row r="512" spans="2:5">
      <c r="B512" s="1"/>
      <c r="C512" s="1"/>
    </row>
    <row r="513" spans="2:4">
      <c r="B513" s="1"/>
      <c r="C513" s="1"/>
      <c r="D513" s="1"/>
    </row>
    <row r="514" spans="2:4">
      <c r="B514" s="1"/>
      <c r="C514" s="1"/>
      <c r="D514" s="1"/>
    </row>
    <row r="515" spans="2:4">
      <c r="B515" s="1"/>
      <c r="C515" s="1"/>
      <c r="D515" s="1"/>
    </row>
    <row r="516" spans="2:4">
      <c r="B516" s="1"/>
      <c r="C516" s="1"/>
      <c r="D516" s="1"/>
    </row>
    <row r="517" spans="2:4">
      <c r="B517" s="1"/>
      <c r="C517" s="1"/>
      <c r="D517" s="1"/>
    </row>
    <row r="518" spans="2:4">
      <c r="B518" s="1"/>
      <c r="C518" s="1"/>
      <c r="D518" s="1"/>
    </row>
    <row r="519" spans="2:4">
      <c r="B519" s="1"/>
      <c r="C519" s="1"/>
      <c r="D519" s="1"/>
    </row>
  </sheetData>
  <sheetProtection sheet="1" objects="1" scenarios="1"/>
  <mergeCells count="1">
    <mergeCell ref="B6:L6"/>
  </mergeCells>
  <phoneticPr fontId="5" type="noConversion"/>
  <conditionalFormatting sqref="B59:B60">
    <cfRule type="cellIs" dxfId="12" priority="2" operator="equal">
      <formula>2958465</formula>
    </cfRule>
    <cfRule type="cellIs" dxfId="11" priority="3" operator="equal">
      <formula>"NR3"</formula>
    </cfRule>
    <cfRule type="cellIs" dxfId="10" priority="4" operator="equal">
      <formula>"דירוג פנימי"</formula>
    </cfRule>
  </conditionalFormatting>
  <conditionalFormatting sqref="B59:B60">
    <cfRule type="cellIs" dxfId="9" priority="1" operator="equal">
      <formula>2958465</formula>
    </cfRule>
  </conditionalFormatting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55"/>
  <sheetViews>
    <sheetView rightToLeft="1" workbookViewId="0">
      <selection activeCell="H275" sqref="H275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48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2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180</v>
      </c>
      <c r="C1" s="68" t="s" vm="1">
        <v>270</v>
      </c>
    </row>
    <row r="2" spans="2:51">
      <c r="B2" s="47" t="s">
        <v>179</v>
      </c>
      <c r="C2" s="68" t="s">
        <v>271</v>
      </c>
    </row>
    <row r="3" spans="2:51">
      <c r="B3" s="47" t="s">
        <v>181</v>
      </c>
      <c r="C3" s="68" t="s">
        <v>272</v>
      </c>
    </row>
    <row r="4" spans="2:51">
      <c r="B4" s="47" t="s">
        <v>182</v>
      </c>
      <c r="C4" s="68">
        <v>2102</v>
      </c>
    </row>
    <row r="6" spans="2:51" ht="26.25" customHeight="1">
      <c r="B6" s="163" t="s">
        <v>211</v>
      </c>
      <c r="C6" s="164"/>
      <c r="D6" s="164"/>
      <c r="E6" s="164"/>
      <c r="F6" s="164"/>
      <c r="G6" s="164"/>
      <c r="H6" s="164"/>
      <c r="I6" s="164"/>
      <c r="J6" s="164"/>
      <c r="K6" s="165"/>
    </row>
    <row r="7" spans="2:51" ht="26.25" customHeight="1">
      <c r="B7" s="163" t="s">
        <v>104</v>
      </c>
      <c r="C7" s="164"/>
      <c r="D7" s="164"/>
      <c r="E7" s="164"/>
      <c r="F7" s="164"/>
      <c r="G7" s="164"/>
      <c r="H7" s="164"/>
      <c r="I7" s="164"/>
      <c r="J7" s="164"/>
      <c r="K7" s="165"/>
    </row>
    <row r="8" spans="2:51" s="3" customFormat="1" ht="63">
      <c r="B8" s="22" t="s">
        <v>119</v>
      </c>
      <c r="C8" s="30" t="s">
        <v>47</v>
      </c>
      <c r="D8" s="30" t="s">
        <v>68</v>
      </c>
      <c r="E8" s="30" t="s">
        <v>106</v>
      </c>
      <c r="F8" s="30" t="s">
        <v>107</v>
      </c>
      <c r="G8" s="30" t="s">
        <v>245</v>
      </c>
      <c r="H8" s="30" t="s">
        <v>244</v>
      </c>
      <c r="I8" s="30" t="s">
        <v>114</v>
      </c>
      <c r="J8" s="30" t="s">
        <v>183</v>
      </c>
      <c r="K8" s="31" t="s">
        <v>185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252</v>
      </c>
      <c r="H9" s="16"/>
      <c r="I9" s="16" t="s">
        <v>248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69" t="s">
        <v>51</v>
      </c>
      <c r="C11" s="70"/>
      <c r="D11" s="70"/>
      <c r="E11" s="70"/>
      <c r="F11" s="70"/>
      <c r="G11" s="78"/>
      <c r="H11" s="80"/>
      <c r="I11" s="78">
        <v>-111395.76766014095</v>
      </c>
      <c r="J11" s="79">
        <v>1</v>
      </c>
      <c r="K11" s="79">
        <v>-2.1386944168277564E-3</v>
      </c>
      <c r="AW11" s="1"/>
    </row>
    <row r="12" spans="2:51" ht="19.5" customHeight="1">
      <c r="B12" s="71" t="s">
        <v>35</v>
      </c>
      <c r="C12" s="72"/>
      <c r="D12" s="72"/>
      <c r="E12" s="72"/>
      <c r="F12" s="72"/>
      <c r="G12" s="81"/>
      <c r="H12" s="83"/>
      <c r="I12" s="81">
        <v>-95781.786196726971</v>
      </c>
      <c r="J12" s="82">
        <v>0.85983326125054493</v>
      </c>
      <c r="K12" s="82">
        <v>-1.8389205952393419E-3</v>
      </c>
    </row>
    <row r="13" spans="2:51">
      <c r="B13" s="92" t="s">
        <v>2433</v>
      </c>
      <c r="C13" s="72"/>
      <c r="D13" s="72"/>
      <c r="E13" s="72"/>
      <c r="F13" s="72"/>
      <c r="G13" s="81"/>
      <c r="H13" s="83"/>
      <c r="I13" s="81">
        <v>-141270.50478803294</v>
      </c>
      <c r="J13" s="82">
        <v>1.2681855671486306</v>
      </c>
      <c r="K13" s="82">
        <v>-2.7122613919623182E-3</v>
      </c>
    </row>
    <row r="14" spans="2:51">
      <c r="B14" s="77" t="s">
        <v>2434</v>
      </c>
      <c r="C14" s="74" t="s">
        <v>2435</v>
      </c>
      <c r="D14" s="87" t="s">
        <v>1860</v>
      </c>
      <c r="E14" s="87" t="s">
        <v>164</v>
      </c>
      <c r="F14" s="97">
        <v>43643</v>
      </c>
      <c r="G14" s="84">
        <v>55899200</v>
      </c>
      <c r="H14" s="86">
        <v>-1.1706000000000001</v>
      </c>
      <c r="I14" s="84">
        <v>-654.33454000000006</v>
      </c>
      <c r="J14" s="85">
        <v>5.8739623034541073E-3</v>
      </c>
      <c r="K14" s="85">
        <v>-1.2562610383054006E-5</v>
      </c>
    </row>
    <row r="15" spans="2:51">
      <c r="B15" s="77" t="s">
        <v>2436</v>
      </c>
      <c r="C15" s="74" t="s">
        <v>2437</v>
      </c>
      <c r="D15" s="87" t="s">
        <v>1860</v>
      </c>
      <c r="E15" s="87" t="s">
        <v>164</v>
      </c>
      <c r="F15" s="97">
        <v>43643</v>
      </c>
      <c r="G15" s="84">
        <v>73376100</v>
      </c>
      <c r="H15" s="86">
        <v>-1.1862999999999999</v>
      </c>
      <c r="I15" s="84">
        <v>-870.44330000000002</v>
      </c>
      <c r="J15" s="85">
        <v>7.8139710177827296E-3</v>
      </c>
      <c r="K15" s="85">
        <v>-1.6711696188985824E-5</v>
      </c>
    </row>
    <row r="16" spans="2:51" s="7" customFormat="1">
      <c r="B16" s="77" t="s">
        <v>2438</v>
      </c>
      <c r="C16" s="74" t="s">
        <v>2439</v>
      </c>
      <c r="D16" s="87" t="s">
        <v>1860</v>
      </c>
      <c r="E16" s="87" t="s">
        <v>164</v>
      </c>
      <c r="F16" s="97">
        <v>43642</v>
      </c>
      <c r="G16" s="84">
        <v>70084000</v>
      </c>
      <c r="H16" s="86">
        <v>-0.89500000000000002</v>
      </c>
      <c r="I16" s="84">
        <v>-627.2289300000001</v>
      </c>
      <c r="J16" s="85">
        <v>5.6306351953480174E-3</v>
      </c>
      <c r="K16" s="85">
        <v>-1.2042208055484668E-5</v>
      </c>
      <c r="AW16" s="1"/>
      <c r="AY16" s="1"/>
    </row>
    <row r="17" spans="2:51" s="7" customFormat="1">
      <c r="B17" s="77" t="s">
        <v>2440</v>
      </c>
      <c r="C17" s="74" t="s">
        <v>2441</v>
      </c>
      <c r="D17" s="87" t="s">
        <v>1860</v>
      </c>
      <c r="E17" s="87" t="s">
        <v>164</v>
      </c>
      <c r="F17" s="97">
        <v>43642</v>
      </c>
      <c r="G17" s="84">
        <v>105150000</v>
      </c>
      <c r="H17" s="86">
        <v>-0.89539999999999997</v>
      </c>
      <c r="I17" s="84">
        <v>-941.47122000000002</v>
      </c>
      <c r="J17" s="85">
        <v>8.4515887791387998E-3</v>
      </c>
      <c r="K17" s="85">
        <v>-1.8075365735268262E-5</v>
      </c>
      <c r="AW17" s="1"/>
      <c r="AY17" s="1"/>
    </row>
    <row r="18" spans="2:51" s="7" customFormat="1">
      <c r="B18" s="77" t="s">
        <v>2442</v>
      </c>
      <c r="C18" s="74" t="s">
        <v>2443</v>
      </c>
      <c r="D18" s="87" t="s">
        <v>1860</v>
      </c>
      <c r="E18" s="87" t="s">
        <v>164</v>
      </c>
      <c r="F18" s="97">
        <v>43628</v>
      </c>
      <c r="G18" s="84">
        <v>70200000</v>
      </c>
      <c r="H18" s="86">
        <v>-1.3936999999999999</v>
      </c>
      <c r="I18" s="84">
        <v>-978.36385999999993</v>
      </c>
      <c r="J18" s="85">
        <v>8.7827740725743304E-3</v>
      </c>
      <c r="K18" s="85">
        <v>-1.8783669873274295E-5</v>
      </c>
      <c r="AW18" s="1"/>
      <c r="AY18" s="1"/>
    </row>
    <row r="19" spans="2:51">
      <c r="B19" s="77" t="s">
        <v>2444</v>
      </c>
      <c r="C19" s="74" t="s">
        <v>2445</v>
      </c>
      <c r="D19" s="87" t="s">
        <v>1860</v>
      </c>
      <c r="E19" s="87" t="s">
        <v>164</v>
      </c>
      <c r="F19" s="97">
        <v>43628</v>
      </c>
      <c r="G19" s="84">
        <v>70206000</v>
      </c>
      <c r="H19" s="86">
        <v>-1.385</v>
      </c>
      <c r="I19" s="84">
        <v>-972.36547999999993</v>
      </c>
      <c r="J19" s="85">
        <v>8.7289266048832716E-3</v>
      </c>
      <c r="K19" s="85">
        <v>-1.8668506594763116E-5</v>
      </c>
    </row>
    <row r="20" spans="2:51">
      <c r="B20" s="77" t="s">
        <v>2446</v>
      </c>
      <c r="C20" s="74" t="s">
        <v>2447</v>
      </c>
      <c r="D20" s="87" t="s">
        <v>1860</v>
      </c>
      <c r="E20" s="87" t="s">
        <v>164</v>
      </c>
      <c r="F20" s="97">
        <v>43626</v>
      </c>
      <c r="G20" s="84">
        <v>119578000</v>
      </c>
      <c r="H20" s="86">
        <v>-1.1541999999999999</v>
      </c>
      <c r="I20" s="84">
        <v>-1380.1736899999999</v>
      </c>
      <c r="J20" s="85">
        <v>1.2389821615223236E-2</v>
      </c>
      <c r="K20" s="85">
        <v>-2.6498042313969792E-5</v>
      </c>
    </row>
    <row r="21" spans="2:51">
      <c r="B21" s="77" t="s">
        <v>2448</v>
      </c>
      <c r="C21" s="74" t="s">
        <v>2449</v>
      </c>
      <c r="D21" s="87" t="s">
        <v>1860</v>
      </c>
      <c r="E21" s="87" t="s">
        <v>164</v>
      </c>
      <c r="F21" s="97">
        <v>43621</v>
      </c>
      <c r="G21" s="84">
        <v>70512000</v>
      </c>
      <c r="H21" s="86">
        <v>-0.74339999999999995</v>
      </c>
      <c r="I21" s="84">
        <v>-524.18799999999999</v>
      </c>
      <c r="J21" s="85">
        <v>4.7056365875519897E-3</v>
      </c>
      <c r="K21" s="85">
        <v>-1.0063918697417856E-5</v>
      </c>
    </row>
    <row r="22" spans="2:51">
      <c r="B22" s="77" t="s">
        <v>2450</v>
      </c>
      <c r="C22" s="74" t="s">
        <v>2451</v>
      </c>
      <c r="D22" s="87" t="s">
        <v>1860</v>
      </c>
      <c r="E22" s="87" t="s">
        <v>164</v>
      </c>
      <c r="F22" s="97">
        <v>43641</v>
      </c>
      <c r="G22" s="84">
        <v>56480000</v>
      </c>
      <c r="H22" s="86">
        <v>-0.60560000000000003</v>
      </c>
      <c r="I22" s="84">
        <v>-342.04194999999999</v>
      </c>
      <c r="J22" s="85">
        <v>3.0705111799538111E-3</v>
      </c>
      <c r="K22" s="85">
        <v>-6.5668851173744223E-6</v>
      </c>
    </row>
    <row r="23" spans="2:51">
      <c r="B23" s="77" t="s">
        <v>2452</v>
      </c>
      <c r="C23" s="74" t="s">
        <v>2453</v>
      </c>
      <c r="D23" s="87" t="s">
        <v>1860</v>
      </c>
      <c r="E23" s="87" t="s">
        <v>164</v>
      </c>
      <c r="F23" s="97">
        <v>43621</v>
      </c>
      <c r="G23" s="84">
        <v>45901700</v>
      </c>
      <c r="H23" s="86">
        <v>-0.59230000000000005</v>
      </c>
      <c r="I23" s="84">
        <v>-271.85442999999998</v>
      </c>
      <c r="J23" s="85">
        <v>2.4404376908591791E-3</v>
      </c>
      <c r="K23" s="85">
        <v>-5.2193504640565482E-6</v>
      </c>
    </row>
    <row r="24" spans="2:51">
      <c r="B24" s="77" t="s">
        <v>2454</v>
      </c>
      <c r="C24" s="74" t="s">
        <v>2455</v>
      </c>
      <c r="D24" s="87" t="s">
        <v>1860</v>
      </c>
      <c r="E24" s="87" t="s">
        <v>164</v>
      </c>
      <c r="F24" s="97">
        <v>43635</v>
      </c>
      <c r="G24" s="84">
        <v>123620000</v>
      </c>
      <c r="H24" s="86">
        <v>-0.67279999999999995</v>
      </c>
      <c r="I24" s="84">
        <v>-831.67783999999995</v>
      </c>
      <c r="J24" s="85">
        <v>7.4659734159504033E-3</v>
      </c>
      <c r="K24" s="85">
        <v>-1.596743566087758E-5</v>
      </c>
    </row>
    <row r="25" spans="2:51">
      <c r="B25" s="77" t="s">
        <v>2456</v>
      </c>
      <c r="C25" s="74" t="s">
        <v>2457</v>
      </c>
      <c r="D25" s="87" t="s">
        <v>1860</v>
      </c>
      <c r="E25" s="87" t="s">
        <v>164</v>
      </c>
      <c r="F25" s="97">
        <v>43620</v>
      </c>
      <c r="G25" s="84">
        <v>35324000</v>
      </c>
      <c r="H25" s="86">
        <v>-0.62050000000000005</v>
      </c>
      <c r="I25" s="84">
        <v>-219.19104000000002</v>
      </c>
      <c r="J25" s="85">
        <v>1.9676783472486435E-3</v>
      </c>
      <c r="K25" s="85">
        <v>-4.2082626953735406E-6</v>
      </c>
    </row>
    <row r="26" spans="2:51">
      <c r="B26" s="77" t="s">
        <v>2458</v>
      </c>
      <c r="C26" s="74" t="s">
        <v>2459</v>
      </c>
      <c r="D26" s="87" t="s">
        <v>1860</v>
      </c>
      <c r="E26" s="87" t="s">
        <v>164</v>
      </c>
      <c r="F26" s="97">
        <v>43620</v>
      </c>
      <c r="G26" s="84">
        <v>100704750</v>
      </c>
      <c r="H26" s="86">
        <v>-0.58919999999999995</v>
      </c>
      <c r="I26" s="84">
        <v>-593.35708</v>
      </c>
      <c r="J26" s="85">
        <v>5.3265675389955764E-3</v>
      </c>
      <c r="K26" s="85">
        <v>-1.13919002565058E-5</v>
      </c>
    </row>
    <row r="27" spans="2:51">
      <c r="B27" s="77" t="s">
        <v>2460</v>
      </c>
      <c r="C27" s="74" t="s">
        <v>2461</v>
      </c>
      <c r="D27" s="87" t="s">
        <v>1860</v>
      </c>
      <c r="E27" s="87" t="s">
        <v>164</v>
      </c>
      <c r="F27" s="97">
        <v>43620</v>
      </c>
      <c r="G27" s="84">
        <v>53002500</v>
      </c>
      <c r="H27" s="86">
        <v>-0.58919999999999995</v>
      </c>
      <c r="I27" s="84">
        <v>-312.29320000000001</v>
      </c>
      <c r="J27" s="85">
        <v>2.803456599471356E-3</v>
      </c>
      <c r="K27" s="85">
        <v>-5.9957369771083167E-6</v>
      </c>
    </row>
    <row r="28" spans="2:51">
      <c r="B28" s="77" t="s">
        <v>2462</v>
      </c>
      <c r="C28" s="74" t="s">
        <v>2463</v>
      </c>
      <c r="D28" s="87" t="s">
        <v>1860</v>
      </c>
      <c r="E28" s="87" t="s">
        <v>164</v>
      </c>
      <c r="F28" s="97">
        <v>43635</v>
      </c>
      <c r="G28" s="84">
        <v>102573000</v>
      </c>
      <c r="H28" s="86">
        <v>-0.57120000000000004</v>
      </c>
      <c r="I28" s="84">
        <v>-585.92660000000001</v>
      </c>
      <c r="J28" s="85">
        <v>5.259864107114127E-3</v>
      </c>
      <c r="K28" s="85">
        <v>-1.1249241999157694E-5</v>
      </c>
    </row>
    <row r="29" spans="2:51">
      <c r="B29" s="77" t="s">
        <v>2464</v>
      </c>
      <c r="C29" s="74" t="s">
        <v>2465</v>
      </c>
      <c r="D29" s="87" t="s">
        <v>1860</v>
      </c>
      <c r="E29" s="87" t="s">
        <v>164</v>
      </c>
      <c r="F29" s="97">
        <v>43633</v>
      </c>
      <c r="G29" s="84">
        <v>24780000</v>
      </c>
      <c r="H29" s="86">
        <v>-0.5242</v>
      </c>
      <c r="I29" s="84">
        <v>-129.89598000000001</v>
      </c>
      <c r="J29" s="85">
        <v>1.1660764383463979E-3</v>
      </c>
      <c r="K29" s="85">
        <v>-2.4938811682858362E-6</v>
      </c>
    </row>
    <row r="30" spans="2:51">
      <c r="B30" s="77" t="s">
        <v>2466</v>
      </c>
      <c r="C30" s="74" t="s">
        <v>2467</v>
      </c>
      <c r="D30" s="87" t="s">
        <v>1860</v>
      </c>
      <c r="E30" s="87" t="s">
        <v>164</v>
      </c>
      <c r="F30" s="97">
        <v>43640</v>
      </c>
      <c r="G30" s="84">
        <v>53130000</v>
      </c>
      <c r="H30" s="86">
        <v>-0.50309999999999999</v>
      </c>
      <c r="I30" s="84">
        <v>-267.28641999999996</v>
      </c>
      <c r="J30" s="85">
        <v>2.3994306571455048E-3</v>
      </c>
      <c r="K30" s="85">
        <v>-5.1316489500024454E-6</v>
      </c>
    </row>
    <row r="31" spans="2:51">
      <c r="B31" s="77" t="s">
        <v>2468</v>
      </c>
      <c r="C31" s="74" t="s">
        <v>2469</v>
      </c>
      <c r="D31" s="87" t="s">
        <v>1860</v>
      </c>
      <c r="E31" s="87" t="s">
        <v>164</v>
      </c>
      <c r="F31" s="97">
        <v>43633</v>
      </c>
      <c r="G31" s="84">
        <v>141680000</v>
      </c>
      <c r="H31" s="86">
        <v>-0.46750000000000003</v>
      </c>
      <c r="I31" s="84">
        <v>-662.28524000000004</v>
      </c>
      <c r="J31" s="85">
        <v>5.9453357511802087E-3</v>
      </c>
      <c r="K31" s="85">
        <v>-1.2715256377215565E-5</v>
      </c>
    </row>
    <row r="32" spans="2:51">
      <c r="B32" s="77" t="s">
        <v>2470</v>
      </c>
      <c r="C32" s="74" t="s">
        <v>2471</v>
      </c>
      <c r="D32" s="87" t="s">
        <v>1860</v>
      </c>
      <c r="E32" s="87" t="s">
        <v>164</v>
      </c>
      <c r="F32" s="97">
        <v>43640</v>
      </c>
      <c r="G32" s="84">
        <v>53220000</v>
      </c>
      <c r="H32" s="86">
        <v>-0.3332</v>
      </c>
      <c r="I32" s="84">
        <v>-177.30789999999999</v>
      </c>
      <c r="J32" s="85">
        <v>1.591693326634737E-3</v>
      </c>
      <c r="K32" s="85">
        <v>-3.4041456309757103E-6</v>
      </c>
    </row>
    <row r="33" spans="2:11">
      <c r="B33" s="77" t="s">
        <v>2472</v>
      </c>
      <c r="C33" s="74" t="s">
        <v>2473</v>
      </c>
      <c r="D33" s="87" t="s">
        <v>1860</v>
      </c>
      <c r="E33" s="87" t="s">
        <v>164</v>
      </c>
      <c r="F33" s="97">
        <v>43640</v>
      </c>
      <c r="G33" s="84">
        <v>106500000</v>
      </c>
      <c r="H33" s="86">
        <v>-0.27660000000000001</v>
      </c>
      <c r="I33" s="84">
        <v>-294.63013000000001</v>
      </c>
      <c r="J33" s="85">
        <v>2.644895189365646E-3</v>
      </c>
      <c r="K33" s="85">
        <v>-5.6566225745908988E-6</v>
      </c>
    </row>
    <row r="34" spans="2:11">
      <c r="B34" s="77" t="s">
        <v>2474</v>
      </c>
      <c r="C34" s="74" t="s">
        <v>2475</v>
      </c>
      <c r="D34" s="87" t="s">
        <v>1860</v>
      </c>
      <c r="E34" s="87" t="s">
        <v>164</v>
      </c>
      <c r="F34" s="97">
        <v>43619</v>
      </c>
      <c r="G34" s="84">
        <v>127836000</v>
      </c>
      <c r="H34" s="86">
        <v>-6.4799999999999996E-2</v>
      </c>
      <c r="I34" s="84">
        <v>-82.901080000000007</v>
      </c>
      <c r="J34" s="85">
        <v>7.4420313932324774E-4</v>
      </c>
      <c r="K34" s="85">
        <v>-1.5916230990563186E-6</v>
      </c>
    </row>
    <row r="35" spans="2:11">
      <c r="B35" s="77" t="s">
        <v>2476</v>
      </c>
      <c r="C35" s="74" t="s">
        <v>2477</v>
      </c>
      <c r="D35" s="87" t="s">
        <v>1860</v>
      </c>
      <c r="E35" s="87" t="s">
        <v>164</v>
      </c>
      <c r="F35" s="97">
        <v>43619</v>
      </c>
      <c r="G35" s="84">
        <v>53280000</v>
      </c>
      <c r="H35" s="86">
        <v>-7.6799999999999993E-2</v>
      </c>
      <c r="I35" s="84">
        <v>-40.92651</v>
      </c>
      <c r="J35" s="85">
        <v>3.673973514403466E-4</v>
      </c>
      <c r="K35" s="85">
        <v>-7.8575066428277436E-7</v>
      </c>
    </row>
    <row r="36" spans="2:11">
      <c r="B36" s="77" t="s">
        <v>2478</v>
      </c>
      <c r="C36" s="74" t="s">
        <v>2479</v>
      </c>
      <c r="D36" s="87" t="s">
        <v>1860</v>
      </c>
      <c r="E36" s="87" t="s">
        <v>164</v>
      </c>
      <c r="F36" s="97">
        <v>43677</v>
      </c>
      <c r="G36" s="84">
        <v>84625000</v>
      </c>
      <c r="H36" s="86">
        <v>-4.3234000000000004</v>
      </c>
      <c r="I36" s="84">
        <v>-3658.7059100000001</v>
      </c>
      <c r="J36" s="85">
        <v>3.2844209316483207E-2</v>
      </c>
      <c r="K36" s="85">
        <v>-7.0243727090284815E-5</v>
      </c>
    </row>
    <row r="37" spans="2:11">
      <c r="B37" s="77" t="s">
        <v>2480</v>
      </c>
      <c r="C37" s="74" t="s">
        <v>2481</v>
      </c>
      <c r="D37" s="87" t="s">
        <v>1860</v>
      </c>
      <c r="E37" s="87" t="s">
        <v>164</v>
      </c>
      <c r="F37" s="97">
        <v>43676</v>
      </c>
      <c r="G37" s="84">
        <v>85375000</v>
      </c>
      <c r="H37" s="86">
        <v>-3.4081000000000001</v>
      </c>
      <c r="I37" s="84">
        <v>-2909.6991800000001</v>
      </c>
      <c r="J37" s="85">
        <v>2.6120374598766139E-2</v>
      </c>
      <c r="K37" s="85">
        <v>-5.5863499319830685E-5</v>
      </c>
    </row>
    <row r="38" spans="2:11">
      <c r="B38" s="77" t="s">
        <v>2482</v>
      </c>
      <c r="C38" s="74" t="s">
        <v>2483</v>
      </c>
      <c r="D38" s="87" t="s">
        <v>1860</v>
      </c>
      <c r="E38" s="87" t="s">
        <v>164</v>
      </c>
      <c r="F38" s="97">
        <v>43676</v>
      </c>
      <c r="G38" s="84">
        <v>19303790</v>
      </c>
      <c r="H38" s="86">
        <v>-3.4150999999999998</v>
      </c>
      <c r="I38" s="84">
        <v>-659.24086999999997</v>
      </c>
      <c r="J38" s="85">
        <v>5.9180064363961119E-3</v>
      </c>
      <c r="K38" s="85">
        <v>-1.2656807324271092E-5</v>
      </c>
    </row>
    <row r="39" spans="2:11">
      <c r="B39" s="77" t="s">
        <v>2484</v>
      </c>
      <c r="C39" s="74" t="s">
        <v>2485</v>
      </c>
      <c r="D39" s="87" t="s">
        <v>1860</v>
      </c>
      <c r="E39" s="87" t="s">
        <v>164</v>
      </c>
      <c r="F39" s="97">
        <v>43676</v>
      </c>
      <c r="G39" s="84">
        <v>45622290</v>
      </c>
      <c r="H39" s="86">
        <v>-3.3908999999999998</v>
      </c>
      <c r="I39" s="84">
        <v>-1547.0086799999999</v>
      </c>
      <c r="J39" s="85">
        <v>1.3887499610575801E-2</v>
      </c>
      <c r="K39" s="85">
        <v>-2.9701117880836107E-5</v>
      </c>
    </row>
    <row r="40" spans="2:11">
      <c r="B40" s="77" t="s">
        <v>2486</v>
      </c>
      <c r="C40" s="74" t="s">
        <v>2487</v>
      </c>
      <c r="D40" s="87" t="s">
        <v>1860</v>
      </c>
      <c r="E40" s="87" t="s">
        <v>164</v>
      </c>
      <c r="F40" s="97">
        <v>43675</v>
      </c>
      <c r="G40" s="84">
        <v>68624000</v>
      </c>
      <c r="H40" s="86">
        <v>-2.9049</v>
      </c>
      <c r="I40" s="84">
        <v>-1993.4558100000002</v>
      </c>
      <c r="J40" s="85">
        <v>1.7895256272948044E-2</v>
      </c>
      <c r="K40" s="85">
        <v>-3.8272484678655861E-5</v>
      </c>
    </row>
    <row r="41" spans="2:11">
      <c r="B41" s="77" t="s">
        <v>2488</v>
      </c>
      <c r="C41" s="74" t="s">
        <v>2489</v>
      </c>
      <c r="D41" s="87" t="s">
        <v>1860</v>
      </c>
      <c r="E41" s="87" t="s">
        <v>164</v>
      </c>
      <c r="F41" s="97">
        <v>43675</v>
      </c>
      <c r="G41" s="84">
        <v>68630000</v>
      </c>
      <c r="H41" s="86">
        <v>-2.9232999999999998</v>
      </c>
      <c r="I41" s="84">
        <v>-2006.2631100000001</v>
      </c>
      <c r="J41" s="85">
        <v>1.8010227427319669E-2</v>
      </c>
      <c r="K41" s="85">
        <v>-3.8518372844606703E-5</v>
      </c>
    </row>
    <row r="42" spans="2:11">
      <c r="B42" s="77" t="s">
        <v>2490</v>
      </c>
      <c r="C42" s="74" t="s">
        <v>2491</v>
      </c>
      <c r="D42" s="87" t="s">
        <v>1860</v>
      </c>
      <c r="E42" s="87" t="s">
        <v>164</v>
      </c>
      <c r="F42" s="97">
        <v>43675</v>
      </c>
      <c r="G42" s="84">
        <v>295238000</v>
      </c>
      <c r="H42" s="86">
        <v>-2.8237999999999999</v>
      </c>
      <c r="I42" s="84">
        <v>-8336.7842600000004</v>
      </c>
      <c r="J42" s="85">
        <v>7.4839326799513814E-2</v>
      </c>
      <c r="K42" s="85">
        <v>-1.6005845038526804E-4</v>
      </c>
    </row>
    <row r="43" spans="2:11">
      <c r="B43" s="77" t="s">
        <v>2490</v>
      </c>
      <c r="C43" s="74" t="s">
        <v>2492</v>
      </c>
      <c r="D43" s="87" t="s">
        <v>1860</v>
      </c>
      <c r="E43" s="87" t="s">
        <v>164</v>
      </c>
      <c r="F43" s="97">
        <v>43675</v>
      </c>
      <c r="G43" s="84">
        <v>20598000</v>
      </c>
      <c r="H43" s="86">
        <v>-2.8237999999999999</v>
      </c>
      <c r="I43" s="84">
        <v>-581.63611000000003</v>
      </c>
      <c r="J43" s="85">
        <v>5.2213483709230542E-3</v>
      </c>
      <c r="K43" s="85">
        <v>-1.1166868609205837E-5</v>
      </c>
    </row>
    <row r="44" spans="2:11">
      <c r="B44" s="77" t="s">
        <v>2493</v>
      </c>
      <c r="C44" s="74" t="s">
        <v>2494</v>
      </c>
      <c r="D44" s="87" t="s">
        <v>1860</v>
      </c>
      <c r="E44" s="87" t="s">
        <v>164</v>
      </c>
      <c r="F44" s="97">
        <v>43661</v>
      </c>
      <c r="G44" s="84">
        <v>134550000</v>
      </c>
      <c r="H44" s="86">
        <v>-2.4504999999999999</v>
      </c>
      <c r="I44" s="84">
        <v>-3297.19121</v>
      </c>
      <c r="J44" s="85">
        <v>2.959889122591669E-2</v>
      </c>
      <c r="K44" s="85">
        <v>-6.3302983409160092E-5</v>
      </c>
    </row>
    <row r="45" spans="2:11">
      <c r="B45" s="77" t="s">
        <v>2495</v>
      </c>
      <c r="C45" s="74" t="s">
        <v>2496</v>
      </c>
      <c r="D45" s="87" t="s">
        <v>1860</v>
      </c>
      <c r="E45" s="87" t="s">
        <v>164</v>
      </c>
      <c r="F45" s="97">
        <v>43661</v>
      </c>
      <c r="G45" s="84">
        <v>51756000</v>
      </c>
      <c r="H45" s="86">
        <v>-2.4386999999999999</v>
      </c>
      <c r="I45" s="84">
        <v>-1262.15768</v>
      </c>
      <c r="J45" s="85">
        <v>1.133039168822586E-2</v>
      </c>
      <c r="K45" s="85">
        <v>-2.423224544408026E-5</v>
      </c>
    </row>
    <row r="46" spans="2:11">
      <c r="B46" s="77" t="s">
        <v>2497</v>
      </c>
      <c r="C46" s="74" t="s">
        <v>2498</v>
      </c>
      <c r="D46" s="87" t="s">
        <v>1860</v>
      </c>
      <c r="E46" s="87" t="s">
        <v>164</v>
      </c>
      <c r="F46" s="97">
        <v>43664</v>
      </c>
      <c r="G46" s="84">
        <v>138076000</v>
      </c>
      <c r="H46" s="86">
        <v>-2.4140000000000001</v>
      </c>
      <c r="I46" s="84">
        <v>-3333.0914199999997</v>
      </c>
      <c r="J46" s="85">
        <v>2.9921167473516402E-2</v>
      </c>
      <c r="K46" s="85">
        <v>-6.3992233820577802E-5</v>
      </c>
    </row>
    <row r="47" spans="2:11">
      <c r="B47" s="77" t="s">
        <v>2499</v>
      </c>
      <c r="C47" s="74" t="s">
        <v>2500</v>
      </c>
      <c r="D47" s="87" t="s">
        <v>1860</v>
      </c>
      <c r="E47" s="87" t="s">
        <v>164</v>
      </c>
      <c r="F47" s="97">
        <v>43662</v>
      </c>
      <c r="G47" s="84">
        <v>51795000</v>
      </c>
      <c r="H47" s="86">
        <v>-2.3340999999999998</v>
      </c>
      <c r="I47" s="84">
        <v>-1208.94317</v>
      </c>
      <c r="J47" s="85">
        <v>1.0852684939416938E-2</v>
      </c>
      <c r="K47" s="85">
        <v>-2.321057668752168E-5</v>
      </c>
    </row>
    <row r="48" spans="2:11">
      <c r="B48" s="77" t="s">
        <v>2501</v>
      </c>
      <c r="C48" s="74" t="s">
        <v>2502</v>
      </c>
      <c r="D48" s="87" t="s">
        <v>1860</v>
      </c>
      <c r="E48" s="87" t="s">
        <v>164</v>
      </c>
      <c r="F48" s="97">
        <v>43662</v>
      </c>
      <c r="G48" s="84">
        <v>51835500</v>
      </c>
      <c r="H48" s="86">
        <v>-2.2542</v>
      </c>
      <c r="I48" s="84">
        <v>-1168.4933700000001</v>
      </c>
      <c r="J48" s="85">
        <v>1.048956701447558E-2</v>
      </c>
      <c r="K48" s="85">
        <v>-2.2433978408799519E-5</v>
      </c>
    </row>
    <row r="49" spans="2:11">
      <c r="B49" s="77" t="s">
        <v>2503</v>
      </c>
      <c r="C49" s="74" t="s">
        <v>2504</v>
      </c>
      <c r="D49" s="87" t="s">
        <v>1860</v>
      </c>
      <c r="E49" s="87" t="s">
        <v>164</v>
      </c>
      <c r="F49" s="97">
        <v>43717</v>
      </c>
      <c r="G49" s="84">
        <v>86535000</v>
      </c>
      <c r="H49" s="86">
        <v>-2.4914000000000001</v>
      </c>
      <c r="I49" s="84">
        <v>-2155.9013300000001</v>
      </c>
      <c r="J49" s="85">
        <v>1.9353529988477412E-2</v>
      </c>
      <c r="K49" s="85">
        <v>-4.139128653226519E-5</v>
      </c>
    </row>
    <row r="50" spans="2:11">
      <c r="B50" s="77" t="s">
        <v>2505</v>
      </c>
      <c r="C50" s="74" t="s">
        <v>2506</v>
      </c>
      <c r="D50" s="87" t="s">
        <v>1860</v>
      </c>
      <c r="E50" s="87" t="s">
        <v>164</v>
      </c>
      <c r="F50" s="97">
        <v>43717</v>
      </c>
      <c r="G50" s="84">
        <v>121317000</v>
      </c>
      <c r="H50" s="86">
        <v>-2.3700999999999999</v>
      </c>
      <c r="I50" s="84">
        <v>-2875.36285</v>
      </c>
      <c r="J50" s="85">
        <v>2.5812137304645977E-2</v>
      </c>
      <c r="K50" s="85">
        <v>-5.5204273939837803E-5</v>
      </c>
    </row>
    <row r="51" spans="2:11">
      <c r="B51" s="77" t="s">
        <v>2507</v>
      </c>
      <c r="C51" s="74" t="s">
        <v>2508</v>
      </c>
      <c r="D51" s="87" t="s">
        <v>1860</v>
      </c>
      <c r="E51" s="87" t="s">
        <v>164</v>
      </c>
      <c r="F51" s="97">
        <v>43717</v>
      </c>
      <c r="G51" s="84">
        <v>117884800</v>
      </c>
      <c r="H51" s="86">
        <v>-2.3405999999999998</v>
      </c>
      <c r="I51" s="84">
        <v>-2759.2284</v>
      </c>
      <c r="J51" s="85">
        <v>2.4769598145040591E-2</v>
      </c>
      <c r="K51" s="85">
        <v>-5.2974601259865462E-5</v>
      </c>
    </row>
    <row r="52" spans="2:11">
      <c r="B52" s="77" t="s">
        <v>2509</v>
      </c>
      <c r="C52" s="74" t="s">
        <v>2510</v>
      </c>
      <c r="D52" s="87" t="s">
        <v>1860</v>
      </c>
      <c r="E52" s="87" t="s">
        <v>164</v>
      </c>
      <c r="F52" s="97">
        <v>43718</v>
      </c>
      <c r="G52" s="84">
        <v>86742500</v>
      </c>
      <c r="H52" s="86">
        <v>-2.2382</v>
      </c>
      <c r="I52" s="84">
        <v>-1941.5067900000001</v>
      </c>
      <c r="J52" s="85">
        <v>1.7428909830069783E-2</v>
      </c>
      <c r="K52" s="85">
        <v>-3.7275112144964638E-5</v>
      </c>
    </row>
    <row r="53" spans="2:11">
      <c r="B53" s="77" t="s">
        <v>2511</v>
      </c>
      <c r="C53" s="74" t="s">
        <v>2512</v>
      </c>
      <c r="D53" s="87" t="s">
        <v>1860</v>
      </c>
      <c r="E53" s="87" t="s">
        <v>164</v>
      </c>
      <c r="F53" s="97">
        <v>43656</v>
      </c>
      <c r="G53" s="84">
        <v>131875200</v>
      </c>
      <c r="H53" s="86">
        <v>-1.7056</v>
      </c>
      <c r="I53" s="84">
        <v>-2249.2875600000002</v>
      </c>
      <c r="J53" s="85">
        <v>2.0191858337584117E-2</v>
      </c>
      <c r="K53" s="85">
        <v>-4.3184214691968127E-5</v>
      </c>
    </row>
    <row r="54" spans="2:11">
      <c r="B54" s="77" t="s">
        <v>2513</v>
      </c>
      <c r="C54" s="74" t="s">
        <v>2514</v>
      </c>
      <c r="D54" s="87" t="s">
        <v>1860</v>
      </c>
      <c r="E54" s="87" t="s">
        <v>164</v>
      </c>
      <c r="F54" s="97">
        <v>43656</v>
      </c>
      <c r="G54" s="84">
        <v>34710000</v>
      </c>
      <c r="H54" s="86">
        <v>-1.6880999999999999</v>
      </c>
      <c r="I54" s="84">
        <v>-585.92615999999998</v>
      </c>
      <c r="J54" s="85">
        <v>5.2598601572333616E-3</v>
      </c>
      <c r="K54" s="85">
        <v>-1.1249233551569755E-5</v>
      </c>
    </row>
    <row r="55" spans="2:11">
      <c r="B55" s="77" t="s">
        <v>2515</v>
      </c>
      <c r="C55" s="74" t="s">
        <v>2516</v>
      </c>
      <c r="D55" s="87" t="s">
        <v>1860</v>
      </c>
      <c r="E55" s="87" t="s">
        <v>164</v>
      </c>
      <c r="F55" s="97">
        <v>43656</v>
      </c>
      <c r="G55" s="84">
        <v>45149000</v>
      </c>
      <c r="H55" s="86">
        <v>-1.6295999999999999</v>
      </c>
      <c r="I55" s="84">
        <v>-735.74034999999992</v>
      </c>
      <c r="J55" s="85">
        <v>6.6047424013871104E-3</v>
      </c>
      <c r="K55" s="85">
        <v>-1.4125525698432161E-5</v>
      </c>
    </row>
    <row r="56" spans="2:11">
      <c r="B56" s="77" t="s">
        <v>2517</v>
      </c>
      <c r="C56" s="74" t="s">
        <v>2518</v>
      </c>
      <c r="D56" s="87" t="s">
        <v>1860</v>
      </c>
      <c r="E56" s="87" t="s">
        <v>164</v>
      </c>
      <c r="F56" s="97">
        <v>43654</v>
      </c>
      <c r="G56" s="84">
        <v>191950000</v>
      </c>
      <c r="H56" s="86">
        <v>-1.4201999999999999</v>
      </c>
      <c r="I56" s="84">
        <v>-2726.0865699999999</v>
      </c>
      <c r="J56" s="85">
        <v>2.447208387949764E-2</v>
      </c>
      <c r="K56" s="85">
        <v>-5.2338309161222142E-5</v>
      </c>
    </row>
    <row r="57" spans="2:11">
      <c r="B57" s="77" t="s">
        <v>2519</v>
      </c>
      <c r="C57" s="74" t="s">
        <v>2520</v>
      </c>
      <c r="D57" s="87" t="s">
        <v>1860</v>
      </c>
      <c r="E57" s="87" t="s">
        <v>164</v>
      </c>
      <c r="F57" s="97">
        <v>43654</v>
      </c>
      <c r="G57" s="84">
        <v>174650000</v>
      </c>
      <c r="H57" s="86">
        <v>-1.3331999999999999</v>
      </c>
      <c r="I57" s="84">
        <v>-2328.4067300000002</v>
      </c>
      <c r="J57" s="85">
        <v>2.0902111264260701E-2</v>
      </c>
      <c r="K57" s="85">
        <v>-4.4703228660786915E-5</v>
      </c>
    </row>
    <row r="58" spans="2:11">
      <c r="B58" s="77" t="s">
        <v>2521</v>
      </c>
      <c r="C58" s="74" t="s">
        <v>2522</v>
      </c>
      <c r="D58" s="87" t="s">
        <v>1860</v>
      </c>
      <c r="E58" s="87" t="s">
        <v>164</v>
      </c>
      <c r="F58" s="97">
        <v>43647</v>
      </c>
      <c r="G58" s="84">
        <v>66576000</v>
      </c>
      <c r="H58" s="86">
        <v>-1.3945000000000001</v>
      </c>
      <c r="I58" s="84">
        <v>-928.42618999999991</v>
      </c>
      <c r="J58" s="85">
        <v>8.3344835221437642E-3</v>
      </c>
      <c r="K58" s="85">
        <v>-1.7824913375951801E-5</v>
      </c>
    </row>
    <row r="59" spans="2:11">
      <c r="B59" s="77" t="s">
        <v>2523</v>
      </c>
      <c r="C59" s="74" t="s">
        <v>2524</v>
      </c>
      <c r="D59" s="87" t="s">
        <v>1860</v>
      </c>
      <c r="E59" s="87" t="s">
        <v>164</v>
      </c>
      <c r="F59" s="97">
        <v>43647</v>
      </c>
      <c r="G59" s="84">
        <v>87625000</v>
      </c>
      <c r="H59" s="86">
        <v>-1.3655999999999999</v>
      </c>
      <c r="I59" s="84">
        <v>-1196.6244199999999</v>
      </c>
      <c r="J59" s="85">
        <v>1.0742099499244886E-2</v>
      </c>
      <c r="K59" s="85">
        <v>-2.2974068224043277E-5</v>
      </c>
    </row>
    <row r="60" spans="2:11">
      <c r="B60" s="77" t="s">
        <v>2525</v>
      </c>
      <c r="C60" s="74" t="s">
        <v>2526</v>
      </c>
      <c r="D60" s="87" t="s">
        <v>1860</v>
      </c>
      <c r="E60" s="87" t="s">
        <v>164</v>
      </c>
      <c r="F60" s="97">
        <v>43886</v>
      </c>
      <c r="G60" s="84">
        <v>101472000</v>
      </c>
      <c r="H60" s="86">
        <v>-4.5159000000000002</v>
      </c>
      <c r="I60" s="84">
        <v>-4582.3673799999997</v>
      </c>
      <c r="J60" s="85">
        <v>4.1135919938901221E-2</v>
      </c>
      <c r="K60" s="85">
        <v>-8.7977162304401623E-5</v>
      </c>
    </row>
    <row r="61" spans="2:11">
      <c r="B61" s="77" t="s">
        <v>2527</v>
      </c>
      <c r="C61" s="74" t="s">
        <v>2528</v>
      </c>
      <c r="D61" s="87" t="s">
        <v>1860</v>
      </c>
      <c r="E61" s="87" t="s">
        <v>164</v>
      </c>
      <c r="F61" s="97">
        <v>43788</v>
      </c>
      <c r="G61" s="84">
        <v>20358900</v>
      </c>
      <c r="H61" s="86">
        <v>-4.0533999999999999</v>
      </c>
      <c r="I61" s="84">
        <v>-825.2246899999999</v>
      </c>
      <c r="J61" s="85">
        <v>7.4080434771785098E-3</v>
      </c>
      <c r="K61" s="85">
        <v>-1.5843541224258956E-5</v>
      </c>
    </row>
    <row r="62" spans="2:11">
      <c r="B62" s="77" t="s">
        <v>2529</v>
      </c>
      <c r="C62" s="74" t="s">
        <v>2530</v>
      </c>
      <c r="D62" s="87" t="s">
        <v>1860</v>
      </c>
      <c r="E62" s="87" t="s">
        <v>164</v>
      </c>
      <c r="F62" s="97">
        <v>43787</v>
      </c>
      <c r="G62" s="84">
        <v>44151900</v>
      </c>
      <c r="H62" s="86">
        <v>-3.9807000000000001</v>
      </c>
      <c r="I62" s="84">
        <v>-1757.5707399999999</v>
      </c>
      <c r="J62" s="85">
        <v>1.577771558935883E-2</v>
      </c>
      <c r="K62" s="85">
        <v>-3.3743712241257982E-5</v>
      </c>
    </row>
    <row r="63" spans="2:11">
      <c r="B63" s="77" t="s">
        <v>2531</v>
      </c>
      <c r="C63" s="74" t="s">
        <v>2532</v>
      </c>
      <c r="D63" s="87" t="s">
        <v>1860</v>
      </c>
      <c r="E63" s="87" t="s">
        <v>164</v>
      </c>
      <c r="F63" s="97">
        <v>43894</v>
      </c>
      <c r="G63" s="84">
        <v>38886106.37472</v>
      </c>
      <c r="H63" s="86">
        <v>-3.5465</v>
      </c>
      <c r="I63" s="84">
        <v>-1379.1041003049997</v>
      </c>
      <c r="J63" s="85">
        <v>1.2380219906671226E-2</v>
      </c>
      <c r="K63" s="85">
        <v>-2.64775071934976E-5</v>
      </c>
    </row>
    <row r="64" spans="2:11">
      <c r="B64" s="77" t="s">
        <v>2533</v>
      </c>
      <c r="C64" s="74" t="s">
        <v>2534</v>
      </c>
      <c r="D64" s="87" t="s">
        <v>1860</v>
      </c>
      <c r="E64" s="87" t="s">
        <v>164</v>
      </c>
      <c r="F64" s="97">
        <v>43887</v>
      </c>
      <c r="G64" s="84">
        <v>34059598.734456003</v>
      </c>
      <c r="H64" s="86">
        <v>-3.8500999999999999</v>
      </c>
      <c r="I64" s="84">
        <v>-1311.313718293</v>
      </c>
      <c r="J64" s="85">
        <v>1.1771665529463444E-2</v>
      </c>
      <c r="K64" s="85">
        <v>-2.5175995344627224E-5</v>
      </c>
    </row>
    <row r="65" spans="2:11">
      <c r="B65" s="77" t="s">
        <v>2535</v>
      </c>
      <c r="C65" s="74" t="s">
        <v>2536</v>
      </c>
      <c r="D65" s="87" t="s">
        <v>1860</v>
      </c>
      <c r="E65" s="87" t="s">
        <v>164</v>
      </c>
      <c r="F65" s="97">
        <v>43887</v>
      </c>
      <c r="G65" s="84">
        <v>45708590.002379999</v>
      </c>
      <c r="H65" s="86">
        <v>-3.847</v>
      </c>
      <c r="I65" s="84">
        <v>-1758.4114427919999</v>
      </c>
      <c r="J65" s="85">
        <v>1.5785262579784576E-2</v>
      </c>
      <c r="K65" s="85">
        <v>-3.3759852947545377E-5</v>
      </c>
    </row>
    <row r="66" spans="2:11">
      <c r="B66" s="77" t="s">
        <v>2537</v>
      </c>
      <c r="C66" s="74" t="s">
        <v>2538</v>
      </c>
      <c r="D66" s="87" t="s">
        <v>1860</v>
      </c>
      <c r="E66" s="87" t="s">
        <v>164</v>
      </c>
      <c r="F66" s="97">
        <v>43880</v>
      </c>
      <c r="G66" s="84">
        <v>37846226.021655999</v>
      </c>
      <c r="H66" s="86">
        <v>-4.4531999999999998</v>
      </c>
      <c r="I66" s="84">
        <v>-1685.3605622709999</v>
      </c>
      <c r="J66" s="85">
        <v>1.5129484698313605E-2</v>
      </c>
      <c r="K66" s="85">
        <v>-3.2357344453764274E-5</v>
      </c>
    </row>
    <row r="67" spans="2:11">
      <c r="B67" s="77" t="s">
        <v>2539</v>
      </c>
      <c r="C67" s="74" t="s">
        <v>2540</v>
      </c>
      <c r="D67" s="87" t="s">
        <v>1860</v>
      </c>
      <c r="E67" s="87" t="s">
        <v>164</v>
      </c>
      <c r="F67" s="97">
        <v>43787</v>
      </c>
      <c r="G67" s="84">
        <v>95152400</v>
      </c>
      <c r="H67" s="86">
        <v>-3.9196</v>
      </c>
      <c r="I67" s="84">
        <v>-3729.6108599999998</v>
      </c>
      <c r="J67" s="85">
        <v>3.348072317593543E-2</v>
      </c>
      <c r="K67" s="85">
        <v>-7.1605035727728775E-5</v>
      </c>
    </row>
    <row r="68" spans="2:11">
      <c r="B68" s="77" t="s">
        <v>2541</v>
      </c>
      <c r="C68" s="74" t="s">
        <v>2542</v>
      </c>
      <c r="D68" s="87" t="s">
        <v>1860</v>
      </c>
      <c r="E68" s="87" t="s">
        <v>164</v>
      </c>
      <c r="F68" s="97">
        <v>43888</v>
      </c>
      <c r="G68" s="84">
        <v>42803680.962240003</v>
      </c>
      <c r="H68" s="86">
        <v>-3.8509000000000002</v>
      </c>
      <c r="I68" s="84">
        <v>-1648.3303812009999</v>
      </c>
      <c r="J68" s="85">
        <v>1.4797064698453502E-2</v>
      </c>
      <c r="K68" s="85">
        <v>-3.1646399656021596E-5</v>
      </c>
    </row>
    <row r="69" spans="2:11">
      <c r="B69" s="77" t="s">
        <v>2543</v>
      </c>
      <c r="C69" s="74" t="s">
        <v>2544</v>
      </c>
      <c r="D69" s="87" t="s">
        <v>1860</v>
      </c>
      <c r="E69" s="87" t="s">
        <v>164</v>
      </c>
      <c r="F69" s="97">
        <v>43887</v>
      </c>
      <c r="G69" s="84">
        <v>68000000</v>
      </c>
      <c r="H69" s="86">
        <v>-3.8126000000000002</v>
      </c>
      <c r="I69" s="84">
        <v>-2592.5350899999999</v>
      </c>
      <c r="J69" s="85">
        <v>2.3273192011294404E-2</v>
      </c>
      <c r="K69" s="85">
        <v>-4.9774245816315682E-5</v>
      </c>
    </row>
    <row r="70" spans="2:11">
      <c r="B70" s="77" t="s">
        <v>2545</v>
      </c>
      <c r="C70" s="74" t="s">
        <v>2546</v>
      </c>
      <c r="D70" s="87" t="s">
        <v>1860</v>
      </c>
      <c r="E70" s="87" t="s">
        <v>164</v>
      </c>
      <c r="F70" s="97">
        <v>43893</v>
      </c>
      <c r="G70" s="84">
        <v>42618350.903197996</v>
      </c>
      <c r="H70" s="86">
        <v>-3.4258000000000002</v>
      </c>
      <c r="I70" s="84">
        <v>-1459.9986596740002</v>
      </c>
      <c r="J70" s="85">
        <v>1.3106410506800694E-2</v>
      </c>
      <c r="K70" s="85">
        <v>-2.8030606975547288E-5</v>
      </c>
    </row>
    <row r="71" spans="2:11">
      <c r="B71" s="77" t="s">
        <v>2547</v>
      </c>
      <c r="C71" s="74" t="s">
        <v>2548</v>
      </c>
      <c r="D71" s="87" t="s">
        <v>1860</v>
      </c>
      <c r="E71" s="87" t="s">
        <v>164</v>
      </c>
      <c r="F71" s="97">
        <v>43873</v>
      </c>
      <c r="G71" s="84">
        <v>102099000</v>
      </c>
      <c r="H71" s="86">
        <v>-4.5209000000000001</v>
      </c>
      <c r="I71" s="84">
        <v>-4615.8380499999994</v>
      </c>
      <c r="J71" s="85">
        <v>4.1436386201696013E-2</v>
      </c>
      <c r="K71" s="85">
        <v>-8.8619767823085955E-5</v>
      </c>
    </row>
    <row r="72" spans="2:11">
      <c r="B72" s="77" t="s">
        <v>2549</v>
      </c>
      <c r="C72" s="74" t="s">
        <v>2550</v>
      </c>
      <c r="D72" s="87" t="s">
        <v>1860</v>
      </c>
      <c r="E72" s="87" t="s">
        <v>164</v>
      </c>
      <c r="F72" s="97">
        <v>43893</v>
      </c>
      <c r="G72" s="84">
        <v>7363535.2415899988</v>
      </c>
      <c r="H72" s="86">
        <v>-3.3348</v>
      </c>
      <c r="I72" s="84">
        <v>-245.55782251599999</v>
      </c>
      <c r="J72" s="85">
        <v>2.2043729997460594E-3</v>
      </c>
      <c r="K72" s="85">
        <v>-4.7144802271627505E-6</v>
      </c>
    </row>
    <row r="73" spans="2:11">
      <c r="B73" s="77" t="s">
        <v>2551</v>
      </c>
      <c r="C73" s="74" t="s">
        <v>2552</v>
      </c>
      <c r="D73" s="87" t="s">
        <v>1860</v>
      </c>
      <c r="E73" s="87" t="s">
        <v>164</v>
      </c>
      <c r="F73" s="97">
        <v>43873</v>
      </c>
      <c r="G73" s="84">
        <v>12894135.267881</v>
      </c>
      <c r="H73" s="86">
        <v>-4.4705000000000004</v>
      </c>
      <c r="I73" s="84">
        <v>-576.42596530399999</v>
      </c>
      <c r="J73" s="85">
        <v>5.1745768929267293E-3</v>
      </c>
      <c r="K73" s="85">
        <v>-1.1066838710348314E-5</v>
      </c>
    </row>
    <row r="74" spans="2:11">
      <c r="B74" s="77" t="s">
        <v>2553</v>
      </c>
      <c r="C74" s="74" t="s">
        <v>2554</v>
      </c>
      <c r="D74" s="87" t="s">
        <v>1860</v>
      </c>
      <c r="E74" s="87" t="s">
        <v>164</v>
      </c>
      <c r="F74" s="97">
        <v>43888</v>
      </c>
      <c r="G74" s="84">
        <v>45828305.858599998</v>
      </c>
      <c r="H74" s="86">
        <v>-3.5760999999999998</v>
      </c>
      <c r="I74" s="84">
        <v>-1638.8660242870001</v>
      </c>
      <c r="J74" s="85">
        <v>1.4712103149978206E-2</v>
      </c>
      <c r="K74" s="85">
        <v>-3.1464692866652435E-5</v>
      </c>
    </row>
    <row r="75" spans="2:11">
      <c r="B75" s="77" t="s">
        <v>2555</v>
      </c>
      <c r="C75" s="74" t="s">
        <v>2556</v>
      </c>
      <c r="D75" s="87" t="s">
        <v>1860</v>
      </c>
      <c r="E75" s="87" t="s">
        <v>164</v>
      </c>
      <c r="F75" s="97">
        <v>43895</v>
      </c>
      <c r="G75" s="84">
        <v>102240000</v>
      </c>
      <c r="H75" s="86">
        <v>-3.1295999999999999</v>
      </c>
      <c r="I75" s="84">
        <v>-3199.7396699999999</v>
      </c>
      <c r="J75" s="85">
        <v>2.8724068581870495E-2</v>
      </c>
      <c r="K75" s="85">
        <v>-6.1432005104623989E-5</v>
      </c>
    </row>
    <row r="76" spans="2:11">
      <c r="B76" s="77" t="s">
        <v>2557</v>
      </c>
      <c r="C76" s="74" t="s">
        <v>2558</v>
      </c>
      <c r="D76" s="87" t="s">
        <v>1860</v>
      </c>
      <c r="E76" s="87" t="s">
        <v>164</v>
      </c>
      <c r="F76" s="97">
        <v>43873</v>
      </c>
      <c r="G76" s="84">
        <v>11057955.728051998</v>
      </c>
      <c r="H76" s="86">
        <v>-4.4153000000000002</v>
      </c>
      <c r="I76" s="84">
        <v>-488.24118539399996</v>
      </c>
      <c r="J76" s="85">
        <v>4.3829419703231677E-3</v>
      </c>
      <c r="K76" s="85">
        <v>-9.3737735212102038E-6</v>
      </c>
    </row>
    <row r="77" spans="2:11">
      <c r="B77" s="77" t="s">
        <v>2559</v>
      </c>
      <c r="C77" s="74" t="s">
        <v>2560</v>
      </c>
      <c r="D77" s="87" t="s">
        <v>1860</v>
      </c>
      <c r="E77" s="87" t="s">
        <v>164</v>
      </c>
      <c r="F77" s="97">
        <v>43873</v>
      </c>
      <c r="G77" s="84">
        <v>23726282.667554997</v>
      </c>
      <c r="H77" s="86">
        <v>-4.4092000000000002</v>
      </c>
      <c r="I77" s="84">
        <v>-1046.131748946</v>
      </c>
      <c r="J77" s="85">
        <v>9.3911265294895161E-3</v>
      </c>
      <c r="K77" s="85">
        <v>-2.0084749876342254E-5</v>
      </c>
    </row>
    <row r="78" spans="2:11">
      <c r="B78" s="77" t="s">
        <v>2561</v>
      </c>
      <c r="C78" s="74" t="s">
        <v>2562</v>
      </c>
      <c r="D78" s="87" t="s">
        <v>1860</v>
      </c>
      <c r="E78" s="87" t="s">
        <v>164</v>
      </c>
      <c r="F78" s="97">
        <v>43880</v>
      </c>
      <c r="G78" s="84">
        <v>109075200</v>
      </c>
      <c r="H78" s="86">
        <v>-4.3982999999999999</v>
      </c>
      <c r="I78" s="84">
        <v>-4797.4285999999993</v>
      </c>
      <c r="J78" s="85">
        <v>4.3066524884828192E-2</v>
      </c>
      <c r="K78" s="85">
        <v>-9.2106136323355682E-5</v>
      </c>
    </row>
    <row r="79" spans="2:11">
      <c r="B79" s="77" t="s">
        <v>2563</v>
      </c>
      <c r="C79" s="74" t="s">
        <v>2564</v>
      </c>
      <c r="D79" s="87" t="s">
        <v>1860</v>
      </c>
      <c r="E79" s="87" t="s">
        <v>164</v>
      </c>
      <c r="F79" s="97">
        <v>43880</v>
      </c>
      <c r="G79" s="84">
        <v>34093000</v>
      </c>
      <c r="H79" s="86">
        <v>-4.4139999999999997</v>
      </c>
      <c r="I79" s="84">
        <v>-1504.8741100000002</v>
      </c>
      <c r="J79" s="85">
        <v>1.3509257502414667E-2</v>
      </c>
      <c r="K79" s="85">
        <v>-2.8892173595902726E-5</v>
      </c>
    </row>
    <row r="80" spans="2:11">
      <c r="B80" s="77" t="s">
        <v>2565</v>
      </c>
      <c r="C80" s="74" t="s">
        <v>2566</v>
      </c>
      <c r="D80" s="87" t="s">
        <v>1860</v>
      </c>
      <c r="E80" s="87" t="s">
        <v>164</v>
      </c>
      <c r="F80" s="97">
        <v>43871</v>
      </c>
      <c r="G80" s="84">
        <v>33224104.482097998</v>
      </c>
      <c r="H80" s="86">
        <v>-4.5065</v>
      </c>
      <c r="I80" s="84">
        <v>-1497.230096128</v>
      </c>
      <c r="J80" s="85">
        <v>1.344063717659294E-2</v>
      </c>
      <c r="K80" s="85">
        <v>-2.8745415688186899E-5</v>
      </c>
    </row>
    <row r="81" spans="2:11">
      <c r="B81" s="77" t="s">
        <v>2567</v>
      </c>
      <c r="C81" s="74" t="s">
        <v>2568</v>
      </c>
      <c r="D81" s="87" t="s">
        <v>1860</v>
      </c>
      <c r="E81" s="87" t="s">
        <v>164</v>
      </c>
      <c r="F81" s="97">
        <v>43894</v>
      </c>
      <c r="G81" s="84">
        <v>221650000</v>
      </c>
      <c r="H81" s="86">
        <v>-3.1434000000000002</v>
      </c>
      <c r="I81" s="84">
        <v>-6967.3877000000002</v>
      </c>
      <c r="J81" s="85">
        <v>6.2546251499041777E-2</v>
      </c>
      <c r="K81" s="85">
        <v>-1.3376731887450533E-4</v>
      </c>
    </row>
    <row r="82" spans="2:11">
      <c r="B82" s="77" t="s">
        <v>2569</v>
      </c>
      <c r="C82" s="74" t="s">
        <v>2570</v>
      </c>
      <c r="D82" s="87" t="s">
        <v>1860</v>
      </c>
      <c r="E82" s="87" t="s">
        <v>164</v>
      </c>
      <c r="F82" s="97">
        <v>43880</v>
      </c>
      <c r="G82" s="84">
        <v>40920000</v>
      </c>
      <c r="H82" s="86">
        <v>-4.3554000000000004</v>
      </c>
      <c r="I82" s="84">
        <v>-1782.24045</v>
      </c>
      <c r="J82" s="85">
        <v>1.599917561892894E-2</v>
      </c>
      <c r="K82" s="85">
        <v>-3.4217347570050087E-5</v>
      </c>
    </row>
    <row r="83" spans="2:11">
      <c r="B83" s="77" t="s">
        <v>2571</v>
      </c>
      <c r="C83" s="74" t="s">
        <v>2572</v>
      </c>
      <c r="D83" s="87" t="s">
        <v>1860</v>
      </c>
      <c r="E83" s="87" t="s">
        <v>164</v>
      </c>
      <c r="F83" s="97">
        <v>43895</v>
      </c>
      <c r="G83" s="84">
        <v>68200000</v>
      </c>
      <c r="H83" s="86">
        <v>-3.0693000000000001</v>
      </c>
      <c r="I83" s="84">
        <v>-2093.2426100000002</v>
      </c>
      <c r="J83" s="85">
        <v>1.8791042550075208E-2</v>
      </c>
      <c r="K83" s="85">
        <v>-4.0188297788218647E-5</v>
      </c>
    </row>
    <row r="84" spans="2:11">
      <c r="B84" s="77" t="s">
        <v>2573</v>
      </c>
      <c r="C84" s="74" t="s">
        <v>2574</v>
      </c>
      <c r="D84" s="87" t="s">
        <v>1860</v>
      </c>
      <c r="E84" s="87" t="s">
        <v>164</v>
      </c>
      <c r="F84" s="97">
        <v>43894</v>
      </c>
      <c r="G84" s="84">
        <v>102345000</v>
      </c>
      <c r="H84" s="86">
        <v>-3.0733000000000001</v>
      </c>
      <c r="I84" s="84">
        <v>-3145.3766600000004</v>
      </c>
      <c r="J84" s="85">
        <v>2.8236051746564361E-2</v>
      </c>
      <c r="K84" s="85">
        <v>-6.0388286223636804E-5</v>
      </c>
    </row>
    <row r="85" spans="2:11">
      <c r="B85" s="77" t="s">
        <v>2575</v>
      </c>
      <c r="C85" s="74" t="s">
        <v>2534</v>
      </c>
      <c r="D85" s="87" t="s">
        <v>1860</v>
      </c>
      <c r="E85" s="87" t="s">
        <v>164</v>
      </c>
      <c r="F85" s="97">
        <v>43894</v>
      </c>
      <c r="G85" s="84">
        <v>44555942.699135996</v>
      </c>
      <c r="H85" s="86">
        <v>-2.9980000000000002</v>
      </c>
      <c r="I85" s="84">
        <v>-1335.7759131169998</v>
      </c>
      <c r="J85" s="85">
        <v>1.1991262694937738E-2</v>
      </c>
      <c r="K85" s="85">
        <v>-2.5645646576378297E-5</v>
      </c>
    </row>
    <row r="86" spans="2:11">
      <c r="B86" s="77" t="s">
        <v>2576</v>
      </c>
      <c r="C86" s="74" t="s">
        <v>2577</v>
      </c>
      <c r="D86" s="87" t="s">
        <v>1860</v>
      </c>
      <c r="E86" s="87" t="s">
        <v>164</v>
      </c>
      <c r="F86" s="97">
        <v>43871</v>
      </c>
      <c r="G86" s="84">
        <v>136664000</v>
      </c>
      <c r="H86" s="86">
        <v>-4.1961000000000004</v>
      </c>
      <c r="I86" s="84">
        <v>-5734.5163000000002</v>
      </c>
      <c r="J86" s="85">
        <v>5.1478762797304144E-2</v>
      </c>
      <c r="K86" s="85">
        <v>-1.1009734257979479E-4</v>
      </c>
    </row>
    <row r="87" spans="2:11">
      <c r="B87" s="77" t="s">
        <v>2578</v>
      </c>
      <c r="C87" s="74" t="s">
        <v>2579</v>
      </c>
      <c r="D87" s="87" t="s">
        <v>1860</v>
      </c>
      <c r="E87" s="87" t="s">
        <v>164</v>
      </c>
      <c r="F87" s="97">
        <v>43867</v>
      </c>
      <c r="G87" s="84">
        <v>9237943.7387979999</v>
      </c>
      <c r="H87" s="86">
        <v>-4.1448</v>
      </c>
      <c r="I87" s="84">
        <v>-382.88970893700002</v>
      </c>
      <c r="J87" s="85">
        <v>3.4372015829646609E-3</v>
      </c>
      <c r="K87" s="85">
        <v>-7.3511238349980459E-6</v>
      </c>
    </row>
    <row r="88" spans="2:11">
      <c r="B88" s="77" t="s">
        <v>2580</v>
      </c>
      <c r="C88" s="74" t="s">
        <v>2581</v>
      </c>
      <c r="D88" s="87" t="s">
        <v>1860</v>
      </c>
      <c r="E88" s="87" t="s">
        <v>164</v>
      </c>
      <c r="F88" s="97">
        <v>43895</v>
      </c>
      <c r="G88" s="84">
        <v>46944953.409024</v>
      </c>
      <c r="H88" s="86">
        <v>-2.9087999999999998</v>
      </c>
      <c r="I88" s="84">
        <v>-1365.5254089939999</v>
      </c>
      <c r="J88" s="85">
        <v>1.2258323971159319E-2</v>
      </c>
      <c r="K88" s="85">
        <v>-2.6216809036784287E-5</v>
      </c>
    </row>
    <row r="89" spans="2:11">
      <c r="B89" s="77" t="s">
        <v>2582</v>
      </c>
      <c r="C89" s="74" t="s">
        <v>2583</v>
      </c>
      <c r="D89" s="87" t="s">
        <v>1860</v>
      </c>
      <c r="E89" s="87" t="s">
        <v>164</v>
      </c>
      <c r="F89" s="97">
        <v>43895</v>
      </c>
      <c r="G89" s="84">
        <v>46955943.682559997</v>
      </c>
      <c r="H89" s="86">
        <v>-2.9096000000000002</v>
      </c>
      <c r="I89" s="84">
        <v>-1366.2165872960002</v>
      </c>
      <c r="J89" s="85">
        <v>1.226452867997832E-2</v>
      </c>
      <c r="K89" s="85">
        <v>-2.6230079012893526E-5</v>
      </c>
    </row>
    <row r="90" spans="2:11">
      <c r="B90" s="77" t="s">
        <v>2584</v>
      </c>
      <c r="C90" s="74" t="s">
        <v>2585</v>
      </c>
      <c r="D90" s="87" t="s">
        <v>1860</v>
      </c>
      <c r="E90" s="87" t="s">
        <v>164</v>
      </c>
      <c r="F90" s="97">
        <v>43885</v>
      </c>
      <c r="G90" s="84">
        <v>14277116.229367999</v>
      </c>
      <c r="H90" s="86">
        <v>-3.9417</v>
      </c>
      <c r="I90" s="84">
        <v>-562.75624088500001</v>
      </c>
      <c r="J90" s="85">
        <v>5.0518637530460007E-3</v>
      </c>
      <c r="K90" s="85">
        <v>-1.0804392803213997E-5</v>
      </c>
    </row>
    <row r="91" spans="2:11">
      <c r="B91" s="77" t="s">
        <v>2586</v>
      </c>
      <c r="C91" s="74" t="s">
        <v>2587</v>
      </c>
      <c r="D91" s="87" t="s">
        <v>1860</v>
      </c>
      <c r="E91" s="87" t="s">
        <v>164</v>
      </c>
      <c r="F91" s="97">
        <v>43885</v>
      </c>
      <c r="G91" s="84">
        <v>19041166.685075998</v>
      </c>
      <c r="H91" s="86">
        <v>-3.9142999999999999</v>
      </c>
      <c r="I91" s="84">
        <v>-745.33209789199987</v>
      </c>
      <c r="J91" s="85">
        <v>6.6908475388934435E-3</v>
      </c>
      <c r="K91" s="85">
        <v>-1.430967827527714E-5</v>
      </c>
    </row>
    <row r="92" spans="2:11">
      <c r="B92" s="77" t="s">
        <v>2588</v>
      </c>
      <c r="C92" s="74" t="s">
        <v>2589</v>
      </c>
      <c r="D92" s="87" t="s">
        <v>1860</v>
      </c>
      <c r="E92" s="87" t="s">
        <v>164</v>
      </c>
      <c r="F92" s="97">
        <v>43867</v>
      </c>
      <c r="G92" s="84">
        <v>28570102.881924</v>
      </c>
      <c r="H92" s="86">
        <v>-4.0381999999999998</v>
      </c>
      <c r="I92" s="84">
        <v>-1153.7209589619999</v>
      </c>
      <c r="J92" s="85">
        <v>1.0356955054898538E-2</v>
      </c>
      <c r="K92" s="85">
        <v>-2.2150361951247514E-5</v>
      </c>
    </row>
    <row r="93" spans="2:11">
      <c r="B93" s="77" t="s">
        <v>2590</v>
      </c>
      <c r="C93" s="74" t="s">
        <v>2532</v>
      </c>
      <c r="D93" s="87" t="s">
        <v>1860</v>
      </c>
      <c r="E93" s="87" t="s">
        <v>164</v>
      </c>
      <c r="F93" s="97">
        <v>43885</v>
      </c>
      <c r="G93" s="84">
        <v>3810906.2503940002</v>
      </c>
      <c r="H93" s="86">
        <v>-3.8414999999999999</v>
      </c>
      <c r="I93" s="84">
        <v>-146.39465555200002</v>
      </c>
      <c r="J93" s="85">
        <v>1.3141850774675543E-3</v>
      </c>
      <c r="K93" s="85">
        <v>-2.8106402878582108E-6</v>
      </c>
    </row>
    <row r="94" spans="2:11">
      <c r="B94" s="77" t="s">
        <v>2591</v>
      </c>
      <c r="C94" s="74" t="s">
        <v>2542</v>
      </c>
      <c r="D94" s="87" t="s">
        <v>1860</v>
      </c>
      <c r="E94" s="87" t="s">
        <v>164</v>
      </c>
      <c r="F94" s="97">
        <v>43881</v>
      </c>
      <c r="G94" s="84">
        <v>6677271.7354140012</v>
      </c>
      <c r="H94" s="86">
        <v>-4.0574000000000003</v>
      </c>
      <c r="I94" s="84">
        <v>-270.92545600900002</v>
      </c>
      <c r="J94" s="85">
        <v>2.432098289726506E-3</v>
      </c>
      <c r="K94" s="85">
        <v>-5.2015150334144133E-6</v>
      </c>
    </row>
    <row r="95" spans="2:11">
      <c r="B95" s="77" t="s">
        <v>2592</v>
      </c>
      <c r="C95" s="74" t="s">
        <v>2593</v>
      </c>
      <c r="D95" s="87" t="s">
        <v>1860</v>
      </c>
      <c r="E95" s="87" t="s">
        <v>164</v>
      </c>
      <c r="F95" s="97">
        <v>43889</v>
      </c>
      <c r="G95" s="84">
        <v>92194660.509200007</v>
      </c>
      <c r="H95" s="86">
        <v>-2.9453999999999998</v>
      </c>
      <c r="I95" s="84">
        <v>-2715.4989883570006</v>
      </c>
      <c r="J95" s="85">
        <v>2.4377039140676852E-2</v>
      </c>
      <c r="K95" s="85">
        <v>-5.2135037508957266E-5</v>
      </c>
    </row>
    <row r="96" spans="2:11">
      <c r="B96" s="77" t="s">
        <v>2594</v>
      </c>
      <c r="C96" s="74" t="s">
        <v>2595</v>
      </c>
      <c r="D96" s="87" t="s">
        <v>1860</v>
      </c>
      <c r="E96" s="87" t="s">
        <v>164</v>
      </c>
      <c r="F96" s="97">
        <v>43885</v>
      </c>
      <c r="G96" s="84">
        <v>102831000</v>
      </c>
      <c r="H96" s="86">
        <v>-3.6627999999999998</v>
      </c>
      <c r="I96" s="84">
        <v>-3766.4942400000004</v>
      </c>
      <c r="J96" s="85">
        <v>3.3811825342334866E-2</v>
      </c>
      <c r="K96" s="85">
        <v>-7.2313162082406819E-5</v>
      </c>
    </row>
    <row r="97" spans="2:11">
      <c r="B97" s="77" t="s">
        <v>2596</v>
      </c>
      <c r="C97" s="74" t="s">
        <v>2597</v>
      </c>
      <c r="D97" s="87" t="s">
        <v>1860</v>
      </c>
      <c r="E97" s="87" t="s">
        <v>164</v>
      </c>
      <c r="F97" s="97">
        <v>43803</v>
      </c>
      <c r="G97" s="84">
        <v>102924000</v>
      </c>
      <c r="H97" s="86">
        <v>-3.5194999999999999</v>
      </c>
      <c r="I97" s="84">
        <v>-3622.44553</v>
      </c>
      <c r="J97" s="85">
        <v>3.2518699822167159E-2</v>
      </c>
      <c r="K97" s="85">
        <v>-6.9547561752166651E-5</v>
      </c>
    </row>
    <row r="98" spans="2:11">
      <c r="B98" s="77" t="s">
        <v>2598</v>
      </c>
      <c r="C98" s="74" t="s">
        <v>2599</v>
      </c>
      <c r="D98" s="87" t="s">
        <v>1860</v>
      </c>
      <c r="E98" s="87" t="s">
        <v>164</v>
      </c>
      <c r="F98" s="97">
        <v>43892</v>
      </c>
      <c r="G98" s="84">
        <v>92315721.487399995</v>
      </c>
      <c r="H98" s="86">
        <v>-2.8647999999999998</v>
      </c>
      <c r="I98" s="84">
        <v>-2644.6149043700002</v>
      </c>
      <c r="J98" s="85">
        <v>2.3740712595459606E-2</v>
      </c>
      <c r="K98" s="85">
        <v>-5.0774129479421853E-5</v>
      </c>
    </row>
    <row r="99" spans="2:11">
      <c r="B99" s="77" t="s">
        <v>2600</v>
      </c>
      <c r="C99" s="74" t="s">
        <v>2601</v>
      </c>
      <c r="D99" s="87" t="s">
        <v>1860</v>
      </c>
      <c r="E99" s="87" t="s">
        <v>164</v>
      </c>
      <c r="F99" s="97">
        <v>43866</v>
      </c>
      <c r="G99" s="84">
        <v>14851219.968528001</v>
      </c>
      <c r="H99" s="86">
        <v>-3.6166999999999998</v>
      </c>
      <c r="I99" s="84">
        <v>-537.13044272499997</v>
      </c>
      <c r="J99" s="85">
        <v>4.8218209184009526E-3</v>
      </c>
      <c r="K99" s="85">
        <v>-1.0312401477127402E-5</v>
      </c>
    </row>
    <row r="100" spans="2:11">
      <c r="B100" s="77" t="s">
        <v>2602</v>
      </c>
      <c r="C100" s="74" t="s">
        <v>2603</v>
      </c>
      <c r="D100" s="87" t="s">
        <v>1860</v>
      </c>
      <c r="E100" s="87" t="s">
        <v>164</v>
      </c>
      <c r="F100" s="97">
        <v>43780</v>
      </c>
      <c r="G100" s="84">
        <v>51504000</v>
      </c>
      <c r="H100" s="86">
        <v>-2.8761000000000001</v>
      </c>
      <c r="I100" s="84">
        <v>-1481.3219899999999</v>
      </c>
      <c r="J100" s="85">
        <v>1.329783008021802E-2</v>
      </c>
      <c r="K100" s="85">
        <v>-2.8439994948486473E-5</v>
      </c>
    </row>
    <row r="101" spans="2:11">
      <c r="B101" s="77" t="s">
        <v>2604</v>
      </c>
      <c r="C101" s="74" t="s">
        <v>2605</v>
      </c>
      <c r="D101" s="87" t="s">
        <v>1860</v>
      </c>
      <c r="E101" s="87" t="s">
        <v>164</v>
      </c>
      <c r="F101" s="97">
        <v>43865</v>
      </c>
      <c r="G101" s="84">
        <v>68732000</v>
      </c>
      <c r="H101" s="86">
        <v>-3.7366000000000001</v>
      </c>
      <c r="I101" s="84">
        <v>-2568.2313599999998</v>
      </c>
      <c r="J101" s="85">
        <v>2.3055017384820724E-2</v>
      </c>
      <c r="K101" s="85">
        <v>-4.9307636960782947E-5</v>
      </c>
    </row>
    <row r="102" spans="2:11">
      <c r="B102" s="77" t="s">
        <v>2606</v>
      </c>
      <c r="C102" s="74" t="s">
        <v>2607</v>
      </c>
      <c r="D102" s="87" t="s">
        <v>1860</v>
      </c>
      <c r="E102" s="87" t="s">
        <v>164</v>
      </c>
      <c r="F102" s="97">
        <v>43864</v>
      </c>
      <c r="G102" s="84">
        <v>25780500</v>
      </c>
      <c r="H102" s="86">
        <v>-3.6482000000000001</v>
      </c>
      <c r="I102" s="84">
        <v>-940.53282999999999</v>
      </c>
      <c r="J102" s="85">
        <v>8.4431648504769592E-3</v>
      </c>
      <c r="K102" s="85">
        <v>-1.805734952607143E-5</v>
      </c>
    </row>
    <row r="103" spans="2:11">
      <c r="B103" s="77" t="s">
        <v>2608</v>
      </c>
      <c r="C103" s="74" t="s">
        <v>2609</v>
      </c>
      <c r="D103" s="87" t="s">
        <v>1860</v>
      </c>
      <c r="E103" s="87" t="s">
        <v>164</v>
      </c>
      <c r="F103" s="97">
        <v>43803</v>
      </c>
      <c r="G103" s="84">
        <v>103194000</v>
      </c>
      <c r="H103" s="86">
        <v>-3.1905999999999999</v>
      </c>
      <c r="I103" s="84">
        <v>-3292.4881399999999</v>
      </c>
      <c r="J103" s="85">
        <v>2.9556671758348148E-2</v>
      </c>
      <c r="K103" s="85">
        <v>-6.3212688869589807E-5</v>
      </c>
    </row>
    <row r="104" spans="2:11">
      <c r="B104" s="77" t="s">
        <v>2610</v>
      </c>
      <c r="C104" s="74" t="s">
        <v>2611</v>
      </c>
      <c r="D104" s="87" t="s">
        <v>1860</v>
      </c>
      <c r="E104" s="87" t="s">
        <v>164</v>
      </c>
      <c r="F104" s="97">
        <v>43795</v>
      </c>
      <c r="G104" s="84">
        <v>34400000</v>
      </c>
      <c r="H104" s="86">
        <v>-3.4874999999999998</v>
      </c>
      <c r="I104" s="84">
        <v>-1199.68352</v>
      </c>
      <c r="J104" s="85">
        <v>1.07695610452646E-2</v>
      </c>
      <c r="K104" s="85">
        <v>-2.3032800079193095E-5</v>
      </c>
    </row>
    <row r="105" spans="2:11">
      <c r="B105" s="77" t="s">
        <v>2612</v>
      </c>
      <c r="C105" s="74" t="s">
        <v>2613</v>
      </c>
      <c r="D105" s="87" t="s">
        <v>1860</v>
      </c>
      <c r="E105" s="87" t="s">
        <v>164</v>
      </c>
      <c r="F105" s="97">
        <v>43801</v>
      </c>
      <c r="G105" s="84">
        <v>51600000</v>
      </c>
      <c r="H105" s="86">
        <v>-3.4119999999999999</v>
      </c>
      <c r="I105" s="84">
        <v>-1760.5825400000001</v>
      </c>
      <c r="J105" s="85">
        <v>1.5804752523196287E-2</v>
      </c>
      <c r="K105" s="85">
        <v>-3.3801535980704295E-5</v>
      </c>
    </row>
    <row r="106" spans="2:11">
      <c r="B106" s="77" t="s">
        <v>2614</v>
      </c>
      <c r="C106" s="74" t="s">
        <v>2615</v>
      </c>
      <c r="D106" s="87" t="s">
        <v>1860</v>
      </c>
      <c r="E106" s="87" t="s">
        <v>164</v>
      </c>
      <c r="F106" s="97">
        <v>43801</v>
      </c>
      <c r="G106" s="84">
        <v>42140000</v>
      </c>
      <c r="H106" s="86">
        <v>-3.4119999999999999</v>
      </c>
      <c r="I106" s="84">
        <v>-1437.80907</v>
      </c>
      <c r="J106" s="85">
        <v>1.290721452170996E-2</v>
      </c>
      <c r="K106" s="85">
        <v>-2.7604587634379232E-5</v>
      </c>
    </row>
    <row r="107" spans="2:11">
      <c r="B107" s="77" t="s">
        <v>2616</v>
      </c>
      <c r="C107" s="74" t="s">
        <v>2617</v>
      </c>
      <c r="D107" s="87" t="s">
        <v>1860</v>
      </c>
      <c r="E107" s="87" t="s">
        <v>164</v>
      </c>
      <c r="F107" s="97">
        <v>43864</v>
      </c>
      <c r="G107" s="84">
        <v>137620000</v>
      </c>
      <c r="H107" s="86">
        <v>-3.6190000000000002</v>
      </c>
      <c r="I107" s="84">
        <v>-4980.46378</v>
      </c>
      <c r="J107" s="85">
        <v>4.470963201398255E-2</v>
      </c>
      <c r="K107" s="85">
        <v>-9.5620240366727996E-5</v>
      </c>
    </row>
    <row r="108" spans="2:11">
      <c r="B108" s="77" t="s">
        <v>2618</v>
      </c>
      <c r="C108" s="74" t="s">
        <v>2619</v>
      </c>
      <c r="D108" s="87" t="s">
        <v>1860</v>
      </c>
      <c r="E108" s="87" t="s">
        <v>164</v>
      </c>
      <c r="F108" s="97">
        <v>43795</v>
      </c>
      <c r="G108" s="84">
        <v>51615000</v>
      </c>
      <c r="H108" s="86">
        <v>-3.4573999999999998</v>
      </c>
      <c r="I108" s="84">
        <v>-1784.5287599999999</v>
      </c>
      <c r="J108" s="85">
        <v>1.6019717781778263E-2</v>
      </c>
      <c r="K108" s="85">
        <v>-3.4261280979045501E-5</v>
      </c>
    </row>
    <row r="109" spans="2:11">
      <c r="B109" s="77" t="s">
        <v>2620</v>
      </c>
      <c r="C109" s="74" t="s">
        <v>2621</v>
      </c>
      <c r="D109" s="87" t="s">
        <v>1860</v>
      </c>
      <c r="E109" s="87" t="s">
        <v>164</v>
      </c>
      <c r="F109" s="97">
        <v>43801</v>
      </c>
      <c r="G109" s="84">
        <v>51619500</v>
      </c>
      <c r="H109" s="86">
        <v>-3.3729</v>
      </c>
      <c r="I109" s="84">
        <v>-1741.08871</v>
      </c>
      <c r="J109" s="85">
        <v>1.5629756377386922E-2</v>
      </c>
      <c r="K109" s="85">
        <v>-3.342727270069543E-5</v>
      </c>
    </row>
    <row r="110" spans="2:11">
      <c r="B110" s="77" t="s">
        <v>2622</v>
      </c>
      <c r="C110" s="74" t="s">
        <v>2623</v>
      </c>
      <c r="D110" s="87" t="s">
        <v>1860</v>
      </c>
      <c r="E110" s="87" t="s">
        <v>164</v>
      </c>
      <c r="F110" s="97">
        <v>43801</v>
      </c>
      <c r="G110" s="84">
        <v>86035000</v>
      </c>
      <c r="H110" s="86">
        <v>-3.3698999999999999</v>
      </c>
      <c r="I110" s="84">
        <v>-2899.3152999999998</v>
      </c>
      <c r="J110" s="85">
        <v>2.6027158489948785E-2</v>
      </c>
      <c r="K110" s="85">
        <v>-5.5664138548344605E-5</v>
      </c>
    </row>
    <row r="111" spans="2:11">
      <c r="B111" s="77" t="s">
        <v>2624</v>
      </c>
      <c r="C111" s="74" t="s">
        <v>2625</v>
      </c>
      <c r="D111" s="87" t="s">
        <v>1860</v>
      </c>
      <c r="E111" s="87" t="s">
        <v>164</v>
      </c>
      <c r="F111" s="97">
        <v>43866</v>
      </c>
      <c r="G111" s="84">
        <v>79183250</v>
      </c>
      <c r="H111" s="86">
        <v>-3.5461999999999998</v>
      </c>
      <c r="I111" s="84">
        <v>-2807.99604</v>
      </c>
      <c r="J111" s="85">
        <v>2.52073853341265E-2</v>
      </c>
      <c r="K111" s="85">
        <v>-5.3910894276922212E-5</v>
      </c>
    </row>
    <row r="112" spans="2:11">
      <c r="B112" s="77" t="s">
        <v>2626</v>
      </c>
      <c r="C112" s="74" t="s">
        <v>2627</v>
      </c>
      <c r="D112" s="87" t="s">
        <v>1860</v>
      </c>
      <c r="E112" s="87" t="s">
        <v>164</v>
      </c>
      <c r="F112" s="97">
        <v>43802</v>
      </c>
      <c r="G112" s="84">
        <v>86087500</v>
      </c>
      <c r="H112" s="86">
        <v>-3.2229999999999999</v>
      </c>
      <c r="I112" s="84">
        <v>-2774.6312900000003</v>
      </c>
      <c r="J112" s="85">
        <v>2.4907869915355898E-2</v>
      </c>
      <c r="K112" s="85">
        <v>-5.3270322323043693E-5</v>
      </c>
    </row>
    <row r="113" spans="2:11">
      <c r="B113" s="77" t="s">
        <v>2628</v>
      </c>
      <c r="C113" s="74" t="s">
        <v>2629</v>
      </c>
      <c r="D113" s="87" t="s">
        <v>1860</v>
      </c>
      <c r="E113" s="87" t="s">
        <v>164</v>
      </c>
      <c r="F113" s="97">
        <v>43866</v>
      </c>
      <c r="G113" s="84">
        <v>106760900</v>
      </c>
      <c r="H113" s="86">
        <v>-3.5116000000000001</v>
      </c>
      <c r="I113" s="84">
        <v>-3749.0417599999996</v>
      </c>
      <c r="J113" s="85">
        <v>3.3655154399025361E-2</v>
      </c>
      <c r="K113" s="85">
        <v>-7.1978090810671639E-5</v>
      </c>
    </row>
    <row r="114" spans="2:11">
      <c r="B114" s="77" t="s">
        <v>2630</v>
      </c>
      <c r="C114" s="74" t="s">
        <v>2631</v>
      </c>
      <c r="D114" s="87" t="s">
        <v>1860</v>
      </c>
      <c r="E114" s="87" t="s">
        <v>164</v>
      </c>
      <c r="F114" s="97">
        <v>43802</v>
      </c>
      <c r="G114" s="84">
        <v>182547900</v>
      </c>
      <c r="H114" s="86">
        <v>-3.1265000000000001</v>
      </c>
      <c r="I114" s="84">
        <v>-5707.4127400000007</v>
      </c>
      <c r="J114" s="85">
        <v>5.1235454092051623E-2</v>
      </c>
      <c r="K114" s="85">
        <v>-1.0957697961030562E-4</v>
      </c>
    </row>
    <row r="115" spans="2:11">
      <c r="B115" s="77" t="s">
        <v>2632</v>
      </c>
      <c r="C115" s="74" t="s">
        <v>2633</v>
      </c>
      <c r="D115" s="87" t="s">
        <v>1860</v>
      </c>
      <c r="E115" s="87" t="s">
        <v>164</v>
      </c>
      <c r="F115" s="97">
        <v>43802</v>
      </c>
      <c r="G115" s="84">
        <v>68912000</v>
      </c>
      <c r="H115" s="86">
        <v>-3.1600999999999999</v>
      </c>
      <c r="I115" s="84">
        <v>-2177.7216899999999</v>
      </c>
      <c r="J115" s="85">
        <v>1.954941139814256E-2</v>
      </c>
      <c r="K115" s="85">
        <v>-4.1810217009476396E-5</v>
      </c>
    </row>
    <row r="116" spans="2:11">
      <c r="B116" s="77" t="s">
        <v>2634</v>
      </c>
      <c r="C116" s="74" t="s">
        <v>2635</v>
      </c>
      <c r="D116" s="87" t="s">
        <v>1860</v>
      </c>
      <c r="E116" s="87" t="s">
        <v>164</v>
      </c>
      <c r="F116" s="97">
        <v>43803</v>
      </c>
      <c r="G116" s="84">
        <v>68920000</v>
      </c>
      <c r="H116" s="86">
        <v>-3.0049999999999999</v>
      </c>
      <c r="I116" s="84">
        <v>-2071.0565999999999</v>
      </c>
      <c r="J116" s="85">
        <v>1.8591878699724194E-2</v>
      </c>
      <c r="K116" s="85">
        <v>-3.9762347173439028E-5</v>
      </c>
    </row>
    <row r="117" spans="2:11">
      <c r="B117" s="77" t="s">
        <v>2636</v>
      </c>
      <c r="C117" s="74" t="s">
        <v>2637</v>
      </c>
      <c r="D117" s="87" t="s">
        <v>1860</v>
      </c>
      <c r="E117" s="87" t="s">
        <v>164</v>
      </c>
      <c r="F117" s="97">
        <v>43802</v>
      </c>
      <c r="G117" s="84">
        <v>68934000</v>
      </c>
      <c r="H117" s="86">
        <v>-3.1272000000000002</v>
      </c>
      <c r="I117" s="84">
        <v>-2155.7304199999999</v>
      </c>
      <c r="J117" s="85">
        <v>1.93519957291102E-2</v>
      </c>
      <c r="K117" s="85">
        <v>-4.1388005220322571E-5</v>
      </c>
    </row>
    <row r="118" spans="2:11">
      <c r="B118" s="77" t="s">
        <v>2638</v>
      </c>
      <c r="C118" s="74" t="s">
        <v>2639</v>
      </c>
      <c r="D118" s="87" t="s">
        <v>1860</v>
      </c>
      <c r="E118" s="87" t="s">
        <v>164</v>
      </c>
      <c r="F118" s="97">
        <v>43801</v>
      </c>
      <c r="G118" s="84">
        <v>86170000</v>
      </c>
      <c r="H118" s="86">
        <v>-3.3656000000000001</v>
      </c>
      <c r="I118" s="84">
        <v>-2900.1435999999999</v>
      </c>
      <c r="J118" s="85">
        <v>2.6034594140489184E-2</v>
      </c>
      <c r="K118" s="85">
        <v>-5.5680041132640834E-5</v>
      </c>
    </row>
    <row r="119" spans="2:11">
      <c r="B119" s="77" t="s">
        <v>2640</v>
      </c>
      <c r="C119" s="74" t="s">
        <v>2641</v>
      </c>
      <c r="D119" s="87" t="s">
        <v>1860</v>
      </c>
      <c r="E119" s="87" t="s">
        <v>164</v>
      </c>
      <c r="F119" s="97">
        <v>43895</v>
      </c>
      <c r="G119" s="84">
        <v>69561638.073719993</v>
      </c>
      <c r="H119" s="86">
        <v>-2.6663000000000001</v>
      </c>
      <c r="I119" s="84">
        <v>-1854.732509787</v>
      </c>
      <c r="J119" s="85">
        <v>1.6649936965699018E-2</v>
      </c>
      <c r="K119" s="85">
        <v>-3.5609127229074563E-5</v>
      </c>
    </row>
    <row r="120" spans="2:11">
      <c r="B120" s="77" t="s">
        <v>2642</v>
      </c>
      <c r="C120" s="74" t="s">
        <v>2643</v>
      </c>
      <c r="D120" s="87" t="s">
        <v>1860</v>
      </c>
      <c r="E120" s="87" t="s">
        <v>164</v>
      </c>
      <c r="F120" s="97">
        <v>43895</v>
      </c>
      <c r="G120" s="84">
        <v>64935494.560103998</v>
      </c>
      <c r="H120" s="86">
        <v>-2.6619000000000002</v>
      </c>
      <c r="I120" s="84">
        <v>-1728.4880744439999</v>
      </c>
      <c r="J120" s="85">
        <v>1.5516640450088468E-2</v>
      </c>
      <c r="K120" s="85">
        <v>-3.3185352298527931E-5</v>
      </c>
    </row>
    <row r="121" spans="2:11">
      <c r="B121" s="77" t="s">
        <v>2644</v>
      </c>
      <c r="C121" s="74" t="s">
        <v>2645</v>
      </c>
      <c r="D121" s="87" t="s">
        <v>1860</v>
      </c>
      <c r="E121" s="87" t="s">
        <v>164</v>
      </c>
      <c r="F121" s="97">
        <v>43829</v>
      </c>
      <c r="G121" s="84">
        <v>103476000</v>
      </c>
      <c r="H121" s="86">
        <v>-3.3576000000000001</v>
      </c>
      <c r="I121" s="84">
        <v>-3474.34962</v>
      </c>
      <c r="J121" s="85">
        <v>3.1189242580561466E-2</v>
      </c>
      <c r="K121" s="85">
        <v>-6.6704258972133333E-5</v>
      </c>
    </row>
    <row r="122" spans="2:11">
      <c r="B122" s="77" t="s">
        <v>2646</v>
      </c>
      <c r="C122" s="74" t="s">
        <v>2647</v>
      </c>
      <c r="D122" s="87" t="s">
        <v>1860</v>
      </c>
      <c r="E122" s="87" t="s">
        <v>164</v>
      </c>
      <c r="F122" s="97">
        <v>43837</v>
      </c>
      <c r="G122" s="84">
        <v>72460500</v>
      </c>
      <c r="H122" s="86">
        <v>-3.3186</v>
      </c>
      <c r="I122" s="84">
        <v>-2404.6637900000001</v>
      </c>
      <c r="J122" s="85">
        <v>2.1586671024490137E-2</v>
      </c>
      <c r="K122" s="85">
        <v>-4.616729279797456E-5</v>
      </c>
    </row>
    <row r="123" spans="2:11">
      <c r="B123" s="77" t="s">
        <v>2648</v>
      </c>
      <c r="C123" s="74" t="s">
        <v>2649</v>
      </c>
      <c r="D123" s="87" t="s">
        <v>1860</v>
      </c>
      <c r="E123" s="87" t="s">
        <v>164</v>
      </c>
      <c r="F123" s="97">
        <v>43844</v>
      </c>
      <c r="G123" s="84">
        <v>51765000</v>
      </c>
      <c r="H123" s="86">
        <v>-3.2452999999999999</v>
      </c>
      <c r="I123" s="84">
        <v>-1679.9504299999999</v>
      </c>
      <c r="J123" s="85">
        <v>1.5080917931508731E-2</v>
      </c>
      <c r="K123" s="85">
        <v>-3.2253474980755314E-5</v>
      </c>
    </row>
    <row r="124" spans="2:11">
      <c r="B124" s="77" t="s">
        <v>2650</v>
      </c>
      <c r="C124" s="74" t="s">
        <v>2651</v>
      </c>
      <c r="D124" s="87" t="s">
        <v>1860</v>
      </c>
      <c r="E124" s="87" t="s">
        <v>164</v>
      </c>
      <c r="F124" s="97">
        <v>43844</v>
      </c>
      <c r="G124" s="84">
        <v>34510000</v>
      </c>
      <c r="H124" s="86">
        <v>-3.2452999999999999</v>
      </c>
      <c r="I124" s="84">
        <v>-1119.96695</v>
      </c>
      <c r="J124" s="85">
        <v>1.0053945257749148E-2</v>
      </c>
      <c r="K124" s="85">
        <v>-2.1502316589839998E-5</v>
      </c>
    </row>
    <row r="125" spans="2:11">
      <c r="B125" s="77" t="s">
        <v>2652</v>
      </c>
      <c r="C125" s="74" t="s">
        <v>2653</v>
      </c>
      <c r="D125" s="87" t="s">
        <v>1860</v>
      </c>
      <c r="E125" s="87" t="s">
        <v>164</v>
      </c>
      <c r="F125" s="97">
        <v>43889</v>
      </c>
      <c r="G125" s="84">
        <v>92853770.279400006</v>
      </c>
      <c r="H125" s="86">
        <v>-3.0198999999999998</v>
      </c>
      <c r="I125" s="84">
        <v>-2804.1226109630002</v>
      </c>
      <c r="J125" s="85">
        <v>2.5172613554925539E-2</v>
      </c>
      <c r="K125" s="85">
        <v>-5.3836528066881947E-5</v>
      </c>
    </row>
    <row r="126" spans="2:11">
      <c r="B126" s="77" t="s">
        <v>2654</v>
      </c>
      <c r="C126" s="74" t="s">
        <v>2655</v>
      </c>
      <c r="D126" s="87" t="s">
        <v>1860</v>
      </c>
      <c r="E126" s="87" t="s">
        <v>164</v>
      </c>
      <c r="F126" s="97">
        <v>43843</v>
      </c>
      <c r="G126" s="84">
        <v>38448745.245884001</v>
      </c>
      <c r="H126" s="86">
        <v>-3.2597999999999998</v>
      </c>
      <c r="I126" s="84">
        <v>-1253.34215294</v>
      </c>
      <c r="J126" s="85">
        <v>1.1251254686478222E-2</v>
      </c>
      <c r="K126" s="85">
        <v>-2.4062995580278101E-5</v>
      </c>
    </row>
    <row r="127" spans="2:11">
      <c r="B127" s="77" t="s">
        <v>2656</v>
      </c>
      <c r="C127" s="74" t="s">
        <v>2657</v>
      </c>
      <c r="D127" s="87" t="s">
        <v>1860</v>
      </c>
      <c r="E127" s="87" t="s">
        <v>164</v>
      </c>
      <c r="F127" s="97">
        <v>43843</v>
      </c>
      <c r="G127" s="84">
        <v>28857441.070188001</v>
      </c>
      <c r="H127" s="86">
        <v>-3.1850999999999998</v>
      </c>
      <c r="I127" s="84">
        <v>-919.12532952899994</v>
      </c>
      <c r="J127" s="85">
        <v>8.2509896815215946E-3</v>
      </c>
      <c r="K127" s="85">
        <v>-1.7646345565173661E-5</v>
      </c>
    </row>
    <row r="128" spans="2:11">
      <c r="B128" s="77" t="s">
        <v>2658</v>
      </c>
      <c r="C128" s="74" t="s">
        <v>2659</v>
      </c>
      <c r="D128" s="87" t="s">
        <v>1860</v>
      </c>
      <c r="E128" s="87" t="s">
        <v>164</v>
      </c>
      <c r="F128" s="97">
        <v>43837</v>
      </c>
      <c r="G128" s="84">
        <v>76023200</v>
      </c>
      <c r="H128" s="86">
        <v>-3.1661000000000001</v>
      </c>
      <c r="I128" s="84">
        <v>-2406.9731200000001</v>
      </c>
      <c r="J128" s="85">
        <v>2.1607401883916015E-2</v>
      </c>
      <c r="K128" s="85">
        <v>-4.6211629771284725E-5</v>
      </c>
    </row>
    <row r="129" spans="2:11">
      <c r="B129" s="77" t="s">
        <v>2660</v>
      </c>
      <c r="C129" s="74" t="s">
        <v>2661</v>
      </c>
      <c r="D129" s="87" t="s">
        <v>1860</v>
      </c>
      <c r="E129" s="87" t="s">
        <v>164</v>
      </c>
      <c r="F129" s="97">
        <v>43896</v>
      </c>
      <c r="G129" s="84">
        <v>93219643.457959995</v>
      </c>
      <c r="H129" s="86">
        <v>-2.1406000000000001</v>
      </c>
      <c r="I129" s="84">
        <v>-1995.431512936</v>
      </c>
      <c r="J129" s="85">
        <v>1.7912992161640221E-2</v>
      </c>
      <c r="K129" s="85">
        <v>-3.8310416324779302E-5</v>
      </c>
    </row>
    <row r="130" spans="2:11">
      <c r="B130" s="77" t="s">
        <v>2662</v>
      </c>
      <c r="C130" s="74" t="s">
        <v>2663</v>
      </c>
      <c r="D130" s="87" t="s">
        <v>1860</v>
      </c>
      <c r="E130" s="87" t="s">
        <v>164</v>
      </c>
      <c r="F130" s="97">
        <v>43896</v>
      </c>
      <c r="G130" s="84">
        <v>93238475.165680006</v>
      </c>
      <c r="H130" s="86">
        <v>-2.1383000000000001</v>
      </c>
      <c r="I130" s="84">
        <v>-1993.7146422850001</v>
      </c>
      <c r="J130" s="85">
        <v>1.7897579810820591E-2</v>
      </c>
      <c r="K130" s="85">
        <v>-3.8277454016131168E-5</v>
      </c>
    </row>
    <row r="131" spans="2:11">
      <c r="B131" s="77" t="s">
        <v>2664</v>
      </c>
      <c r="C131" s="74" t="s">
        <v>2665</v>
      </c>
      <c r="D131" s="87" t="s">
        <v>1860</v>
      </c>
      <c r="E131" s="87" t="s">
        <v>164</v>
      </c>
      <c r="F131" s="97">
        <v>43899</v>
      </c>
      <c r="G131" s="84">
        <v>34825000</v>
      </c>
      <c r="H131" s="86">
        <v>-1.9834000000000001</v>
      </c>
      <c r="I131" s="84">
        <v>-690.72642000000008</v>
      </c>
      <c r="J131" s="85">
        <v>6.200652273498827E-3</v>
      </c>
      <c r="K131" s="85">
        <v>-1.3261300398022274E-5</v>
      </c>
    </row>
    <row r="132" spans="2:11">
      <c r="B132" s="77" t="s">
        <v>2666</v>
      </c>
      <c r="C132" s="74" t="s">
        <v>2667</v>
      </c>
      <c r="D132" s="87" t="s">
        <v>1860</v>
      </c>
      <c r="E132" s="87" t="s">
        <v>164</v>
      </c>
      <c r="F132" s="97">
        <v>43899</v>
      </c>
      <c r="G132" s="84">
        <v>56220718.276079997</v>
      </c>
      <c r="H132" s="86">
        <v>-2.0886</v>
      </c>
      <c r="I132" s="84">
        <v>-1174.2018953450001</v>
      </c>
      <c r="J132" s="85">
        <v>1.0540812456424652E-2</v>
      </c>
      <c r="K132" s="85">
        <v>-2.2543576749383868E-5</v>
      </c>
    </row>
    <row r="133" spans="2:11">
      <c r="B133" s="77" t="s">
        <v>2668</v>
      </c>
      <c r="C133" s="74" t="s">
        <v>2669</v>
      </c>
      <c r="D133" s="87" t="s">
        <v>1860</v>
      </c>
      <c r="E133" s="87" t="s">
        <v>164</v>
      </c>
      <c r="F133" s="97">
        <v>43899</v>
      </c>
      <c r="G133" s="84">
        <v>93760382.493919998</v>
      </c>
      <c r="H133" s="86">
        <v>-2.0240999999999998</v>
      </c>
      <c r="I133" s="84">
        <v>-1897.8392626259999</v>
      </c>
      <c r="J133" s="85">
        <v>1.7036906360896463E-2</v>
      </c>
      <c r="K133" s="85">
        <v>-3.6436736514066554E-5</v>
      </c>
    </row>
    <row r="134" spans="2:11">
      <c r="B134" s="77" t="s">
        <v>2670</v>
      </c>
      <c r="C134" s="74" t="s">
        <v>2671</v>
      </c>
      <c r="D134" s="87" t="s">
        <v>1860</v>
      </c>
      <c r="E134" s="87" t="s">
        <v>164</v>
      </c>
      <c r="F134" s="97">
        <v>43920</v>
      </c>
      <c r="G134" s="84">
        <v>77827200</v>
      </c>
      <c r="H134" s="86">
        <v>0.59030000000000005</v>
      </c>
      <c r="I134" s="84">
        <v>459.43518</v>
      </c>
      <c r="J134" s="85">
        <v>-4.124350409808188E-3</v>
      </c>
      <c r="K134" s="85">
        <v>8.8207251944980399E-6</v>
      </c>
    </row>
    <row r="135" spans="2:11">
      <c r="B135" s="77" t="s">
        <v>2670</v>
      </c>
      <c r="C135" s="74" t="s">
        <v>2672</v>
      </c>
      <c r="D135" s="87" t="s">
        <v>1860</v>
      </c>
      <c r="E135" s="87" t="s">
        <v>164</v>
      </c>
      <c r="F135" s="97">
        <v>43920</v>
      </c>
      <c r="G135" s="84">
        <v>6894780.0616459986</v>
      </c>
      <c r="H135" s="86">
        <v>0.59030000000000005</v>
      </c>
      <c r="I135" s="84">
        <v>40.701766206999999</v>
      </c>
      <c r="J135" s="85">
        <v>-3.6537982601976082E-4</v>
      </c>
      <c r="K135" s="85">
        <v>7.8143579392995946E-7</v>
      </c>
    </row>
    <row r="136" spans="2:11">
      <c r="B136" s="77" t="s">
        <v>2673</v>
      </c>
      <c r="C136" s="74" t="s">
        <v>2674</v>
      </c>
      <c r="D136" s="87" t="s">
        <v>1860</v>
      </c>
      <c r="E136" s="87" t="s">
        <v>164</v>
      </c>
      <c r="F136" s="97">
        <v>43920</v>
      </c>
      <c r="G136" s="84">
        <v>74302200</v>
      </c>
      <c r="H136" s="86">
        <v>0.60719999999999996</v>
      </c>
      <c r="I136" s="84">
        <v>451.12678999999997</v>
      </c>
      <c r="J136" s="85">
        <v>-4.0497659783300709E-3</v>
      </c>
      <c r="K136" s="85">
        <v>8.6612118873135189E-6</v>
      </c>
    </row>
    <row r="137" spans="2:11">
      <c r="B137" s="77" t="s">
        <v>2673</v>
      </c>
      <c r="C137" s="74" t="s">
        <v>2675</v>
      </c>
      <c r="D137" s="87" t="s">
        <v>1860</v>
      </c>
      <c r="E137" s="87" t="s">
        <v>164</v>
      </c>
      <c r="F137" s="97">
        <v>43920</v>
      </c>
      <c r="G137" s="84">
        <v>38074484.717087999</v>
      </c>
      <c r="H137" s="86">
        <v>0.60719999999999996</v>
      </c>
      <c r="I137" s="84">
        <v>231.16973918799999</v>
      </c>
      <c r="J137" s="85">
        <v>-2.0752111506900268E-3</v>
      </c>
      <c r="K137" s="85">
        <v>4.4382425017194647E-6</v>
      </c>
    </row>
    <row r="138" spans="2:11">
      <c r="B138" s="77" t="s">
        <v>2676</v>
      </c>
      <c r="C138" s="74" t="s">
        <v>2677</v>
      </c>
      <c r="D138" s="87" t="s">
        <v>1860</v>
      </c>
      <c r="E138" s="87" t="s">
        <v>164</v>
      </c>
      <c r="F138" s="97">
        <v>43901</v>
      </c>
      <c r="G138" s="84">
        <v>47645565.653579995</v>
      </c>
      <c r="H138" s="86">
        <v>-0.62439999999999996</v>
      </c>
      <c r="I138" s="84">
        <v>-297.50025437300002</v>
      </c>
      <c r="J138" s="85">
        <v>2.6706603008531536E-3</v>
      </c>
      <c r="K138" s="85">
        <v>-5.7117262746781753E-6</v>
      </c>
    </row>
    <row r="139" spans="2:11">
      <c r="B139" s="77" t="s">
        <v>2678</v>
      </c>
      <c r="C139" s="74" t="s">
        <v>2679</v>
      </c>
      <c r="D139" s="87" t="s">
        <v>1860</v>
      </c>
      <c r="E139" s="87" t="s">
        <v>164</v>
      </c>
      <c r="F139" s="97">
        <v>43901</v>
      </c>
      <c r="G139" s="84">
        <v>95318033.746759981</v>
      </c>
      <c r="H139" s="86">
        <v>-0.4093</v>
      </c>
      <c r="I139" s="84">
        <v>-390.12441771100004</v>
      </c>
      <c r="J139" s="85">
        <v>3.5021475762098664E-3</v>
      </c>
      <c r="K139" s="85">
        <v>-7.4900234681468995E-6</v>
      </c>
    </row>
    <row r="140" spans="2:11">
      <c r="B140" s="77" t="s">
        <v>2680</v>
      </c>
      <c r="C140" s="74" t="s">
        <v>2681</v>
      </c>
      <c r="D140" s="87" t="s">
        <v>1860</v>
      </c>
      <c r="E140" s="87" t="s">
        <v>164</v>
      </c>
      <c r="F140" s="97">
        <v>43921</v>
      </c>
      <c r="G140" s="84">
        <v>69152445.547059</v>
      </c>
      <c r="H140" s="86">
        <v>-0.14069999999999999</v>
      </c>
      <c r="I140" s="84">
        <v>-97.320197005000011</v>
      </c>
      <c r="J140" s="85">
        <v>8.7364357775167626E-4</v>
      </c>
      <c r="K140" s="85">
        <v>-1.8684566420349357E-6</v>
      </c>
    </row>
    <row r="141" spans="2:11">
      <c r="B141" s="77" t="s">
        <v>2682</v>
      </c>
      <c r="C141" s="74" t="s">
        <v>2683</v>
      </c>
      <c r="D141" s="87" t="s">
        <v>1860</v>
      </c>
      <c r="E141" s="87" t="s">
        <v>164</v>
      </c>
      <c r="F141" s="97">
        <v>43921</v>
      </c>
      <c r="G141" s="84">
        <v>110050000</v>
      </c>
      <c r="H141" s="86">
        <v>-8.72E-2</v>
      </c>
      <c r="I141" s="84">
        <v>-95.919229999999999</v>
      </c>
      <c r="J141" s="85">
        <v>8.6106709451153876E-4</v>
      </c>
      <c r="K141" s="85">
        <v>-1.8415593875459259E-6</v>
      </c>
    </row>
    <row r="142" spans="2:11">
      <c r="B142" s="77" t="s">
        <v>2684</v>
      </c>
      <c r="C142" s="74" t="s">
        <v>2685</v>
      </c>
      <c r="D142" s="87" t="s">
        <v>1860</v>
      </c>
      <c r="E142" s="87" t="s">
        <v>164</v>
      </c>
      <c r="F142" s="97">
        <v>43901</v>
      </c>
      <c r="G142" s="84">
        <v>95519802.043760002</v>
      </c>
      <c r="H142" s="86">
        <v>-0.38350000000000001</v>
      </c>
      <c r="I142" s="84">
        <v>-366.34972837499998</v>
      </c>
      <c r="J142" s="85">
        <v>3.2887221486969055E-3</v>
      </c>
      <c r="K142" s="85">
        <v>-7.0335716979158544E-6</v>
      </c>
    </row>
    <row r="143" spans="2:11">
      <c r="B143" s="77" t="s">
        <v>2686</v>
      </c>
      <c r="C143" s="74" t="s">
        <v>2687</v>
      </c>
      <c r="D143" s="87" t="s">
        <v>1860</v>
      </c>
      <c r="E143" s="87" t="s">
        <v>164</v>
      </c>
      <c r="F143" s="97">
        <v>43921</v>
      </c>
      <c r="G143" s="84">
        <v>81719000</v>
      </c>
      <c r="H143" s="86">
        <v>-2.7000000000000001E-3</v>
      </c>
      <c r="I143" s="84">
        <v>-2.1959200000000001</v>
      </c>
      <c r="J143" s="85">
        <v>1.9712777658659043E-5</v>
      </c>
      <c r="K143" s="85">
        <v>-4.2159607518741028E-8</v>
      </c>
    </row>
    <row r="144" spans="2:11">
      <c r="B144" s="77" t="s">
        <v>2688</v>
      </c>
      <c r="C144" s="74" t="s">
        <v>2689</v>
      </c>
      <c r="D144" s="87" t="s">
        <v>1860</v>
      </c>
      <c r="E144" s="87" t="s">
        <v>164</v>
      </c>
      <c r="F144" s="97">
        <v>43920</v>
      </c>
      <c r="G144" s="84">
        <v>48000677.856299989</v>
      </c>
      <c r="H144" s="86">
        <v>0.4793</v>
      </c>
      <c r="I144" s="84">
        <v>230.06913079099999</v>
      </c>
      <c r="J144" s="85">
        <v>-2.065330987196223E-3</v>
      </c>
      <c r="K144" s="85">
        <v>4.4171118512179207E-6</v>
      </c>
    </row>
    <row r="145" spans="2:11">
      <c r="B145" s="77" t="s">
        <v>2690</v>
      </c>
      <c r="C145" s="74" t="s">
        <v>2691</v>
      </c>
      <c r="D145" s="87" t="s">
        <v>1860</v>
      </c>
      <c r="E145" s="87" t="s">
        <v>164</v>
      </c>
      <c r="F145" s="97">
        <v>43916</v>
      </c>
      <c r="G145" s="84">
        <v>178510000</v>
      </c>
      <c r="H145" s="86">
        <v>1.5197000000000001</v>
      </c>
      <c r="I145" s="84">
        <v>2712.7839100000001</v>
      </c>
      <c r="J145" s="85">
        <v>-2.4352665877544595E-2</v>
      </c>
      <c r="K145" s="85">
        <v>5.2082910547176436E-5</v>
      </c>
    </row>
    <row r="146" spans="2:11">
      <c r="B146" s="77" t="s">
        <v>2692</v>
      </c>
      <c r="C146" s="74" t="s">
        <v>2693</v>
      </c>
      <c r="D146" s="87" t="s">
        <v>1860</v>
      </c>
      <c r="E146" s="87" t="s">
        <v>164</v>
      </c>
      <c r="F146" s="97">
        <v>43916</v>
      </c>
      <c r="G146" s="84">
        <v>142840000</v>
      </c>
      <c r="H146" s="86">
        <v>1.5417000000000001</v>
      </c>
      <c r="I146" s="84">
        <v>2202.16239</v>
      </c>
      <c r="J146" s="85">
        <v>-1.9768815604544427E-2</v>
      </c>
      <c r="K146" s="85">
        <v>4.2279455560736595E-5</v>
      </c>
    </row>
    <row r="147" spans="2:11">
      <c r="B147" s="77" t="s">
        <v>2692</v>
      </c>
      <c r="C147" s="74" t="s">
        <v>2694</v>
      </c>
      <c r="D147" s="87" t="s">
        <v>1860</v>
      </c>
      <c r="E147" s="87" t="s">
        <v>164</v>
      </c>
      <c r="F147" s="97">
        <v>43916</v>
      </c>
      <c r="G147" s="84">
        <v>24997000</v>
      </c>
      <c r="H147" s="86">
        <v>1.5417000000000001</v>
      </c>
      <c r="I147" s="84">
        <v>385.37842000000001</v>
      </c>
      <c r="J147" s="85">
        <v>-3.4595427465050283E-3</v>
      </c>
      <c r="K147" s="85">
        <v>7.3989047567272653E-6</v>
      </c>
    </row>
    <row r="148" spans="2:11">
      <c r="B148" s="77" t="s">
        <v>2695</v>
      </c>
      <c r="C148" s="74" t="s">
        <v>2696</v>
      </c>
      <c r="D148" s="87" t="s">
        <v>1860</v>
      </c>
      <c r="E148" s="87" t="s">
        <v>164</v>
      </c>
      <c r="F148" s="97">
        <v>43915</v>
      </c>
      <c r="G148" s="84">
        <v>48041031.515699998</v>
      </c>
      <c r="H148" s="86">
        <v>0.69340000000000002</v>
      </c>
      <c r="I148" s="84">
        <v>333.12272161299995</v>
      </c>
      <c r="J148" s="85">
        <v>-2.9904432512133598E-3</v>
      </c>
      <c r="K148" s="85">
        <v>6.3956442852102563E-6</v>
      </c>
    </row>
    <row r="149" spans="2:11">
      <c r="B149" s="77" t="s">
        <v>2697</v>
      </c>
      <c r="C149" s="74" t="s">
        <v>2698</v>
      </c>
      <c r="D149" s="87" t="s">
        <v>1860</v>
      </c>
      <c r="E149" s="87" t="s">
        <v>164</v>
      </c>
      <c r="F149" s="97">
        <v>43916</v>
      </c>
      <c r="G149" s="84">
        <v>49880461.654550001</v>
      </c>
      <c r="H149" s="86">
        <v>1.4231</v>
      </c>
      <c r="I149" s="84">
        <v>709.83388149099994</v>
      </c>
      <c r="J149" s="85">
        <v>-6.3721799885310092E-3</v>
      </c>
      <c r="K149" s="85">
        <v>1.3628145764492826E-5</v>
      </c>
    </row>
    <row r="150" spans="2:11">
      <c r="B150" s="77" t="s">
        <v>2699</v>
      </c>
      <c r="C150" s="74" t="s">
        <v>2700</v>
      </c>
      <c r="D150" s="87" t="s">
        <v>1860</v>
      </c>
      <c r="E150" s="87" t="s">
        <v>164</v>
      </c>
      <c r="F150" s="97">
        <v>43915</v>
      </c>
      <c r="G150" s="84">
        <v>71910000</v>
      </c>
      <c r="H150" s="86">
        <v>2.2079</v>
      </c>
      <c r="I150" s="84">
        <v>1587.7077099999999</v>
      </c>
      <c r="J150" s="85">
        <v>-1.4252854873660565E-2</v>
      </c>
      <c r="K150" s="85">
        <v>3.0482501142154129E-5</v>
      </c>
    </row>
    <row r="151" spans="2:11">
      <c r="B151" s="77" t="s">
        <v>2701</v>
      </c>
      <c r="C151" s="74" t="s">
        <v>2702</v>
      </c>
      <c r="D151" s="87" t="s">
        <v>1860</v>
      </c>
      <c r="E151" s="87" t="s">
        <v>164</v>
      </c>
      <c r="F151" s="97">
        <v>43902</v>
      </c>
      <c r="G151" s="84">
        <v>96875684.999599993</v>
      </c>
      <c r="H151" s="86">
        <v>0.99939999999999996</v>
      </c>
      <c r="I151" s="84">
        <v>968.22263211100005</v>
      </c>
      <c r="J151" s="85">
        <v>-8.6917362521793939E-3</v>
      </c>
      <c r="K151" s="85">
        <v>1.8588967795075476E-5</v>
      </c>
    </row>
    <row r="152" spans="2:11">
      <c r="B152" s="77" t="s">
        <v>2703</v>
      </c>
      <c r="C152" s="74" t="s">
        <v>2704</v>
      </c>
      <c r="D152" s="87" t="s">
        <v>1860</v>
      </c>
      <c r="E152" s="87" t="s">
        <v>164</v>
      </c>
      <c r="F152" s="97">
        <v>43902</v>
      </c>
      <c r="G152" s="84">
        <v>102182729.25949199</v>
      </c>
      <c r="H152" s="86">
        <v>1.4551000000000001</v>
      </c>
      <c r="I152" s="84">
        <v>1486.851508001</v>
      </c>
      <c r="J152" s="85">
        <v>-1.3347468572928713E-2</v>
      </c>
      <c r="K152" s="85">
        <v>2.8546156515706578E-5</v>
      </c>
    </row>
    <row r="153" spans="2:11">
      <c r="B153" s="77" t="s">
        <v>2705</v>
      </c>
      <c r="C153" s="74" t="s">
        <v>2706</v>
      </c>
      <c r="D153" s="87" t="s">
        <v>1860</v>
      </c>
      <c r="E153" s="87" t="s">
        <v>164</v>
      </c>
      <c r="F153" s="97">
        <v>43915</v>
      </c>
      <c r="G153" s="84">
        <v>54598500</v>
      </c>
      <c r="H153" s="86">
        <v>2.1120999999999999</v>
      </c>
      <c r="I153" s="84">
        <v>1153.1555600000002</v>
      </c>
      <c r="J153" s="85">
        <v>-1.0351879467433449E-2</v>
      </c>
      <c r="K153" s="85">
        <v>2.2139506820673804E-5</v>
      </c>
    </row>
    <row r="154" spans="2:11">
      <c r="B154" s="77" t="s">
        <v>2707</v>
      </c>
      <c r="C154" s="74" t="s">
        <v>2708</v>
      </c>
      <c r="D154" s="87" t="s">
        <v>1860</v>
      </c>
      <c r="E154" s="87" t="s">
        <v>164</v>
      </c>
      <c r="F154" s="97">
        <v>43909</v>
      </c>
      <c r="G154" s="84">
        <v>291560000</v>
      </c>
      <c r="H154" s="86">
        <v>2.6850000000000001</v>
      </c>
      <c r="I154" s="84">
        <v>7828.3566500000006</v>
      </c>
      <c r="J154" s="85">
        <v>-7.0275171260398811E-2</v>
      </c>
      <c r="K154" s="85">
        <v>1.5029711641622933E-4</v>
      </c>
    </row>
    <row r="155" spans="2:11">
      <c r="B155" s="77" t="s">
        <v>2709</v>
      </c>
      <c r="C155" s="74" t="s">
        <v>2710</v>
      </c>
      <c r="D155" s="87" t="s">
        <v>1860</v>
      </c>
      <c r="E155" s="87" t="s">
        <v>164</v>
      </c>
      <c r="F155" s="97">
        <v>43914</v>
      </c>
      <c r="G155" s="84">
        <v>145956000</v>
      </c>
      <c r="H155" s="86">
        <v>2.8275000000000001</v>
      </c>
      <c r="I155" s="84">
        <v>4126.9251800000002</v>
      </c>
      <c r="J155" s="85">
        <v>-3.7047414517496748E-2</v>
      </c>
      <c r="K155" s="85">
        <v>7.9233098586473856E-5</v>
      </c>
    </row>
    <row r="156" spans="2:11">
      <c r="B156" s="77" t="s">
        <v>2711</v>
      </c>
      <c r="C156" s="74" t="s">
        <v>2712</v>
      </c>
      <c r="D156" s="87" t="s">
        <v>1860</v>
      </c>
      <c r="E156" s="87" t="s">
        <v>164</v>
      </c>
      <c r="F156" s="97">
        <v>43902</v>
      </c>
      <c r="G156" s="84">
        <v>127795500</v>
      </c>
      <c r="H156" s="86">
        <v>2.37</v>
      </c>
      <c r="I156" s="84">
        <v>3028.7196099999996</v>
      </c>
      <c r="J156" s="85">
        <v>-2.7188821205850179E-2</v>
      </c>
      <c r="K156" s="85">
        <v>5.8148580113079881E-5</v>
      </c>
    </row>
    <row r="157" spans="2:11">
      <c r="B157" s="77" t="s">
        <v>2713</v>
      </c>
      <c r="C157" s="74" t="s">
        <v>2714</v>
      </c>
      <c r="D157" s="87" t="s">
        <v>1860</v>
      </c>
      <c r="E157" s="87" t="s">
        <v>164</v>
      </c>
      <c r="F157" s="97">
        <v>43913</v>
      </c>
      <c r="G157" s="84">
        <v>164700000</v>
      </c>
      <c r="H157" s="86">
        <v>3.1004999999999998</v>
      </c>
      <c r="I157" s="84">
        <v>5106.5320499999998</v>
      </c>
      <c r="J157" s="85">
        <v>-4.5841347093002638E-2</v>
      </c>
      <c r="K157" s="85">
        <v>9.804063308766804E-5</v>
      </c>
    </row>
    <row r="158" spans="2:11">
      <c r="B158" s="77" t="s">
        <v>2715</v>
      </c>
      <c r="C158" s="74" t="s">
        <v>2716</v>
      </c>
      <c r="D158" s="87" t="s">
        <v>1860</v>
      </c>
      <c r="E158" s="87" t="s">
        <v>164</v>
      </c>
      <c r="F158" s="97">
        <v>43906</v>
      </c>
      <c r="G158" s="84">
        <v>99108587.486399993</v>
      </c>
      <c r="H158" s="86">
        <v>3.2364999999999999</v>
      </c>
      <c r="I158" s="84">
        <v>3207.6664874539997</v>
      </c>
      <c r="J158" s="85">
        <v>-2.879522763593962E-2</v>
      </c>
      <c r="K158" s="85">
        <v>6.158419257626838E-5</v>
      </c>
    </row>
    <row r="159" spans="2:11">
      <c r="B159" s="77" t="s">
        <v>2717</v>
      </c>
      <c r="C159" s="74" t="s">
        <v>2718</v>
      </c>
      <c r="D159" s="87" t="s">
        <v>1860</v>
      </c>
      <c r="E159" s="87" t="s">
        <v>164</v>
      </c>
      <c r="F159" s="97">
        <v>43906</v>
      </c>
      <c r="G159" s="84">
        <v>100359000</v>
      </c>
      <c r="H159" s="86">
        <v>4.2275999999999998</v>
      </c>
      <c r="I159" s="84">
        <v>4242.7563099999998</v>
      </c>
      <c r="J159" s="85">
        <v>-3.808723077293466E-2</v>
      </c>
      <c r="K159" s="85">
        <v>8.1456947806505658E-5</v>
      </c>
    </row>
    <row r="160" spans="2:11">
      <c r="B160" s="77" t="s">
        <v>2719</v>
      </c>
      <c r="C160" s="74" t="s">
        <v>2720</v>
      </c>
      <c r="D160" s="87" t="s">
        <v>1860</v>
      </c>
      <c r="E160" s="87" t="s">
        <v>164</v>
      </c>
      <c r="F160" s="97">
        <v>43906</v>
      </c>
      <c r="G160" s="84">
        <v>26229000</v>
      </c>
      <c r="H160" s="86">
        <v>4.8569000000000004</v>
      </c>
      <c r="I160" s="84">
        <v>1273.9041399999999</v>
      </c>
      <c r="J160" s="85">
        <v>-1.1435839680072708E-2</v>
      </c>
      <c r="K160" s="85">
        <v>2.4457766475508815E-5</v>
      </c>
    </row>
    <row r="161" spans="2:11">
      <c r="B161" s="77" t="s">
        <v>2721</v>
      </c>
      <c r="C161" s="74" t="s">
        <v>2722</v>
      </c>
      <c r="D161" s="87" t="s">
        <v>1860</v>
      </c>
      <c r="E161" s="87" t="s">
        <v>164</v>
      </c>
      <c r="F161" s="97">
        <v>43908</v>
      </c>
      <c r="G161" s="84">
        <v>56686500</v>
      </c>
      <c r="H161" s="86">
        <v>6.5350000000000001</v>
      </c>
      <c r="I161" s="84">
        <v>3704.47028</v>
      </c>
      <c r="J161" s="85">
        <v>-3.3255036145556492E-2</v>
      </c>
      <c r="K161" s="85">
        <v>7.1122360135906896E-5</v>
      </c>
    </row>
    <row r="162" spans="2:11">
      <c r="B162" s="77" t="s">
        <v>2723</v>
      </c>
      <c r="C162" s="74" t="s">
        <v>2724</v>
      </c>
      <c r="D162" s="87" t="s">
        <v>1860</v>
      </c>
      <c r="E162" s="87" t="s">
        <v>164</v>
      </c>
      <c r="F162" s="97">
        <v>43908</v>
      </c>
      <c r="G162" s="84">
        <v>223285500</v>
      </c>
      <c r="H162" s="86">
        <v>6.6681999999999997</v>
      </c>
      <c r="I162" s="84">
        <v>14889.09786</v>
      </c>
      <c r="J162" s="85">
        <v>-0.13365945738105039</v>
      </c>
      <c r="K162" s="85">
        <v>2.8585673525707991E-4</v>
      </c>
    </row>
    <row r="163" spans="2:11">
      <c r="B163" s="77" t="s">
        <v>2725</v>
      </c>
      <c r="C163" s="74" t="s">
        <v>2726</v>
      </c>
      <c r="D163" s="87" t="s">
        <v>1860</v>
      </c>
      <c r="E163" s="87" t="s">
        <v>164</v>
      </c>
      <c r="F163" s="97">
        <v>43908</v>
      </c>
      <c r="G163" s="84">
        <v>42321128.504000001</v>
      </c>
      <c r="H163" s="86">
        <v>6.6173999999999999</v>
      </c>
      <c r="I163" s="84">
        <v>2800.572047952</v>
      </c>
      <c r="J163" s="85">
        <v>-2.5140740144601437E-2</v>
      </c>
      <c r="K163" s="85">
        <v>5.3768360582176535E-5</v>
      </c>
    </row>
    <row r="164" spans="2:11">
      <c r="B164" s="77" t="s">
        <v>2727</v>
      </c>
      <c r="C164" s="74" t="s">
        <v>2728</v>
      </c>
      <c r="D164" s="87" t="s">
        <v>1860</v>
      </c>
      <c r="E164" s="87" t="s">
        <v>164</v>
      </c>
      <c r="F164" s="97">
        <v>43907</v>
      </c>
      <c r="G164" s="84">
        <v>163529000</v>
      </c>
      <c r="H164" s="86">
        <v>6.5362</v>
      </c>
      <c r="I164" s="84">
        <v>10688.598410000001</v>
      </c>
      <c r="J164" s="85">
        <v>-9.5951566513819531E-2</v>
      </c>
      <c r="K164" s="85">
        <v>2.0521107958898293E-4</v>
      </c>
    </row>
    <row r="165" spans="2:11">
      <c r="B165" s="77" t="s">
        <v>2729</v>
      </c>
      <c r="C165" s="74" t="s">
        <v>2730</v>
      </c>
      <c r="D165" s="87" t="s">
        <v>1860</v>
      </c>
      <c r="E165" s="87" t="s">
        <v>164</v>
      </c>
      <c r="F165" s="97">
        <v>43907</v>
      </c>
      <c r="G165" s="84">
        <v>102619355.85420001</v>
      </c>
      <c r="H165" s="86">
        <v>6.5872999999999999</v>
      </c>
      <c r="I165" s="84">
        <v>6759.8663420650009</v>
      </c>
      <c r="J165" s="85">
        <v>-6.068333190798398E-2</v>
      </c>
      <c r="K165" s="85">
        <v>1.2978310314611097E-4</v>
      </c>
    </row>
    <row r="166" spans="2:11">
      <c r="B166" s="77" t="s">
        <v>2731</v>
      </c>
      <c r="C166" s="74" t="s">
        <v>2732</v>
      </c>
      <c r="D166" s="87" t="s">
        <v>1860</v>
      </c>
      <c r="E166" s="87" t="s">
        <v>164</v>
      </c>
      <c r="F166" s="97">
        <v>43908</v>
      </c>
      <c r="G166" s="84">
        <v>4131106.5682000001</v>
      </c>
      <c r="H166" s="86">
        <v>7.1060999999999996</v>
      </c>
      <c r="I166" s="84">
        <v>293.558794605</v>
      </c>
      <c r="J166" s="85">
        <v>-2.6352778096617011E-3</v>
      </c>
      <c r="K166" s="85">
        <v>5.6360539383135586E-6</v>
      </c>
    </row>
    <row r="167" spans="2:11">
      <c r="B167" s="77" t="s">
        <v>2733</v>
      </c>
      <c r="C167" s="74" t="s">
        <v>2734</v>
      </c>
      <c r="D167" s="87" t="s">
        <v>1860</v>
      </c>
      <c r="E167" s="87" t="s">
        <v>164</v>
      </c>
      <c r="F167" s="97">
        <v>43907</v>
      </c>
      <c r="G167" s="84">
        <v>20717568.735959999</v>
      </c>
      <c r="H167" s="86">
        <v>7.4142999999999999</v>
      </c>
      <c r="I167" s="84">
        <v>1536.0579047760002</v>
      </c>
      <c r="J167" s="85">
        <v>-1.3789194482346787E-2</v>
      </c>
      <c r="K167" s="85">
        <v>2.9490873251947177E-5</v>
      </c>
    </row>
    <row r="168" spans="2:11">
      <c r="B168" s="77" t="s">
        <v>2735</v>
      </c>
      <c r="C168" s="74" t="s">
        <v>2736</v>
      </c>
      <c r="D168" s="87" t="s">
        <v>1860</v>
      </c>
      <c r="E168" s="87" t="s">
        <v>164</v>
      </c>
      <c r="F168" s="97">
        <v>43811</v>
      </c>
      <c r="G168" s="84">
        <v>196075000</v>
      </c>
      <c r="H168" s="86">
        <v>3.3519000000000001</v>
      </c>
      <c r="I168" s="84">
        <v>6572.3338600000006</v>
      </c>
      <c r="J168" s="85">
        <v>-5.8999852490371402E-2</v>
      </c>
      <c r="K168" s="85">
        <v>1.2618265511481851E-4</v>
      </c>
    </row>
    <row r="169" spans="2:11">
      <c r="B169" s="77" t="s">
        <v>2737</v>
      </c>
      <c r="C169" s="74" t="s">
        <v>2738</v>
      </c>
      <c r="D169" s="87" t="s">
        <v>1860</v>
      </c>
      <c r="E169" s="87" t="s">
        <v>164</v>
      </c>
      <c r="F169" s="97">
        <v>43811</v>
      </c>
      <c r="G169" s="84">
        <v>178250000</v>
      </c>
      <c r="H169" s="86">
        <v>3.2538999999999998</v>
      </c>
      <c r="I169" s="84">
        <v>5800.0195400000002</v>
      </c>
      <c r="J169" s="85">
        <v>-5.2066785496692913E-2</v>
      </c>
      <c r="K169" s="85">
        <v>1.1135494344394553E-4</v>
      </c>
    </row>
    <row r="170" spans="2:11">
      <c r="B170" s="77" t="s">
        <v>2739</v>
      </c>
      <c r="C170" s="74" t="s">
        <v>2740</v>
      </c>
      <c r="D170" s="87" t="s">
        <v>1860</v>
      </c>
      <c r="E170" s="87" t="s">
        <v>164</v>
      </c>
      <c r="F170" s="97">
        <v>43889</v>
      </c>
      <c r="G170" s="84">
        <v>47953598.586999997</v>
      </c>
      <c r="H170" s="86">
        <v>2.6669</v>
      </c>
      <c r="I170" s="84">
        <v>1278.8865541779999</v>
      </c>
      <c r="J170" s="85">
        <v>-1.1480566820812927E-2</v>
      </c>
      <c r="K170" s="85">
        <v>2.4553424161690594E-5</v>
      </c>
    </row>
    <row r="171" spans="2:11">
      <c r="B171" s="77" t="s">
        <v>2741</v>
      </c>
      <c r="C171" s="74" t="s">
        <v>2742</v>
      </c>
      <c r="D171" s="87" t="s">
        <v>1860</v>
      </c>
      <c r="E171" s="87" t="s">
        <v>164</v>
      </c>
      <c r="F171" s="97">
        <v>43889</v>
      </c>
      <c r="G171" s="84">
        <v>86316477.456599995</v>
      </c>
      <c r="H171" s="86">
        <v>2.9518</v>
      </c>
      <c r="I171" s="84">
        <v>2547.913762399</v>
      </c>
      <c r="J171" s="85">
        <v>-2.2872626275824672E-2</v>
      </c>
      <c r="K171" s="85">
        <v>4.8917558114294065E-5</v>
      </c>
    </row>
    <row r="172" spans="2:11">
      <c r="B172" s="77" t="s">
        <v>2743</v>
      </c>
      <c r="C172" s="74" t="s">
        <v>2744</v>
      </c>
      <c r="D172" s="87" t="s">
        <v>1860</v>
      </c>
      <c r="E172" s="87" t="s">
        <v>164</v>
      </c>
      <c r="F172" s="97">
        <v>43921</v>
      </c>
      <c r="G172" s="84">
        <v>57544318.304399997</v>
      </c>
      <c r="H172" s="86">
        <v>0.17369999999999999</v>
      </c>
      <c r="I172" s="84">
        <v>99.955718406999992</v>
      </c>
      <c r="J172" s="85">
        <v>-8.9730265796054683E-4</v>
      </c>
      <c r="K172" s="85">
        <v>1.9190561847849275E-6</v>
      </c>
    </row>
    <row r="173" spans="2:11">
      <c r="B173" s="77" t="s">
        <v>2745</v>
      </c>
      <c r="C173" s="74" t="s">
        <v>2746</v>
      </c>
      <c r="D173" s="87" t="s">
        <v>1860</v>
      </c>
      <c r="E173" s="87" t="s">
        <v>164</v>
      </c>
      <c r="F173" s="97">
        <v>43921</v>
      </c>
      <c r="G173" s="84">
        <v>95907197.173999995</v>
      </c>
      <c r="H173" s="86">
        <v>0.18279999999999999</v>
      </c>
      <c r="I173" s="84">
        <v>175.35907596700002</v>
      </c>
      <c r="J173" s="85">
        <v>-1.574198729901532E-3</v>
      </c>
      <c r="K173" s="85">
        <v>3.3667300346177511E-6</v>
      </c>
    </row>
    <row r="174" spans="2:11">
      <c r="B174" s="77" t="s">
        <v>2747</v>
      </c>
      <c r="C174" s="74" t="s">
        <v>2748</v>
      </c>
      <c r="D174" s="87" t="s">
        <v>1860</v>
      </c>
      <c r="E174" s="87" t="s">
        <v>164</v>
      </c>
      <c r="F174" s="97">
        <v>43921</v>
      </c>
      <c r="G174" s="84">
        <v>43158238.728299998</v>
      </c>
      <c r="H174" s="86">
        <v>0.18959999999999999</v>
      </c>
      <c r="I174" s="84">
        <v>81.846002218999999</v>
      </c>
      <c r="J174" s="85">
        <v>-7.3473170424845238E-4</v>
      </c>
      <c r="K174" s="85">
        <v>1.5713665937425075E-6</v>
      </c>
    </row>
    <row r="175" spans="2:11">
      <c r="B175" s="77" t="s">
        <v>2749</v>
      </c>
      <c r="C175" s="74" t="s">
        <v>2750</v>
      </c>
      <c r="D175" s="87" t="s">
        <v>1860</v>
      </c>
      <c r="E175" s="87" t="s">
        <v>164</v>
      </c>
      <c r="F175" s="97">
        <v>43909</v>
      </c>
      <c r="G175" s="84">
        <v>47953598.586999997</v>
      </c>
      <c r="H175" s="86">
        <v>-2.3077999999999999</v>
      </c>
      <c r="I175" s="84">
        <v>-1106.6845467539999</v>
      </c>
      <c r="J175" s="85">
        <v>9.9347091007119838E-3</v>
      </c>
      <c r="K175" s="85">
        <v>-2.1247306886500619E-5</v>
      </c>
    </row>
    <row r="176" spans="2:11">
      <c r="B176" s="77" t="s">
        <v>2751</v>
      </c>
      <c r="C176" s="74" t="s">
        <v>2752</v>
      </c>
      <c r="D176" s="87" t="s">
        <v>1860</v>
      </c>
      <c r="E176" s="87" t="s">
        <v>164</v>
      </c>
      <c r="F176" s="97">
        <v>43913</v>
      </c>
      <c r="G176" s="84">
        <v>89125000</v>
      </c>
      <c r="H176" s="86">
        <v>-3.6377000000000002</v>
      </c>
      <c r="I176" s="84">
        <v>-3242.1427699999999</v>
      </c>
      <c r="J176" s="85">
        <v>2.9104721284308601E-2</v>
      </c>
      <c r="K176" s="85">
        <v>-6.2246104914078767E-5</v>
      </c>
    </row>
    <row r="177" spans="2:11">
      <c r="B177" s="77" t="s">
        <v>2753</v>
      </c>
      <c r="C177" s="74" t="s">
        <v>2754</v>
      </c>
      <c r="D177" s="87" t="s">
        <v>1860</v>
      </c>
      <c r="E177" s="87" t="s">
        <v>164</v>
      </c>
      <c r="F177" s="97">
        <v>43909</v>
      </c>
      <c r="G177" s="84">
        <v>76725757.739199996</v>
      </c>
      <c r="H177" s="86">
        <v>-3.4106000000000001</v>
      </c>
      <c r="I177" s="84">
        <v>-2616.8319748240001</v>
      </c>
      <c r="J177" s="85">
        <v>2.3491305188611231E-2</v>
      </c>
      <c r="K177" s="85">
        <v>-5.0240723250879739E-5</v>
      </c>
    </row>
    <row r="178" spans="2:11">
      <c r="B178" s="77" t="s">
        <v>2755</v>
      </c>
      <c r="C178" s="74" t="s">
        <v>2756</v>
      </c>
      <c r="D178" s="87" t="s">
        <v>1860</v>
      </c>
      <c r="E178" s="87" t="s">
        <v>164</v>
      </c>
      <c r="F178" s="97">
        <v>43906</v>
      </c>
      <c r="G178" s="84">
        <v>52748958.445699997</v>
      </c>
      <c r="H178" s="86">
        <v>-5.1536999999999997</v>
      </c>
      <c r="I178" s="84">
        <v>-2718.535313371</v>
      </c>
      <c r="J178" s="85">
        <v>2.440429623560763E-2</v>
      </c>
      <c r="K178" s="85">
        <v>-5.2193332105704665E-5</v>
      </c>
    </row>
    <row r="179" spans="2:11">
      <c r="B179" s="77" t="s">
        <v>2757</v>
      </c>
      <c r="C179" s="74" t="s">
        <v>2758</v>
      </c>
      <c r="D179" s="87" t="s">
        <v>1860</v>
      </c>
      <c r="E179" s="87" t="s">
        <v>164</v>
      </c>
      <c r="F179" s="97">
        <v>43916</v>
      </c>
      <c r="G179" s="84">
        <v>142600000</v>
      </c>
      <c r="H179" s="86">
        <v>-1.5985</v>
      </c>
      <c r="I179" s="84">
        <v>-2279.4865</v>
      </c>
      <c r="J179" s="85">
        <v>2.0462954274479441E-2</v>
      </c>
      <c r="K179" s="85">
        <v>-4.3764006058630854E-5</v>
      </c>
    </row>
    <row r="180" spans="2:11">
      <c r="B180" s="77" t="s">
        <v>2757</v>
      </c>
      <c r="C180" s="74" t="s">
        <v>2759</v>
      </c>
      <c r="D180" s="87" t="s">
        <v>1860</v>
      </c>
      <c r="E180" s="87" t="s">
        <v>164</v>
      </c>
      <c r="F180" s="97">
        <v>43916</v>
      </c>
      <c r="G180" s="84">
        <v>24955000</v>
      </c>
      <c r="H180" s="86">
        <v>-1.5985</v>
      </c>
      <c r="I180" s="84">
        <v>-398.91014000000001</v>
      </c>
      <c r="J180" s="85">
        <v>3.5810170204764067E-3</v>
      </c>
      <c r="K180" s="85">
        <v>-7.658701108258059E-6</v>
      </c>
    </row>
    <row r="181" spans="2:11">
      <c r="B181" s="77" t="s">
        <v>2757</v>
      </c>
      <c r="C181" s="74" t="s">
        <v>2760</v>
      </c>
      <c r="D181" s="87" t="s">
        <v>1860</v>
      </c>
      <c r="E181" s="87" t="s">
        <v>164</v>
      </c>
      <c r="F181" s="97">
        <v>43916</v>
      </c>
      <c r="G181" s="84">
        <v>178250000</v>
      </c>
      <c r="H181" s="86">
        <v>-1.5424</v>
      </c>
      <c r="I181" s="84">
        <v>-2749.3588</v>
      </c>
      <c r="J181" s="85">
        <v>2.4680998728677562E-2</v>
      </c>
      <c r="K181" s="85">
        <v>-5.2785114182755655E-5</v>
      </c>
    </row>
    <row r="182" spans="2:11">
      <c r="B182" s="77" t="s">
        <v>2757</v>
      </c>
      <c r="C182" s="74" t="s">
        <v>2761</v>
      </c>
      <c r="D182" s="87" t="s">
        <v>1860</v>
      </c>
      <c r="E182" s="87" t="s">
        <v>164</v>
      </c>
      <c r="F182" s="97">
        <v>43920</v>
      </c>
      <c r="G182" s="84">
        <v>78430000</v>
      </c>
      <c r="H182" s="86">
        <v>-0.67290000000000005</v>
      </c>
      <c r="I182" s="84">
        <v>-527.78674000000001</v>
      </c>
      <c r="J182" s="85">
        <v>4.737942482790124E-3</v>
      </c>
      <c r="K182" s="85">
        <v>-1.0133011135194276E-5</v>
      </c>
    </row>
    <row r="183" spans="2:11">
      <c r="B183" s="77" t="s">
        <v>2757</v>
      </c>
      <c r="C183" s="74" t="s">
        <v>2762</v>
      </c>
      <c r="D183" s="87" t="s">
        <v>1860</v>
      </c>
      <c r="E183" s="87" t="s">
        <v>164</v>
      </c>
      <c r="F183" s="97">
        <v>43920</v>
      </c>
      <c r="G183" s="84">
        <v>6948182.6435350003</v>
      </c>
      <c r="H183" s="86">
        <v>-0.67290000000000005</v>
      </c>
      <c r="I183" s="84">
        <v>-46.757092763999999</v>
      </c>
      <c r="J183" s="85">
        <v>4.1973850305203629E-4</v>
      </c>
      <c r="K183" s="85">
        <v>-8.9769239300503025E-7</v>
      </c>
    </row>
    <row r="184" spans="2:11">
      <c r="B184" s="77" t="s">
        <v>2757</v>
      </c>
      <c r="C184" s="74" t="s">
        <v>2763</v>
      </c>
      <c r="D184" s="87" t="s">
        <v>1860</v>
      </c>
      <c r="E184" s="87" t="s">
        <v>164</v>
      </c>
      <c r="F184" s="97">
        <v>43920</v>
      </c>
      <c r="G184" s="84">
        <v>38362878.869599998</v>
      </c>
      <c r="H184" s="86">
        <v>-0.70099999999999996</v>
      </c>
      <c r="I184" s="84">
        <v>-268.919936517</v>
      </c>
      <c r="J184" s="85">
        <v>2.414094737759265E-3</v>
      </c>
      <c r="K184" s="85">
        <v>-5.1630109373390077E-6</v>
      </c>
    </row>
    <row r="185" spans="2:11">
      <c r="B185" s="77" t="s">
        <v>2757</v>
      </c>
      <c r="C185" s="74" t="s">
        <v>2764</v>
      </c>
      <c r="D185" s="87" t="s">
        <v>1860</v>
      </c>
      <c r="E185" s="87" t="s">
        <v>164</v>
      </c>
      <c r="F185" s="97">
        <v>43920</v>
      </c>
      <c r="G185" s="84">
        <v>74865000</v>
      </c>
      <c r="H185" s="86">
        <v>-0.70099999999999996</v>
      </c>
      <c r="I185" s="84">
        <v>-524.79615000000001</v>
      </c>
      <c r="J185" s="85">
        <v>4.7110959511595506E-3</v>
      </c>
      <c r="K185" s="85">
        <v>-1.0075594607884779E-5</v>
      </c>
    </row>
    <row r="186" spans="2:11">
      <c r="B186" s="77" t="s">
        <v>2757</v>
      </c>
      <c r="C186" s="74" t="s">
        <v>2765</v>
      </c>
      <c r="D186" s="87" t="s">
        <v>1860</v>
      </c>
      <c r="E186" s="87" t="s">
        <v>164</v>
      </c>
      <c r="F186" s="97">
        <v>43921</v>
      </c>
      <c r="G186" s="84">
        <v>69481826.435350001</v>
      </c>
      <c r="H186" s="86">
        <v>0.1358</v>
      </c>
      <c r="I186" s="84">
        <v>94.362025298999995</v>
      </c>
      <c r="J186" s="85">
        <v>-8.4708806520271526E-4</v>
      </c>
      <c r="K186" s="85">
        <v>1.8116625156104736E-6</v>
      </c>
    </row>
    <row r="187" spans="2:11">
      <c r="B187" s="77" t="s">
        <v>2757</v>
      </c>
      <c r="C187" s="74" t="s">
        <v>2766</v>
      </c>
      <c r="D187" s="87" t="s">
        <v>1860</v>
      </c>
      <c r="E187" s="87" t="s">
        <v>164</v>
      </c>
      <c r="F187" s="97">
        <v>43921</v>
      </c>
      <c r="G187" s="84">
        <v>110515000</v>
      </c>
      <c r="H187" s="86">
        <v>7.9699999999999993E-2</v>
      </c>
      <c r="I187" s="84">
        <v>88.090969999999999</v>
      </c>
      <c r="J187" s="85">
        <v>-7.9079279087835804E-4</v>
      </c>
      <c r="K187" s="85">
        <v>1.6912641267191838E-6</v>
      </c>
    </row>
    <row r="188" spans="2:11">
      <c r="B188" s="77" t="s">
        <v>2757</v>
      </c>
      <c r="C188" s="74" t="s">
        <v>2767</v>
      </c>
      <c r="D188" s="87" t="s">
        <v>1860</v>
      </c>
      <c r="E188" s="87" t="s">
        <v>164</v>
      </c>
      <c r="F188" s="97">
        <v>43921</v>
      </c>
      <c r="G188" s="84">
        <v>81995000</v>
      </c>
      <c r="H188" s="86">
        <v>-8.6E-3</v>
      </c>
      <c r="I188" s="84">
        <v>-7.0892299999999997</v>
      </c>
      <c r="J188" s="85">
        <v>6.3640030038022993E-5</v>
      </c>
      <c r="K188" s="85">
        <v>-1.3610657692907046E-7</v>
      </c>
    </row>
    <row r="189" spans="2:11">
      <c r="B189" s="73"/>
      <c r="C189" s="74"/>
      <c r="D189" s="74"/>
      <c r="E189" s="74"/>
      <c r="F189" s="74"/>
      <c r="G189" s="84"/>
      <c r="H189" s="86"/>
      <c r="I189" s="74"/>
      <c r="J189" s="85"/>
      <c r="K189" s="74"/>
    </row>
    <row r="190" spans="2:11">
      <c r="B190" s="92" t="s">
        <v>233</v>
      </c>
      <c r="C190" s="72"/>
      <c r="D190" s="72"/>
      <c r="E190" s="72"/>
      <c r="F190" s="72"/>
      <c r="G190" s="81"/>
      <c r="H190" s="83"/>
      <c r="I190" s="81">
        <v>45450.630653606</v>
      </c>
      <c r="J190" s="82">
        <v>-0.40801039041511905</v>
      </c>
      <c r="K190" s="82">
        <v>8.7260954398852815E-4</v>
      </c>
    </row>
    <row r="191" spans="2:11">
      <c r="B191" s="77" t="s">
        <v>2768</v>
      </c>
      <c r="C191" s="74" t="s">
        <v>2769</v>
      </c>
      <c r="D191" s="87" t="s">
        <v>1860</v>
      </c>
      <c r="E191" s="87" t="s">
        <v>166</v>
      </c>
      <c r="F191" s="97">
        <v>43641</v>
      </c>
      <c r="G191" s="84">
        <v>41493035</v>
      </c>
      <c r="H191" s="86">
        <v>5.9039999999999999</v>
      </c>
      <c r="I191" s="84">
        <v>2449.7301299999999</v>
      </c>
      <c r="J191" s="85">
        <v>-2.199123163703956E-2</v>
      </c>
      <c r="K191" s="85">
        <v>4.7032524321302426E-5</v>
      </c>
    </row>
    <row r="192" spans="2:11">
      <c r="B192" s="77" t="s">
        <v>2770</v>
      </c>
      <c r="C192" s="74" t="s">
        <v>2771</v>
      </c>
      <c r="D192" s="87" t="s">
        <v>1860</v>
      </c>
      <c r="E192" s="87" t="s">
        <v>166</v>
      </c>
      <c r="F192" s="97">
        <v>43641</v>
      </c>
      <c r="G192" s="84">
        <v>79483322.920000002</v>
      </c>
      <c r="H192" s="86">
        <v>5.9080000000000004</v>
      </c>
      <c r="I192" s="84">
        <v>4695.8687199999995</v>
      </c>
      <c r="J192" s="85">
        <v>-4.2154821665457677E-2</v>
      </c>
      <c r="K192" s="85">
        <v>9.0156281738284079E-5</v>
      </c>
    </row>
    <row r="193" spans="2:11">
      <c r="B193" s="77" t="s">
        <v>2772</v>
      </c>
      <c r="C193" s="74" t="s">
        <v>2773</v>
      </c>
      <c r="D193" s="87" t="s">
        <v>1860</v>
      </c>
      <c r="E193" s="87" t="s">
        <v>166</v>
      </c>
      <c r="F193" s="97">
        <v>43703</v>
      </c>
      <c r="G193" s="84">
        <v>8037255.726086</v>
      </c>
      <c r="H193" s="86">
        <v>-3.3182</v>
      </c>
      <c r="I193" s="84">
        <v>-266.69424322399999</v>
      </c>
      <c r="J193" s="85">
        <v>2.3941146851975698E-3</v>
      </c>
      <c r="K193" s="85">
        <v>-5.1202797104773838E-6</v>
      </c>
    </row>
    <row r="194" spans="2:11">
      <c r="B194" s="77" t="s">
        <v>2774</v>
      </c>
      <c r="C194" s="74" t="s">
        <v>2775</v>
      </c>
      <c r="D194" s="87" t="s">
        <v>1860</v>
      </c>
      <c r="E194" s="87" t="s">
        <v>166</v>
      </c>
      <c r="F194" s="97">
        <v>43720</v>
      </c>
      <c r="G194" s="84">
        <v>11907278.25</v>
      </c>
      <c r="H194" s="86">
        <v>1.6661999999999999</v>
      </c>
      <c r="I194" s="84">
        <v>198.40092999999999</v>
      </c>
      <c r="J194" s="85">
        <v>-1.7810454936250757E-3</v>
      </c>
      <c r="K194" s="85">
        <v>3.8091120533321848E-6</v>
      </c>
    </row>
    <row r="195" spans="2:11">
      <c r="B195" s="77" t="s">
        <v>2776</v>
      </c>
      <c r="C195" s="74" t="s">
        <v>2655</v>
      </c>
      <c r="D195" s="87" t="s">
        <v>1860</v>
      </c>
      <c r="E195" s="87" t="s">
        <v>166</v>
      </c>
      <c r="F195" s="97">
        <v>43719</v>
      </c>
      <c r="G195" s="84">
        <v>26897173.447448</v>
      </c>
      <c r="H195" s="86">
        <v>2.3460999999999999</v>
      </c>
      <c r="I195" s="84">
        <v>631.03180697999994</v>
      </c>
      <c r="J195" s="85">
        <v>-5.6647736286105999E-3</v>
      </c>
      <c r="K195" s="85">
        <v>1.21152197321026E-5</v>
      </c>
    </row>
    <row r="196" spans="2:11">
      <c r="B196" s="77" t="s">
        <v>2777</v>
      </c>
      <c r="C196" s="74" t="s">
        <v>2778</v>
      </c>
      <c r="D196" s="87" t="s">
        <v>1860</v>
      </c>
      <c r="E196" s="87" t="s">
        <v>166</v>
      </c>
      <c r="F196" s="97">
        <v>43719</v>
      </c>
      <c r="G196" s="84">
        <v>26898851.823399</v>
      </c>
      <c r="H196" s="86">
        <v>2.3521999999999998</v>
      </c>
      <c r="I196" s="84">
        <v>632.70761643799995</v>
      </c>
      <c r="J196" s="85">
        <v>-5.6798173730292639E-3</v>
      </c>
      <c r="K196" s="85">
        <v>1.2147393704298981E-5</v>
      </c>
    </row>
    <row r="197" spans="2:11">
      <c r="B197" s="77" t="s">
        <v>2779</v>
      </c>
      <c r="C197" s="74" t="s">
        <v>2780</v>
      </c>
      <c r="D197" s="87" t="s">
        <v>1860</v>
      </c>
      <c r="E197" s="87" t="s">
        <v>166</v>
      </c>
      <c r="F197" s="97">
        <v>43678</v>
      </c>
      <c r="G197" s="84">
        <v>32119794.399999999</v>
      </c>
      <c r="H197" s="86">
        <v>2.7892000000000001</v>
      </c>
      <c r="I197" s="84">
        <v>895.88684999999998</v>
      </c>
      <c r="J197" s="85">
        <v>-8.0423778103785315E-3</v>
      </c>
      <c r="K197" s="85">
        <v>1.7200188521075999E-5</v>
      </c>
    </row>
    <row r="198" spans="2:11">
      <c r="B198" s="77" t="s">
        <v>2781</v>
      </c>
      <c r="C198" s="74" t="s">
        <v>2782</v>
      </c>
      <c r="D198" s="87" t="s">
        <v>1860</v>
      </c>
      <c r="E198" s="87" t="s">
        <v>166</v>
      </c>
      <c r="F198" s="97">
        <v>43678</v>
      </c>
      <c r="G198" s="84">
        <v>27627026.775511999</v>
      </c>
      <c r="H198" s="86">
        <v>2.8992</v>
      </c>
      <c r="I198" s="84">
        <v>800.95979929400005</v>
      </c>
      <c r="J198" s="85">
        <v>-7.1902175111146103E-3</v>
      </c>
      <c r="K198" s="85">
        <v>1.5377678046797981E-5</v>
      </c>
    </row>
    <row r="199" spans="2:11">
      <c r="B199" s="77" t="s">
        <v>2783</v>
      </c>
      <c r="C199" s="74" t="s">
        <v>2784</v>
      </c>
      <c r="D199" s="87" t="s">
        <v>1860</v>
      </c>
      <c r="E199" s="87" t="s">
        <v>166</v>
      </c>
      <c r="F199" s="97">
        <v>43647</v>
      </c>
      <c r="G199" s="84">
        <v>37196140.5</v>
      </c>
      <c r="H199" s="86">
        <v>5.5309999999999997</v>
      </c>
      <c r="I199" s="84">
        <v>2057.3269599999999</v>
      </c>
      <c r="J199" s="85">
        <v>-1.846862769756864E-2</v>
      </c>
      <c r="K199" s="85">
        <v>3.949875094326051E-5</v>
      </c>
    </row>
    <row r="200" spans="2:11">
      <c r="B200" s="77" t="s">
        <v>2785</v>
      </c>
      <c r="C200" s="74" t="s">
        <v>2786</v>
      </c>
      <c r="D200" s="87" t="s">
        <v>1860</v>
      </c>
      <c r="E200" s="87" t="s">
        <v>167</v>
      </c>
      <c r="F200" s="97">
        <v>43713</v>
      </c>
      <c r="G200" s="84">
        <v>11680296.48</v>
      </c>
      <c r="H200" s="86">
        <v>0.13750000000000001</v>
      </c>
      <c r="I200" s="84">
        <v>16.0623</v>
      </c>
      <c r="J200" s="85">
        <v>-1.4419129503200442E-4</v>
      </c>
      <c r="K200" s="85">
        <v>3.0838111764011163E-7</v>
      </c>
    </row>
    <row r="201" spans="2:11">
      <c r="B201" s="77" t="s">
        <v>2787</v>
      </c>
      <c r="C201" s="74" t="s">
        <v>2788</v>
      </c>
      <c r="D201" s="87" t="s">
        <v>1860</v>
      </c>
      <c r="E201" s="87" t="s">
        <v>167</v>
      </c>
      <c r="F201" s="97">
        <v>43713</v>
      </c>
      <c r="G201" s="84">
        <v>130065905.63</v>
      </c>
      <c r="H201" s="86">
        <v>0.16819999999999999</v>
      </c>
      <c r="I201" s="84">
        <v>218.73766000000001</v>
      </c>
      <c r="J201" s="85">
        <v>-1.9636083542002251E-3</v>
      </c>
      <c r="K201" s="85">
        <v>4.1995582239643599E-6</v>
      </c>
    </row>
    <row r="202" spans="2:11">
      <c r="B202" s="77" t="s">
        <v>2789</v>
      </c>
      <c r="C202" s="74" t="s">
        <v>2790</v>
      </c>
      <c r="D202" s="87" t="s">
        <v>1860</v>
      </c>
      <c r="E202" s="87" t="s">
        <v>164</v>
      </c>
      <c r="F202" s="97">
        <v>43878</v>
      </c>
      <c r="G202" s="84">
        <v>12501000</v>
      </c>
      <c r="H202" s="86">
        <v>-7.6821000000000002</v>
      </c>
      <c r="I202" s="84">
        <v>-960.33574999999996</v>
      </c>
      <c r="J202" s="85">
        <v>8.6209356977538232E-3</v>
      </c>
      <c r="K202" s="85">
        <v>-1.8437547044617199E-5</v>
      </c>
    </row>
    <row r="203" spans="2:11">
      <c r="B203" s="77" t="s">
        <v>2791</v>
      </c>
      <c r="C203" s="74" t="s">
        <v>2792</v>
      </c>
      <c r="D203" s="87" t="s">
        <v>1860</v>
      </c>
      <c r="E203" s="87" t="s">
        <v>166</v>
      </c>
      <c r="F203" s="97">
        <v>43920</v>
      </c>
      <c r="G203" s="84">
        <v>40186278.630432002</v>
      </c>
      <c r="H203" s="86">
        <v>-1.2967</v>
      </c>
      <c r="I203" s="84">
        <v>-521.11061536199998</v>
      </c>
      <c r="J203" s="85">
        <v>4.6780109003051566E-3</v>
      </c>
      <c r="K203" s="85">
        <v>-1.0004835794342025E-5</v>
      </c>
    </row>
    <row r="204" spans="2:11">
      <c r="B204" s="77" t="s">
        <v>2793</v>
      </c>
      <c r="C204" s="74" t="s">
        <v>2794</v>
      </c>
      <c r="D204" s="87" t="s">
        <v>1860</v>
      </c>
      <c r="E204" s="87" t="s">
        <v>166</v>
      </c>
      <c r="F204" s="97">
        <v>43920</v>
      </c>
      <c r="G204" s="84">
        <v>17837689.479219999</v>
      </c>
      <c r="H204" s="86">
        <v>-1.2197</v>
      </c>
      <c r="I204" s="84">
        <v>-217.566302694</v>
      </c>
      <c r="J204" s="85">
        <v>1.9530930776272969E-3</v>
      </c>
      <c r="K204" s="85">
        <v>-4.1770692606664397E-6</v>
      </c>
    </row>
    <row r="205" spans="2:11">
      <c r="B205" s="77" t="s">
        <v>2795</v>
      </c>
      <c r="C205" s="74" t="s">
        <v>2726</v>
      </c>
      <c r="D205" s="87" t="s">
        <v>1860</v>
      </c>
      <c r="E205" s="87" t="s">
        <v>166</v>
      </c>
      <c r="F205" s="97">
        <v>43920</v>
      </c>
      <c r="G205" s="84">
        <v>1071634.096812</v>
      </c>
      <c r="H205" s="86">
        <v>-1.3667</v>
      </c>
      <c r="I205" s="84">
        <v>-14.645975090999999</v>
      </c>
      <c r="J205" s="85">
        <v>1.3147694386095196E-4</v>
      </c>
      <c r="K205" s="85">
        <v>-2.8118900577699426E-7</v>
      </c>
    </row>
    <row r="206" spans="2:11">
      <c r="B206" s="77" t="s">
        <v>2796</v>
      </c>
      <c r="C206" s="74" t="s">
        <v>2797</v>
      </c>
      <c r="D206" s="87" t="s">
        <v>1860</v>
      </c>
      <c r="E206" s="87" t="s">
        <v>166</v>
      </c>
      <c r="F206" s="97">
        <v>43899</v>
      </c>
      <c r="G206" s="84">
        <v>47217413.327345997</v>
      </c>
      <c r="H206" s="86">
        <v>-4.6597999999999997</v>
      </c>
      <c r="I206" s="84">
        <v>-2200.2366945210001</v>
      </c>
      <c r="J206" s="85">
        <v>1.9751528632880704E-2</v>
      </c>
      <c r="K206" s="85">
        <v>-4.2242484010955528E-5</v>
      </c>
    </row>
    <row r="207" spans="2:11">
      <c r="B207" s="77" t="s">
        <v>2798</v>
      </c>
      <c r="C207" s="74" t="s">
        <v>2799</v>
      </c>
      <c r="D207" s="87" t="s">
        <v>1860</v>
      </c>
      <c r="E207" s="87" t="s">
        <v>166</v>
      </c>
      <c r="F207" s="97">
        <v>43899</v>
      </c>
      <c r="G207" s="84">
        <v>19516530.84197</v>
      </c>
      <c r="H207" s="86">
        <v>-5.0559000000000003</v>
      </c>
      <c r="I207" s="84">
        <v>-986.74301942</v>
      </c>
      <c r="J207" s="85">
        <v>8.8579938012588542E-3</v>
      </c>
      <c r="K207" s="85">
        <v>-1.8944541887047184E-5</v>
      </c>
    </row>
    <row r="208" spans="2:11">
      <c r="B208" s="77" t="s">
        <v>2800</v>
      </c>
      <c r="C208" s="74" t="s">
        <v>2801</v>
      </c>
      <c r="D208" s="87" t="s">
        <v>1860</v>
      </c>
      <c r="E208" s="87" t="s">
        <v>164</v>
      </c>
      <c r="F208" s="97">
        <v>43838</v>
      </c>
      <c r="G208" s="84">
        <v>10536179.25</v>
      </c>
      <c r="H208" s="86">
        <v>8.7225000000000001</v>
      </c>
      <c r="I208" s="84">
        <v>919.01758999999993</v>
      </c>
      <c r="J208" s="85">
        <v>-8.2500225035824042E-3</v>
      </c>
      <c r="K208" s="85">
        <v>1.7644277067115039E-5</v>
      </c>
    </row>
    <row r="209" spans="2:11">
      <c r="B209" s="77" t="s">
        <v>2802</v>
      </c>
      <c r="C209" s="74" t="s">
        <v>2803</v>
      </c>
      <c r="D209" s="87" t="s">
        <v>1860</v>
      </c>
      <c r="E209" s="87" t="s">
        <v>164</v>
      </c>
      <c r="F209" s="97">
        <v>43838</v>
      </c>
      <c r="G209" s="84">
        <v>43899204.340000004</v>
      </c>
      <c r="H209" s="86">
        <v>8.7225000000000001</v>
      </c>
      <c r="I209" s="84">
        <v>3829.1054300000001</v>
      </c>
      <c r="J209" s="85">
        <v>-3.4373886103844419E-2</v>
      </c>
      <c r="K209" s="85">
        <v>7.3515238294965252E-5</v>
      </c>
    </row>
    <row r="210" spans="2:11">
      <c r="B210" s="77" t="s">
        <v>2804</v>
      </c>
      <c r="C210" s="74" t="s">
        <v>2805</v>
      </c>
      <c r="D210" s="87" t="s">
        <v>1860</v>
      </c>
      <c r="E210" s="87" t="s">
        <v>164</v>
      </c>
      <c r="F210" s="97">
        <v>43838</v>
      </c>
      <c r="G210" s="84">
        <v>17545842.890000001</v>
      </c>
      <c r="H210" s="86">
        <v>8.6968999999999994</v>
      </c>
      <c r="I210" s="84">
        <v>1525.9526499999999</v>
      </c>
      <c r="J210" s="85">
        <v>-1.3698479592649805E-2</v>
      </c>
      <c r="K210" s="85">
        <v>2.9296861823829097E-5</v>
      </c>
    </row>
    <row r="211" spans="2:11">
      <c r="B211" s="77" t="s">
        <v>2806</v>
      </c>
      <c r="C211" s="74" t="s">
        <v>2807</v>
      </c>
      <c r="D211" s="87" t="s">
        <v>1860</v>
      </c>
      <c r="E211" s="87" t="s">
        <v>166</v>
      </c>
      <c r="F211" s="97">
        <v>43881</v>
      </c>
      <c r="G211" s="84">
        <v>60325717.899999999</v>
      </c>
      <c r="H211" s="86">
        <v>-0.6794</v>
      </c>
      <c r="I211" s="84">
        <v>-409.85314</v>
      </c>
      <c r="J211" s="85">
        <v>3.6792523505060552E-3</v>
      </c>
      <c r="K211" s="85">
        <v>-7.8687964601276998E-6</v>
      </c>
    </row>
    <row r="212" spans="2:11">
      <c r="B212" s="77" t="s">
        <v>2808</v>
      </c>
      <c r="C212" s="74" t="s">
        <v>2809</v>
      </c>
      <c r="D212" s="87" t="s">
        <v>1860</v>
      </c>
      <c r="E212" s="87" t="s">
        <v>166</v>
      </c>
      <c r="F212" s="97">
        <v>43915</v>
      </c>
      <c r="G212" s="84">
        <v>136229345</v>
      </c>
      <c r="H212" s="86">
        <v>-0.92159999999999997</v>
      </c>
      <c r="I212" s="84">
        <v>-1255.51845</v>
      </c>
      <c r="J212" s="85">
        <v>1.1270791308970378E-2</v>
      </c>
      <c r="K212" s="85">
        <v>-2.4104778445725745E-5</v>
      </c>
    </row>
    <row r="213" spans="2:11">
      <c r="B213" s="77" t="s">
        <v>2810</v>
      </c>
      <c r="C213" s="74" t="s">
        <v>2811</v>
      </c>
      <c r="D213" s="87" t="s">
        <v>1860</v>
      </c>
      <c r="E213" s="87" t="s">
        <v>166</v>
      </c>
      <c r="F213" s="97">
        <v>43881</v>
      </c>
      <c r="G213" s="84">
        <v>38923739.5</v>
      </c>
      <c r="H213" s="86">
        <v>-0.66930000000000001</v>
      </c>
      <c r="I213" s="84">
        <v>-260.53147999999999</v>
      </c>
      <c r="J213" s="85">
        <v>2.3387915490188055E-3</v>
      </c>
      <c r="K213" s="85">
        <v>-5.0019604280104589E-6</v>
      </c>
    </row>
    <row r="214" spans="2:11">
      <c r="B214" s="77" t="s">
        <v>2812</v>
      </c>
      <c r="C214" s="74" t="s">
        <v>2813</v>
      </c>
      <c r="D214" s="87" t="s">
        <v>1860</v>
      </c>
      <c r="E214" s="87" t="s">
        <v>166</v>
      </c>
      <c r="F214" s="97">
        <v>43881</v>
      </c>
      <c r="G214" s="84">
        <v>120276558.23</v>
      </c>
      <c r="H214" s="86">
        <v>-0.66749999999999998</v>
      </c>
      <c r="I214" s="84">
        <v>-802.85686999999996</v>
      </c>
      <c r="J214" s="85">
        <v>7.207247518141338E-3</v>
      </c>
      <c r="K214" s="85">
        <v>-1.5414100027744583E-5</v>
      </c>
    </row>
    <row r="215" spans="2:11">
      <c r="B215" s="77" t="s">
        <v>2814</v>
      </c>
      <c r="C215" s="74" t="s">
        <v>2815</v>
      </c>
      <c r="D215" s="87" t="s">
        <v>1860</v>
      </c>
      <c r="E215" s="87" t="s">
        <v>166</v>
      </c>
      <c r="F215" s="97">
        <v>43741</v>
      </c>
      <c r="G215" s="84">
        <v>11888027.25</v>
      </c>
      <c r="H215" s="86">
        <v>1.5071000000000001</v>
      </c>
      <c r="I215" s="84">
        <v>179.16223000000002</v>
      </c>
      <c r="J215" s="85">
        <v>-1.6083396502693784E-3</v>
      </c>
      <c r="K215" s="85">
        <v>3.4397470303938254E-6</v>
      </c>
    </row>
    <row r="216" spans="2:11">
      <c r="B216" s="77" t="s">
        <v>2816</v>
      </c>
      <c r="C216" s="74" t="s">
        <v>2817</v>
      </c>
      <c r="D216" s="87" t="s">
        <v>1860</v>
      </c>
      <c r="E216" s="87" t="s">
        <v>166</v>
      </c>
      <c r="F216" s="97">
        <v>43745</v>
      </c>
      <c r="G216" s="84">
        <v>21335515.083328001</v>
      </c>
      <c r="H216" s="86">
        <v>1.5133000000000001</v>
      </c>
      <c r="I216" s="84">
        <v>322.880241872</v>
      </c>
      <c r="J216" s="85">
        <v>-2.8984964927669448E-3</v>
      </c>
      <c r="K216" s="85">
        <v>6.198998266275498E-6</v>
      </c>
    </row>
    <row r="217" spans="2:11">
      <c r="B217" s="77" t="s">
        <v>2818</v>
      </c>
      <c r="C217" s="74" t="s">
        <v>2560</v>
      </c>
      <c r="D217" s="87" t="s">
        <v>1860</v>
      </c>
      <c r="E217" s="87" t="s">
        <v>166</v>
      </c>
      <c r="F217" s="97">
        <v>43745</v>
      </c>
      <c r="G217" s="84">
        <v>21335515.083328001</v>
      </c>
      <c r="H217" s="86">
        <v>1.5133000000000001</v>
      </c>
      <c r="I217" s="84">
        <v>322.880241872</v>
      </c>
      <c r="J217" s="85">
        <v>-2.8984964927669448E-3</v>
      </c>
      <c r="K217" s="85">
        <v>6.198998266275498E-6</v>
      </c>
    </row>
    <row r="218" spans="2:11">
      <c r="B218" s="77" t="s">
        <v>2819</v>
      </c>
      <c r="C218" s="74" t="s">
        <v>2820</v>
      </c>
      <c r="D218" s="87" t="s">
        <v>1860</v>
      </c>
      <c r="E218" s="87" t="s">
        <v>166</v>
      </c>
      <c r="F218" s="97">
        <v>43864</v>
      </c>
      <c r="G218" s="84">
        <v>8327832.8700000001</v>
      </c>
      <c r="H218" s="86">
        <v>1.5508999999999999</v>
      </c>
      <c r="I218" s="84">
        <v>129.15917999999999</v>
      </c>
      <c r="J218" s="85">
        <v>-1.1594621834651179E-3</v>
      </c>
      <c r="K218" s="85">
        <v>2.4797352982997672E-6</v>
      </c>
    </row>
    <row r="219" spans="2:11">
      <c r="B219" s="77" t="s">
        <v>2821</v>
      </c>
      <c r="C219" s="74" t="s">
        <v>2822</v>
      </c>
      <c r="D219" s="87" t="s">
        <v>1860</v>
      </c>
      <c r="E219" s="87" t="s">
        <v>166</v>
      </c>
      <c r="F219" s="97">
        <v>43753</v>
      </c>
      <c r="G219" s="84">
        <v>22769482.712962002</v>
      </c>
      <c r="H219" s="86">
        <v>1.8218000000000001</v>
      </c>
      <c r="I219" s="84">
        <v>414.81358954999996</v>
      </c>
      <c r="J219" s="85">
        <v>-3.723782314742523E-3</v>
      </c>
      <c r="K219" s="85">
        <v>7.9640324460217726E-6</v>
      </c>
    </row>
    <row r="220" spans="2:11">
      <c r="B220" s="77" t="s">
        <v>2823</v>
      </c>
      <c r="C220" s="74" t="s">
        <v>2655</v>
      </c>
      <c r="D220" s="87" t="s">
        <v>1860</v>
      </c>
      <c r="E220" s="87" t="s">
        <v>166</v>
      </c>
      <c r="F220" s="97">
        <v>43822</v>
      </c>
      <c r="G220" s="84">
        <v>18236808.846494999</v>
      </c>
      <c r="H220" s="86">
        <v>1.9359</v>
      </c>
      <c r="I220" s="84">
        <v>353.04111546900009</v>
      </c>
      <c r="J220" s="85">
        <v>-3.1692507074963443E-3</v>
      </c>
      <c r="K220" s="85">
        <v>6.7780587936498474E-6</v>
      </c>
    </row>
    <row r="221" spans="2:11">
      <c r="B221" s="77" t="s">
        <v>2824</v>
      </c>
      <c r="C221" s="74" t="s">
        <v>2825</v>
      </c>
      <c r="D221" s="87" t="s">
        <v>1860</v>
      </c>
      <c r="E221" s="87" t="s">
        <v>166</v>
      </c>
      <c r="F221" s="97">
        <v>43850</v>
      </c>
      <c r="G221" s="84">
        <v>32201800.523141999</v>
      </c>
      <c r="H221" s="86">
        <v>1.8637999999999999</v>
      </c>
      <c r="I221" s="84">
        <v>600.16440243400007</v>
      </c>
      <c r="J221" s="85">
        <v>-5.3876768843233872E-3</v>
      </c>
      <c r="K221" s="85">
        <v>1.1522594472174389E-5</v>
      </c>
    </row>
    <row r="222" spans="2:11">
      <c r="B222" s="77" t="s">
        <v>2826</v>
      </c>
      <c r="C222" s="74" t="s">
        <v>2827</v>
      </c>
      <c r="D222" s="87" t="s">
        <v>1860</v>
      </c>
      <c r="E222" s="87" t="s">
        <v>166</v>
      </c>
      <c r="F222" s="97">
        <v>43850</v>
      </c>
      <c r="G222" s="84">
        <v>18252578.23017</v>
      </c>
      <c r="H222" s="86">
        <v>1.8898999999999999</v>
      </c>
      <c r="I222" s="84">
        <v>344.96177774699999</v>
      </c>
      <c r="J222" s="85">
        <v>-3.0967224787161497E-3</v>
      </c>
      <c r="K222" s="85">
        <v>6.6229430756952398E-6</v>
      </c>
    </row>
    <row r="223" spans="2:11">
      <c r="B223" s="77" t="s">
        <v>2828</v>
      </c>
      <c r="C223" s="74" t="s">
        <v>2829</v>
      </c>
      <c r="D223" s="87" t="s">
        <v>1860</v>
      </c>
      <c r="E223" s="87" t="s">
        <v>166</v>
      </c>
      <c r="F223" s="97">
        <v>43839</v>
      </c>
      <c r="G223" s="84">
        <v>98196570.299999997</v>
      </c>
      <c r="H223" s="86">
        <v>2.0306999999999999</v>
      </c>
      <c r="I223" s="84">
        <v>1994.05413</v>
      </c>
      <c r="J223" s="85">
        <v>-1.7900627392628508E-2</v>
      </c>
      <c r="K223" s="85">
        <v>3.8283971862328589E-5</v>
      </c>
    </row>
    <row r="224" spans="2:11">
      <c r="B224" s="77" t="s">
        <v>2830</v>
      </c>
      <c r="C224" s="74" t="s">
        <v>2831</v>
      </c>
      <c r="D224" s="87" t="s">
        <v>1860</v>
      </c>
      <c r="E224" s="87" t="s">
        <v>166</v>
      </c>
      <c r="F224" s="97">
        <v>43839</v>
      </c>
      <c r="G224" s="84">
        <v>77793633.239999995</v>
      </c>
      <c r="H224" s="86">
        <v>2.0743</v>
      </c>
      <c r="I224" s="84">
        <v>1613.6431399999999</v>
      </c>
      <c r="J224" s="85">
        <v>-1.4485677273871737E-2</v>
      </c>
      <c r="K224" s="85">
        <v>3.0980437109598196E-5</v>
      </c>
    </row>
    <row r="225" spans="2:11">
      <c r="B225" s="77" t="s">
        <v>2832</v>
      </c>
      <c r="C225" s="74" t="s">
        <v>2833</v>
      </c>
      <c r="D225" s="87" t="s">
        <v>1860</v>
      </c>
      <c r="E225" s="87" t="s">
        <v>166</v>
      </c>
      <c r="F225" s="97">
        <v>43775</v>
      </c>
      <c r="G225" s="84">
        <v>4994832.38</v>
      </c>
      <c r="H225" s="86">
        <v>2.3246000000000002</v>
      </c>
      <c r="I225" s="84">
        <v>116.11208999999999</v>
      </c>
      <c r="J225" s="85">
        <v>-1.0423384338465007E-3</v>
      </c>
      <c r="K225" s="85">
        <v>2.2292433889124989E-6</v>
      </c>
    </row>
    <row r="226" spans="2:11">
      <c r="B226" s="77" t="s">
        <v>2834</v>
      </c>
      <c r="C226" s="74" t="s">
        <v>2835</v>
      </c>
      <c r="D226" s="87" t="s">
        <v>1860</v>
      </c>
      <c r="E226" s="87" t="s">
        <v>166</v>
      </c>
      <c r="F226" s="97">
        <v>43766</v>
      </c>
      <c r="G226" s="84">
        <v>31996588</v>
      </c>
      <c r="H226" s="86">
        <v>2.4150999999999998</v>
      </c>
      <c r="I226" s="84">
        <v>772.75922000000003</v>
      </c>
      <c r="J226" s="85">
        <v>-6.9370608617521532E-3</v>
      </c>
      <c r="K226" s="85">
        <v>1.4836253334223674E-5</v>
      </c>
    </row>
    <row r="227" spans="2:11">
      <c r="B227" s="77" t="s">
        <v>2836</v>
      </c>
      <c r="C227" s="74" t="s">
        <v>2837</v>
      </c>
      <c r="D227" s="87" t="s">
        <v>1860</v>
      </c>
      <c r="E227" s="87" t="s">
        <v>166</v>
      </c>
      <c r="F227" s="97">
        <v>43790</v>
      </c>
      <c r="G227" s="84">
        <v>106436069.59999999</v>
      </c>
      <c r="H227" s="86">
        <v>2.2281</v>
      </c>
      <c r="I227" s="84">
        <v>2371.48326</v>
      </c>
      <c r="J227" s="85">
        <v>-2.1288809348979885E-2</v>
      </c>
      <c r="K227" s="85">
        <v>4.5530257695573823E-5</v>
      </c>
    </row>
    <row r="228" spans="2:11">
      <c r="B228" s="77" t="s">
        <v>2838</v>
      </c>
      <c r="C228" s="74" t="s">
        <v>2839</v>
      </c>
      <c r="D228" s="87" t="s">
        <v>1860</v>
      </c>
      <c r="E228" s="87" t="s">
        <v>166</v>
      </c>
      <c r="F228" s="97">
        <v>43774</v>
      </c>
      <c r="G228" s="84">
        <v>36015412.5</v>
      </c>
      <c r="H228" s="86">
        <v>2.4672999999999998</v>
      </c>
      <c r="I228" s="84">
        <v>888.59281999999996</v>
      </c>
      <c r="J228" s="85">
        <v>-7.976899290384365E-3</v>
      </c>
      <c r="K228" s="85">
        <v>1.7060149975942333E-5</v>
      </c>
    </row>
    <row r="229" spans="2:11">
      <c r="B229" s="77" t="s">
        <v>2840</v>
      </c>
      <c r="C229" s="74" t="s">
        <v>2841</v>
      </c>
      <c r="D229" s="87" t="s">
        <v>1860</v>
      </c>
      <c r="E229" s="87" t="s">
        <v>166</v>
      </c>
      <c r="F229" s="97">
        <v>43809</v>
      </c>
      <c r="G229" s="84">
        <v>80052075</v>
      </c>
      <c r="H229" s="86">
        <v>2.1793999999999998</v>
      </c>
      <c r="I229" s="84">
        <v>1744.67058</v>
      </c>
      <c r="J229" s="85">
        <v>-1.5661910830605721E-2</v>
      </c>
      <c r="K229" s="85">
        <v>3.3496041250270621E-5</v>
      </c>
    </row>
    <row r="230" spans="2:11">
      <c r="B230" s="77" t="s">
        <v>2842</v>
      </c>
      <c r="C230" s="74" t="s">
        <v>2843</v>
      </c>
      <c r="D230" s="87" t="s">
        <v>1860</v>
      </c>
      <c r="E230" s="87" t="s">
        <v>166</v>
      </c>
      <c r="F230" s="97">
        <v>43804</v>
      </c>
      <c r="G230" s="84">
        <v>106512881.09</v>
      </c>
      <c r="H230" s="86">
        <v>2.1760000000000002</v>
      </c>
      <c r="I230" s="84">
        <v>2317.74613</v>
      </c>
      <c r="J230" s="85">
        <v>-2.0806411039522139E-2</v>
      </c>
      <c r="K230" s="85">
        <v>4.4498555124449392E-5</v>
      </c>
    </row>
    <row r="231" spans="2:11">
      <c r="B231" s="77" t="s">
        <v>2844</v>
      </c>
      <c r="C231" s="74" t="s">
        <v>2845</v>
      </c>
      <c r="D231" s="87" t="s">
        <v>1860</v>
      </c>
      <c r="E231" s="87" t="s">
        <v>166</v>
      </c>
      <c r="F231" s="97">
        <v>43804</v>
      </c>
      <c r="G231" s="84">
        <v>66076490.700000003</v>
      </c>
      <c r="H231" s="86">
        <v>2.1856</v>
      </c>
      <c r="I231" s="84">
        <v>1444.13751</v>
      </c>
      <c r="J231" s="85">
        <v>-1.2964024938594986E-2</v>
      </c>
      <c r="K231" s="85">
        <v>2.7726087755788891E-5</v>
      </c>
    </row>
    <row r="232" spans="2:11">
      <c r="B232" s="77" t="s">
        <v>2846</v>
      </c>
      <c r="C232" s="74" t="s">
        <v>2847</v>
      </c>
      <c r="D232" s="87" t="s">
        <v>1860</v>
      </c>
      <c r="E232" s="87" t="s">
        <v>166</v>
      </c>
      <c r="F232" s="97">
        <v>43804</v>
      </c>
      <c r="G232" s="84">
        <v>16019684</v>
      </c>
      <c r="H232" s="86">
        <v>2.1924999999999999</v>
      </c>
      <c r="I232" s="84">
        <v>351.22899000000001</v>
      </c>
      <c r="J232" s="85">
        <v>-3.1529832540098824E-3</v>
      </c>
      <c r="K232" s="85">
        <v>6.7432676817023464E-6</v>
      </c>
    </row>
    <row r="233" spans="2:11">
      <c r="B233" s="77" t="s">
        <v>2848</v>
      </c>
      <c r="C233" s="74" t="s">
        <v>2849</v>
      </c>
      <c r="D233" s="87" t="s">
        <v>1860</v>
      </c>
      <c r="E233" s="87" t="s">
        <v>166</v>
      </c>
      <c r="F233" s="97">
        <v>43768</v>
      </c>
      <c r="G233" s="84">
        <v>4007416.5</v>
      </c>
      <c r="H233" s="86">
        <v>2.6059999999999999</v>
      </c>
      <c r="I233" s="84">
        <v>104.43289</v>
      </c>
      <c r="J233" s="85">
        <v>-9.3749423513661578E-4</v>
      </c>
      <c r="K233" s="85">
        <v>2.0050136864948881E-6</v>
      </c>
    </row>
    <row r="234" spans="2:11">
      <c r="B234" s="77" t="s">
        <v>2850</v>
      </c>
      <c r="C234" s="74" t="s">
        <v>2851</v>
      </c>
      <c r="D234" s="87" t="s">
        <v>1860</v>
      </c>
      <c r="E234" s="87" t="s">
        <v>166</v>
      </c>
      <c r="F234" s="97">
        <v>43768</v>
      </c>
      <c r="G234" s="84">
        <v>11869043.139867</v>
      </c>
      <c r="H234" s="86">
        <v>2.6276999999999999</v>
      </c>
      <c r="I234" s="84">
        <v>311.88842157800002</v>
      </c>
      <c r="J234" s="85">
        <v>-2.7998229028731612E-3</v>
      </c>
      <c r="K234" s="85">
        <v>5.9879656104813109E-6</v>
      </c>
    </row>
    <row r="235" spans="2:11">
      <c r="B235" s="77" t="s">
        <v>2852</v>
      </c>
      <c r="C235" s="74" t="s">
        <v>2853</v>
      </c>
      <c r="D235" s="87" t="s">
        <v>1860</v>
      </c>
      <c r="E235" s="87" t="s">
        <v>166</v>
      </c>
      <c r="F235" s="97">
        <v>43894</v>
      </c>
      <c r="G235" s="84">
        <v>59368952.730635002</v>
      </c>
      <c r="H235" s="86">
        <v>2.2361</v>
      </c>
      <c r="I235" s="84">
        <v>1327.5277710500002</v>
      </c>
      <c r="J235" s="85">
        <v>-1.1917219109258935E-2</v>
      </c>
      <c r="K235" s="85">
        <v>2.548728997308513E-5</v>
      </c>
    </row>
    <row r="236" spans="2:11">
      <c r="B236" s="77" t="s">
        <v>2854</v>
      </c>
      <c r="C236" s="74" t="s">
        <v>2855</v>
      </c>
      <c r="D236" s="87" t="s">
        <v>1860</v>
      </c>
      <c r="E236" s="87" t="s">
        <v>166</v>
      </c>
      <c r="F236" s="97">
        <v>43894</v>
      </c>
      <c r="G236" s="84">
        <v>20079284.251864001</v>
      </c>
      <c r="H236" s="86">
        <v>2.2446999999999999</v>
      </c>
      <c r="I236" s="84">
        <v>450.71482661400006</v>
      </c>
      <c r="J236" s="85">
        <v>-4.0460677822975535E-3</v>
      </c>
      <c r="K236" s="85">
        <v>8.6533025761064414E-6</v>
      </c>
    </row>
    <row r="237" spans="2:11">
      <c r="B237" s="77" t="s">
        <v>2854</v>
      </c>
      <c r="C237" s="74" t="s">
        <v>2587</v>
      </c>
      <c r="D237" s="87" t="s">
        <v>1860</v>
      </c>
      <c r="E237" s="87" t="s">
        <v>166</v>
      </c>
      <c r="F237" s="97">
        <v>43894</v>
      </c>
      <c r="G237" s="84">
        <v>1102534.3498849999</v>
      </c>
      <c r="H237" s="86">
        <v>2.2446999999999999</v>
      </c>
      <c r="I237" s="84">
        <v>24.748321532000002</v>
      </c>
      <c r="J237" s="85">
        <v>-2.2216572542957857E-4</v>
      </c>
      <c r="K237" s="85">
        <v>4.7514459658672797E-7</v>
      </c>
    </row>
    <row r="238" spans="2:11">
      <c r="B238" s="77" t="s">
        <v>2856</v>
      </c>
      <c r="C238" s="74" t="s">
        <v>2857</v>
      </c>
      <c r="D238" s="87" t="s">
        <v>1860</v>
      </c>
      <c r="E238" s="87" t="s">
        <v>166</v>
      </c>
      <c r="F238" s="97">
        <v>43894</v>
      </c>
      <c r="G238" s="84">
        <v>36170728.063794002</v>
      </c>
      <c r="H238" s="86">
        <v>2.2618999999999998</v>
      </c>
      <c r="I238" s="84">
        <v>818.14378132700006</v>
      </c>
      <c r="J238" s="85">
        <v>-7.3444781477074372E-3</v>
      </c>
      <c r="K238" s="85">
        <v>1.5707594409015356E-5</v>
      </c>
    </row>
    <row r="239" spans="2:11">
      <c r="B239" s="77" t="s">
        <v>2858</v>
      </c>
      <c r="C239" s="74" t="s">
        <v>2859</v>
      </c>
      <c r="D239" s="87" t="s">
        <v>1860</v>
      </c>
      <c r="E239" s="87" t="s">
        <v>166</v>
      </c>
      <c r="F239" s="97">
        <v>43762</v>
      </c>
      <c r="G239" s="84">
        <v>7982831.6299999999</v>
      </c>
      <c r="H239" s="86">
        <v>2.7875000000000001</v>
      </c>
      <c r="I239" s="84">
        <v>222.51979999999998</v>
      </c>
      <c r="J239" s="85">
        <v>-1.9975606315572872E-3</v>
      </c>
      <c r="K239" s="85">
        <v>4.2721717699864968E-6</v>
      </c>
    </row>
    <row r="240" spans="2:11">
      <c r="B240" s="77" t="s">
        <v>2860</v>
      </c>
      <c r="C240" s="74" t="s">
        <v>2861</v>
      </c>
      <c r="D240" s="87" t="s">
        <v>1860</v>
      </c>
      <c r="E240" s="87" t="s">
        <v>166</v>
      </c>
      <c r="F240" s="97">
        <v>43895</v>
      </c>
      <c r="G240" s="84">
        <v>43228826.425420001</v>
      </c>
      <c r="H240" s="86">
        <v>2.1875</v>
      </c>
      <c r="I240" s="84">
        <v>945.63715704800018</v>
      </c>
      <c r="J240" s="85">
        <v>-8.488986403263175E-3</v>
      </c>
      <c r="K240" s="85">
        <v>1.8155347825185688E-5</v>
      </c>
    </row>
    <row r="241" spans="2:11">
      <c r="B241" s="77" t="s">
        <v>2862</v>
      </c>
      <c r="C241" s="74" t="s">
        <v>2863</v>
      </c>
      <c r="D241" s="87" t="s">
        <v>1860</v>
      </c>
      <c r="E241" s="87" t="s">
        <v>166</v>
      </c>
      <c r="F241" s="97">
        <v>43845</v>
      </c>
      <c r="G241" s="84">
        <v>64372492</v>
      </c>
      <c r="H241" s="86">
        <v>2.7189999999999999</v>
      </c>
      <c r="I241" s="84">
        <v>1750.2883100000001</v>
      </c>
      <c r="J241" s="85">
        <v>-1.5712341202584836E-2</v>
      </c>
      <c r="K241" s="85">
        <v>3.3603896405260902E-5</v>
      </c>
    </row>
    <row r="242" spans="2:11">
      <c r="B242" s="77" t="s">
        <v>2864</v>
      </c>
      <c r="C242" s="74" t="s">
        <v>2865</v>
      </c>
      <c r="D242" s="87" t="s">
        <v>1860</v>
      </c>
      <c r="E242" s="87" t="s">
        <v>166</v>
      </c>
      <c r="F242" s="97">
        <v>43895</v>
      </c>
      <c r="G242" s="84">
        <v>43307853.955890998</v>
      </c>
      <c r="H242" s="86">
        <v>2.3561999999999999</v>
      </c>
      <c r="I242" s="84">
        <v>1020.401960991</v>
      </c>
      <c r="J242" s="85">
        <v>-9.160150178273917E-3</v>
      </c>
      <c r="K242" s="85">
        <v>1.9590762043578204E-5</v>
      </c>
    </row>
    <row r="243" spans="2:11">
      <c r="B243" s="77" t="s">
        <v>2866</v>
      </c>
      <c r="C243" s="74" t="s">
        <v>2867</v>
      </c>
      <c r="D243" s="87" t="s">
        <v>1860</v>
      </c>
      <c r="E243" s="87" t="s">
        <v>166</v>
      </c>
      <c r="F243" s="97">
        <v>43895</v>
      </c>
      <c r="G243" s="84">
        <v>81523428.961352006</v>
      </c>
      <c r="H243" s="86">
        <v>2.3647</v>
      </c>
      <c r="I243" s="84">
        <v>1927.8042355959999</v>
      </c>
      <c r="J243" s="85">
        <v>-1.7305901975356617E-2</v>
      </c>
      <c r="K243" s="85">
        <v>3.7012035932863636E-5</v>
      </c>
    </row>
    <row r="244" spans="2:11">
      <c r="B244" s="77" t="s">
        <v>2868</v>
      </c>
      <c r="C244" s="74" t="s">
        <v>2869</v>
      </c>
      <c r="D244" s="87" t="s">
        <v>1860</v>
      </c>
      <c r="E244" s="87" t="s">
        <v>166</v>
      </c>
      <c r="F244" s="97">
        <v>43846</v>
      </c>
      <c r="G244" s="84">
        <v>60405360</v>
      </c>
      <c r="H244" s="86">
        <v>2.8088000000000002</v>
      </c>
      <c r="I244" s="84">
        <v>1696.6594</v>
      </c>
      <c r="J244" s="85">
        <v>-1.523091438425528E-2</v>
      </c>
      <c r="K244" s="85">
        <v>3.2574271556788331E-5</v>
      </c>
    </row>
    <row r="245" spans="2:11">
      <c r="B245" s="77" t="s">
        <v>2870</v>
      </c>
      <c r="C245" s="74" t="s">
        <v>2871</v>
      </c>
      <c r="D245" s="87" t="s">
        <v>1860</v>
      </c>
      <c r="E245" s="87" t="s">
        <v>167</v>
      </c>
      <c r="F245" s="97">
        <v>43908</v>
      </c>
      <c r="G245" s="84">
        <v>38497934.492709003</v>
      </c>
      <c r="H245" s="86">
        <v>-5.0171000000000001</v>
      </c>
      <c r="I245" s="84">
        <v>-1931.4805991130002</v>
      </c>
      <c r="J245" s="85">
        <v>1.7338904697041847E-2</v>
      </c>
      <c r="K245" s="85">
        <v>-3.7082618669471957E-5</v>
      </c>
    </row>
    <row r="246" spans="2:11">
      <c r="B246" s="77" t="s">
        <v>2872</v>
      </c>
      <c r="C246" s="74" t="s">
        <v>2873</v>
      </c>
      <c r="D246" s="87" t="s">
        <v>1860</v>
      </c>
      <c r="E246" s="87" t="s">
        <v>167</v>
      </c>
      <c r="F246" s="97">
        <v>43908</v>
      </c>
      <c r="G246" s="84">
        <v>46372376.627191998</v>
      </c>
      <c r="H246" s="86">
        <v>-4.9993999999999996</v>
      </c>
      <c r="I246" s="84">
        <v>-2318.3328140379999</v>
      </c>
      <c r="J246" s="85">
        <v>2.0811677703151496E-2</v>
      </c>
      <c r="K246" s="85">
        <v>-4.4509818908548811E-5</v>
      </c>
    </row>
    <row r="247" spans="2:11">
      <c r="B247" s="77" t="s">
        <v>2874</v>
      </c>
      <c r="C247" s="74" t="s">
        <v>2875</v>
      </c>
      <c r="D247" s="87" t="s">
        <v>1860</v>
      </c>
      <c r="E247" s="87" t="s">
        <v>167</v>
      </c>
      <c r="F247" s="97">
        <v>43741</v>
      </c>
      <c r="G247" s="84">
        <v>94878107.879999995</v>
      </c>
      <c r="H247" s="86">
        <v>0.1396</v>
      </c>
      <c r="I247" s="84">
        <v>132.46038000000001</v>
      </c>
      <c r="J247" s="85">
        <v>-1.189097061605836E-3</v>
      </c>
      <c r="K247" s="85">
        <v>2.5431152467226918E-6</v>
      </c>
    </row>
    <row r="248" spans="2:11">
      <c r="B248" s="77" t="s">
        <v>2876</v>
      </c>
      <c r="C248" s="74" t="s">
        <v>2877</v>
      </c>
      <c r="D248" s="87" t="s">
        <v>1860</v>
      </c>
      <c r="E248" s="87" t="s">
        <v>167</v>
      </c>
      <c r="F248" s="97">
        <v>43741</v>
      </c>
      <c r="G248" s="84">
        <v>40749762.729999997</v>
      </c>
      <c r="H248" s="86">
        <v>0.16289999999999999</v>
      </c>
      <c r="I248" s="84">
        <v>66.400199999999998</v>
      </c>
      <c r="J248" s="85">
        <v>-5.9607471086856175E-4</v>
      </c>
      <c r="K248" s="85">
        <v>1.274821656146812E-6</v>
      </c>
    </row>
    <row r="249" spans="2:11">
      <c r="B249" s="77" t="s">
        <v>2878</v>
      </c>
      <c r="C249" s="74" t="s">
        <v>2879</v>
      </c>
      <c r="D249" s="87" t="s">
        <v>1860</v>
      </c>
      <c r="E249" s="87" t="s">
        <v>167</v>
      </c>
      <c r="F249" s="97">
        <v>43768</v>
      </c>
      <c r="G249" s="84">
        <v>9237984.5</v>
      </c>
      <c r="H249" s="86">
        <v>4.5841000000000003</v>
      </c>
      <c r="I249" s="84">
        <v>423.47833000000003</v>
      </c>
      <c r="J249" s="85">
        <v>-3.8015657048299767E-3</v>
      </c>
      <c r="K249" s="85">
        <v>8.1303873481237451E-6</v>
      </c>
    </row>
    <row r="250" spans="2:11">
      <c r="B250" s="77" t="s">
        <v>2880</v>
      </c>
      <c r="C250" s="74" t="s">
        <v>2881</v>
      </c>
      <c r="D250" s="87" t="s">
        <v>1860</v>
      </c>
      <c r="E250" s="87" t="s">
        <v>167</v>
      </c>
      <c r="F250" s="97">
        <v>43888</v>
      </c>
      <c r="G250" s="84">
        <v>62876475.399999999</v>
      </c>
      <c r="H250" s="86">
        <v>4.3657000000000004</v>
      </c>
      <c r="I250" s="84">
        <v>2744.98209</v>
      </c>
      <c r="J250" s="85">
        <v>-2.4641708995396555E-2</v>
      </c>
      <c r="K250" s="85">
        <v>5.2701085449548915E-5</v>
      </c>
    </row>
    <row r="251" spans="2:11">
      <c r="B251" s="77" t="s">
        <v>2882</v>
      </c>
      <c r="C251" s="74" t="s">
        <v>2883</v>
      </c>
      <c r="D251" s="87" t="s">
        <v>1860</v>
      </c>
      <c r="E251" s="87" t="s">
        <v>167</v>
      </c>
      <c r="F251" s="97">
        <v>43888</v>
      </c>
      <c r="G251" s="84">
        <v>9525919.5700000003</v>
      </c>
      <c r="H251" s="86">
        <v>4.3853999999999997</v>
      </c>
      <c r="I251" s="84">
        <v>417.75130000000001</v>
      </c>
      <c r="J251" s="85">
        <v>-3.7501541465607907E-3</v>
      </c>
      <c r="K251" s="85">
        <v>8.0204337354930219E-6</v>
      </c>
    </row>
    <row r="252" spans="2:11">
      <c r="B252" s="77" t="s">
        <v>2884</v>
      </c>
      <c r="C252" s="74" t="s">
        <v>2885</v>
      </c>
      <c r="D252" s="87" t="s">
        <v>1860</v>
      </c>
      <c r="E252" s="87" t="s">
        <v>167</v>
      </c>
      <c r="F252" s="97">
        <v>43888</v>
      </c>
      <c r="G252" s="84">
        <v>80022663.75</v>
      </c>
      <c r="H252" s="86">
        <v>4.4131999999999998</v>
      </c>
      <c r="I252" s="84">
        <v>3531.5516600000001</v>
      </c>
      <c r="J252" s="85">
        <v>-3.1702745393114622E-2</v>
      </c>
      <c r="K252" s="85">
        <v>6.7802484570366118E-5</v>
      </c>
    </row>
    <row r="253" spans="2:11">
      <c r="B253" s="77" t="s">
        <v>2886</v>
      </c>
      <c r="C253" s="74" t="s">
        <v>2887</v>
      </c>
      <c r="D253" s="87" t="s">
        <v>1860</v>
      </c>
      <c r="E253" s="87" t="s">
        <v>167</v>
      </c>
      <c r="F253" s="97">
        <v>43860</v>
      </c>
      <c r="G253" s="84">
        <v>15138454.5</v>
      </c>
      <c r="H253" s="86">
        <v>5.2093999999999996</v>
      </c>
      <c r="I253" s="84">
        <v>788.61617000000001</v>
      </c>
      <c r="J253" s="85">
        <v>-7.0794087294770583E-3</v>
      </c>
      <c r="K253" s="85">
        <v>1.5140691924174265E-5</v>
      </c>
    </row>
    <row r="254" spans="2:11">
      <c r="B254" s="77" t="s">
        <v>2888</v>
      </c>
      <c r="C254" s="74" t="s">
        <v>2889</v>
      </c>
      <c r="D254" s="87" t="s">
        <v>1860</v>
      </c>
      <c r="E254" s="87" t="s">
        <v>167</v>
      </c>
      <c r="F254" s="97">
        <v>43860</v>
      </c>
      <c r="G254" s="84">
        <v>23225975</v>
      </c>
      <c r="H254" s="86">
        <v>5.1210000000000004</v>
      </c>
      <c r="I254" s="84">
        <v>1189.4051499999998</v>
      </c>
      <c r="J254" s="85">
        <v>-1.0677292099900726E-2</v>
      </c>
      <c r="K254" s="85">
        <v>2.2835465000896797E-5</v>
      </c>
    </row>
    <row r="255" spans="2:11">
      <c r="B255" s="77" t="s">
        <v>2890</v>
      </c>
      <c r="C255" s="74" t="s">
        <v>2891</v>
      </c>
      <c r="D255" s="87" t="s">
        <v>1860</v>
      </c>
      <c r="E255" s="87" t="s">
        <v>167</v>
      </c>
      <c r="F255" s="97">
        <v>43845</v>
      </c>
      <c r="G255" s="84">
        <v>16006387.211322</v>
      </c>
      <c r="H255" s="86">
        <v>5.2285000000000004</v>
      </c>
      <c r="I255" s="84">
        <v>836.89671613799999</v>
      </c>
      <c r="J255" s="85">
        <v>-7.5128232761167459E-3</v>
      </c>
      <c r="K255" s="85">
        <v>1.6067633195244498E-5</v>
      </c>
    </row>
    <row r="256" spans="2:11">
      <c r="B256" s="77" t="s">
        <v>2892</v>
      </c>
      <c r="C256" s="74" t="s">
        <v>2566</v>
      </c>
      <c r="D256" s="87" t="s">
        <v>1860</v>
      </c>
      <c r="E256" s="87" t="s">
        <v>167</v>
      </c>
      <c r="F256" s="97">
        <v>43845</v>
      </c>
      <c r="G256" s="84">
        <v>21350012.182836</v>
      </c>
      <c r="H256" s="86">
        <v>5.2645</v>
      </c>
      <c r="I256" s="84">
        <v>1123.980863539</v>
      </c>
      <c r="J256" s="85">
        <v>-1.0089978166568862E-2</v>
      </c>
      <c r="K256" s="85">
        <v>2.1579379970754789E-5</v>
      </c>
    </row>
    <row r="257" spans="2:11">
      <c r="B257" s="77" t="s">
        <v>2893</v>
      </c>
      <c r="C257" s="74" t="s">
        <v>2894</v>
      </c>
      <c r="D257" s="87" t="s">
        <v>1860</v>
      </c>
      <c r="E257" s="87" t="s">
        <v>164</v>
      </c>
      <c r="F257" s="97">
        <v>43773</v>
      </c>
      <c r="G257" s="84">
        <v>39045212.990000002</v>
      </c>
      <c r="H257" s="86">
        <v>1.2657</v>
      </c>
      <c r="I257" s="84">
        <v>494.17809999999997</v>
      </c>
      <c r="J257" s="85">
        <v>-4.4362376630654003E-3</v>
      </c>
      <c r="K257" s="85">
        <v>9.4877567217189853E-6</v>
      </c>
    </row>
    <row r="258" spans="2:11">
      <c r="B258" s="77" t="s">
        <v>2895</v>
      </c>
      <c r="C258" s="74" t="s">
        <v>2896</v>
      </c>
      <c r="D258" s="87" t="s">
        <v>1860</v>
      </c>
      <c r="E258" s="87" t="s">
        <v>164</v>
      </c>
      <c r="F258" s="97">
        <v>43773</v>
      </c>
      <c r="G258" s="84">
        <v>7519662.7699999996</v>
      </c>
      <c r="H258" s="86">
        <v>1.2473000000000001</v>
      </c>
      <c r="I258" s="84">
        <v>93.78967999999999</v>
      </c>
      <c r="J258" s="85">
        <v>-8.4195012045829574E-4</v>
      </c>
      <c r="K258" s="85">
        <v>1.8006740218716139E-6</v>
      </c>
    </row>
    <row r="259" spans="2:11">
      <c r="B259" s="73"/>
      <c r="C259" s="74"/>
      <c r="D259" s="74"/>
      <c r="E259" s="74"/>
      <c r="F259" s="74"/>
      <c r="G259" s="84"/>
      <c r="H259" s="86"/>
      <c r="I259" s="74"/>
      <c r="J259" s="85"/>
      <c r="K259" s="74"/>
    </row>
    <row r="260" spans="2:11">
      <c r="B260" s="92" t="s">
        <v>231</v>
      </c>
      <c r="C260" s="72"/>
      <c r="D260" s="72"/>
      <c r="E260" s="72"/>
      <c r="F260" s="72"/>
      <c r="G260" s="81"/>
      <c r="H260" s="83"/>
      <c r="I260" s="81">
        <v>38.087937699999998</v>
      </c>
      <c r="J260" s="82">
        <v>-3.419154829670286E-4</v>
      </c>
      <c r="K260" s="82">
        <v>7.3125273444854985E-7</v>
      </c>
    </row>
    <row r="261" spans="2:11">
      <c r="B261" s="77" t="s">
        <v>2897</v>
      </c>
      <c r="C261" s="74" t="s">
        <v>2898</v>
      </c>
      <c r="D261" s="87" t="s">
        <v>1860</v>
      </c>
      <c r="E261" s="87" t="s">
        <v>165</v>
      </c>
      <c r="F261" s="97">
        <v>43614</v>
      </c>
      <c r="G261" s="84">
        <v>5131.7169999999996</v>
      </c>
      <c r="H261" s="86">
        <v>0.28270000000000001</v>
      </c>
      <c r="I261" s="84">
        <v>1.4509314000000001E-2</v>
      </c>
      <c r="J261" s="85">
        <v>-1.3025013700939419E-7</v>
      </c>
      <c r="K261" s="85">
        <v>2.7856524081304166E-10</v>
      </c>
    </row>
    <row r="262" spans="2:11">
      <c r="B262" s="77" t="s">
        <v>2897</v>
      </c>
      <c r="C262" s="74" t="s">
        <v>2579</v>
      </c>
      <c r="D262" s="87" t="s">
        <v>1860</v>
      </c>
      <c r="E262" s="87" t="s">
        <v>165</v>
      </c>
      <c r="F262" s="97">
        <v>43626</v>
      </c>
      <c r="G262" s="84">
        <v>1026343.4</v>
      </c>
      <c r="H262" s="86">
        <v>0.91120000000000001</v>
      </c>
      <c r="I262" s="84">
        <v>9.352422142</v>
      </c>
      <c r="J262" s="85">
        <v>-8.3956709832400887E-5</v>
      </c>
      <c r="K262" s="85">
        <v>1.7955774657378375E-7</v>
      </c>
    </row>
    <row r="263" spans="2:11">
      <c r="B263" s="77" t="s">
        <v>2897</v>
      </c>
      <c r="C263" s="74" t="s">
        <v>2552</v>
      </c>
      <c r="D263" s="87" t="s">
        <v>1860</v>
      </c>
      <c r="E263" s="87" t="s">
        <v>165</v>
      </c>
      <c r="F263" s="97">
        <v>43887</v>
      </c>
      <c r="G263" s="84">
        <v>513171.7</v>
      </c>
      <c r="H263" s="86">
        <v>2.5811000000000002</v>
      </c>
      <c r="I263" s="84">
        <v>13.245704393</v>
      </c>
      <c r="J263" s="85">
        <v>-1.1890671136996446E-4</v>
      </c>
      <c r="K263" s="85">
        <v>2.5430511973029247E-7</v>
      </c>
    </row>
    <row r="264" spans="2:11">
      <c r="B264" s="77" t="s">
        <v>2897</v>
      </c>
      <c r="C264" s="74" t="s">
        <v>2899</v>
      </c>
      <c r="D264" s="87" t="s">
        <v>1860</v>
      </c>
      <c r="E264" s="87" t="s">
        <v>165</v>
      </c>
      <c r="F264" s="97">
        <v>43881</v>
      </c>
      <c r="G264" s="84">
        <v>1026343.4</v>
      </c>
      <c r="H264" s="86">
        <v>1.5078</v>
      </c>
      <c r="I264" s="84">
        <v>15.475301851000001</v>
      </c>
      <c r="J264" s="85">
        <v>-1.3892181162765391E-4</v>
      </c>
      <c r="K264" s="85">
        <v>2.971113029036607E-7</v>
      </c>
    </row>
    <row r="265" spans="2:11">
      <c r="B265" s="73"/>
      <c r="C265" s="74"/>
      <c r="D265" s="74"/>
      <c r="E265" s="74"/>
      <c r="F265" s="74"/>
      <c r="G265" s="84"/>
      <c r="H265" s="86"/>
      <c r="I265" s="74"/>
      <c r="J265" s="85"/>
      <c r="K265" s="74"/>
    </row>
    <row r="266" spans="2:11">
      <c r="B266" s="71" t="s">
        <v>241</v>
      </c>
      <c r="C266" s="72"/>
      <c r="D266" s="72"/>
      <c r="E266" s="72"/>
      <c r="F266" s="72"/>
      <c r="G266" s="81"/>
      <c r="H266" s="83"/>
      <c r="I266" s="81">
        <v>-15613.981463414002</v>
      </c>
      <c r="J266" s="82">
        <v>0.14016673874945534</v>
      </c>
      <c r="K266" s="82">
        <v>-2.9977382158841485E-4</v>
      </c>
    </row>
    <row r="267" spans="2:11">
      <c r="B267" s="92" t="s">
        <v>230</v>
      </c>
      <c r="C267" s="72"/>
      <c r="D267" s="72"/>
      <c r="E267" s="72"/>
      <c r="F267" s="72"/>
      <c r="G267" s="81"/>
      <c r="H267" s="83"/>
      <c r="I267" s="81">
        <v>-15613.981463414002</v>
      </c>
      <c r="J267" s="82">
        <v>0.14016673874945534</v>
      </c>
      <c r="K267" s="82">
        <v>-2.9977382158841485E-4</v>
      </c>
    </row>
    <row r="268" spans="2:11">
      <c r="B268" s="77" t="s">
        <v>2900</v>
      </c>
      <c r="C268" s="74" t="s">
        <v>2901</v>
      </c>
      <c r="D268" s="87" t="s">
        <v>1860</v>
      </c>
      <c r="E268" s="87" t="s">
        <v>164</v>
      </c>
      <c r="F268" s="97">
        <v>43866</v>
      </c>
      <c r="G268" s="84">
        <v>19181439.424038999</v>
      </c>
      <c r="H268" s="86">
        <v>-22.492799999999999</v>
      </c>
      <c r="I268" s="84">
        <v>-4314.4399790540001</v>
      </c>
      <c r="J268" s="85">
        <v>3.8730735194688823E-2</v>
      </c>
      <c r="K268" s="85">
        <v>-8.2833207120515276E-5</v>
      </c>
    </row>
    <row r="269" spans="2:11">
      <c r="B269" s="77" t="s">
        <v>2900</v>
      </c>
      <c r="C269" s="74" t="s">
        <v>2902</v>
      </c>
      <c r="D269" s="87" t="s">
        <v>1860</v>
      </c>
      <c r="E269" s="87" t="s">
        <v>164</v>
      </c>
      <c r="F269" s="97">
        <v>43879</v>
      </c>
      <c r="G269" s="84">
        <v>47953598.616592996</v>
      </c>
      <c r="H269" s="86">
        <v>-23.329699999999999</v>
      </c>
      <c r="I269" s="84">
        <v>-11187.426651495001</v>
      </c>
      <c r="J269" s="85">
        <v>0.10042954850517205</v>
      </c>
      <c r="K269" s="85">
        <v>-2.1478811467254383E-4</v>
      </c>
    </row>
    <row r="270" spans="2:11">
      <c r="B270" s="77" t="s">
        <v>2900</v>
      </c>
      <c r="C270" s="74" t="s">
        <v>2903</v>
      </c>
      <c r="D270" s="87" t="s">
        <v>1860</v>
      </c>
      <c r="E270" s="87" t="s">
        <v>164</v>
      </c>
      <c r="F270" s="97">
        <v>43916</v>
      </c>
      <c r="G270" s="84">
        <v>38226576.521393001</v>
      </c>
      <c r="H270" s="86">
        <v>-0.29330000000000001</v>
      </c>
      <c r="I270" s="84">
        <v>-112.11483286499998</v>
      </c>
      <c r="J270" s="85">
        <v>1.006455049594459E-3</v>
      </c>
      <c r="K270" s="85">
        <v>-2.152499795355772E-6</v>
      </c>
    </row>
    <row r="271" spans="2:11">
      <c r="C271" s="1"/>
      <c r="D271" s="1"/>
    </row>
    <row r="272" spans="2:11">
      <c r="C272" s="1"/>
      <c r="D272" s="1"/>
    </row>
    <row r="273" spans="2:4">
      <c r="C273" s="1"/>
      <c r="D273" s="1"/>
    </row>
    <row r="274" spans="2:4">
      <c r="B274" s="89" t="s">
        <v>261</v>
      </c>
      <c r="C274" s="1"/>
      <c r="D274" s="1"/>
    </row>
    <row r="275" spans="2:4">
      <c r="B275" s="89" t="s">
        <v>115</v>
      </c>
      <c r="C275" s="1"/>
      <c r="D275" s="1"/>
    </row>
    <row r="276" spans="2:4">
      <c r="B276" s="89" t="s">
        <v>243</v>
      </c>
      <c r="C276" s="1"/>
      <c r="D276" s="1"/>
    </row>
    <row r="277" spans="2:4">
      <c r="B277" s="89" t="s">
        <v>251</v>
      </c>
      <c r="C277" s="1"/>
      <c r="D277" s="1"/>
    </row>
    <row r="278" spans="2:4">
      <c r="C278" s="1"/>
      <c r="D278" s="1"/>
    </row>
    <row r="279" spans="2:4">
      <c r="C279" s="1"/>
      <c r="D279" s="1"/>
    </row>
    <row r="280" spans="2:4">
      <c r="C280" s="1"/>
      <c r="D280" s="1"/>
    </row>
    <row r="281" spans="2:4">
      <c r="C281" s="1"/>
      <c r="D281" s="1"/>
    </row>
    <row r="282" spans="2:4">
      <c r="C282" s="1"/>
      <c r="D282" s="1"/>
    </row>
    <row r="283" spans="2:4">
      <c r="C283" s="1"/>
      <c r="D283" s="1"/>
    </row>
    <row r="284" spans="2:4">
      <c r="C284" s="1"/>
      <c r="D284" s="1"/>
    </row>
    <row r="285" spans="2:4">
      <c r="C285" s="1"/>
      <c r="D285" s="1"/>
    </row>
    <row r="286" spans="2:4">
      <c r="C286" s="1"/>
      <c r="D286" s="1"/>
    </row>
    <row r="287" spans="2:4">
      <c r="C287" s="1"/>
      <c r="D287" s="1"/>
    </row>
    <row r="288" spans="2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D1:XFD40 D41:AF44 AH41:XFD44 C5:C1048576 A1:B1048576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180</v>
      </c>
      <c r="C1" s="68" t="s" vm="1">
        <v>270</v>
      </c>
    </row>
    <row r="2" spans="2:78">
      <c r="B2" s="47" t="s">
        <v>179</v>
      </c>
      <c r="C2" s="68" t="s">
        <v>271</v>
      </c>
    </row>
    <row r="3" spans="2:78">
      <c r="B3" s="47" t="s">
        <v>181</v>
      </c>
      <c r="C3" s="68" t="s">
        <v>272</v>
      </c>
    </row>
    <row r="4" spans="2:78">
      <c r="B4" s="47" t="s">
        <v>182</v>
      </c>
      <c r="C4" s="68">
        <v>2102</v>
      </c>
    </row>
    <row r="6" spans="2:78" ht="26.25" customHeight="1">
      <c r="B6" s="163" t="s">
        <v>211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</row>
    <row r="7" spans="2:78" ht="26.25" customHeight="1">
      <c r="B7" s="163" t="s">
        <v>105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/>
    </row>
    <row r="8" spans="2:78" s="3" customFormat="1" ht="47.25">
      <c r="B8" s="22" t="s">
        <v>119</v>
      </c>
      <c r="C8" s="30" t="s">
        <v>47</v>
      </c>
      <c r="D8" s="30" t="s">
        <v>53</v>
      </c>
      <c r="E8" s="30" t="s">
        <v>14</v>
      </c>
      <c r="F8" s="30" t="s">
        <v>69</v>
      </c>
      <c r="G8" s="30" t="s">
        <v>107</v>
      </c>
      <c r="H8" s="30" t="s">
        <v>17</v>
      </c>
      <c r="I8" s="30" t="s">
        <v>106</v>
      </c>
      <c r="J8" s="30" t="s">
        <v>16</v>
      </c>
      <c r="K8" s="30" t="s">
        <v>18</v>
      </c>
      <c r="L8" s="30" t="s">
        <v>245</v>
      </c>
      <c r="M8" s="30" t="s">
        <v>244</v>
      </c>
      <c r="N8" s="30" t="s">
        <v>114</v>
      </c>
      <c r="O8" s="30" t="s">
        <v>61</v>
      </c>
      <c r="P8" s="30" t="s">
        <v>183</v>
      </c>
      <c r="Q8" s="31" t="s">
        <v>185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252</v>
      </c>
      <c r="M9" s="16"/>
      <c r="N9" s="16" t="s">
        <v>248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116</v>
      </c>
      <c r="R10" s="1"/>
      <c r="S10" s="1"/>
      <c r="T10" s="1"/>
      <c r="U10" s="1"/>
      <c r="V10" s="1"/>
    </row>
    <row r="11" spans="2:78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"/>
      <c r="S11" s="1"/>
      <c r="T11" s="1"/>
      <c r="U11" s="1"/>
      <c r="V11" s="1"/>
      <c r="BZ11" s="1"/>
    </row>
    <row r="12" spans="2:78" ht="18" customHeight="1">
      <c r="B12" s="89" t="s">
        <v>261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78">
      <c r="B13" s="89" t="s">
        <v>115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78">
      <c r="B14" s="89" t="s">
        <v>243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78">
      <c r="B15" s="89" t="s">
        <v>251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7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5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A1:R406"/>
  <sheetViews>
    <sheetView rightToLeft="1" zoomScale="80" zoomScaleNormal="80" workbookViewId="0">
      <selection activeCell="P12" sqref="P12"/>
    </sheetView>
  </sheetViews>
  <sheetFormatPr defaultColWidth="9.140625" defaultRowHeight="18"/>
  <cols>
    <col min="1" max="1" width="6.28515625" style="1" customWidth="1"/>
    <col min="2" max="2" width="48.42578125" style="2" customWidth="1"/>
    <col min="3" max="3" width="27.85546875" style="2" customWidth="1"/>
    <col min="4" max="4" width="11.28515625" style="2" bestFit="1" customWidth="1"/>
    <col min="5" max="5" width="12.42578125" style="2" bestFit="1" customWidth="1"/>
    <col min="6" max="6" width="7.28515625" style="1" bestFit="1" customWidth="1"/>
    <col min="7" max="7" width="12.28515625" style="1" bestFit="1" customWidth="1"/>
    <col min="8" max="8" width="11.140625" style="1" bestFit="1" customWidth="1"/>
    <col min="9" max="9" width="6.85546875" style="1" bestFit="1" customWidth="1"/>
    <col min="10" max="10" width="19.5703125" style="1" customWidth="1"/>
    <col min="11" max="11" width="12.28515625" style="1" bestFit="1" customWidth="1"/>
    <col min="12" max="12" width="7.42578125" style="1" bestFit="1" customWidth="1"/>
    <col min="13" max="13" width="8.7109375" style="1" bestFit="1" customWidth="1"/>
    <col min="14" max="14" width="16.85546875" style="1" bestFit="1" customWidth="1"/>
    <col min="15" max="15" width="8" style="1" bestFit="1" customWidth="1"/>
    <col min="16" max="16" width="14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7" t="s">
        <v>180</v>
      </c>
      <c r="C1" s="68" t="s" vm="1">
        <v>270</v>
      </c>
    </row>
    <row r="2" spans="2:18">
      <c r="B2" s="47" t="s">
        <v>179</v>
      </c>
      <c r="C2" s="68" t="s">
        <v>271</v>
      </c>
    </row>
    <row r="3" spans="2:18">
      <c r="B3" s="47" t="s">
        <v>181</v>
      </c>
      <c r="C3" s="68" t="s">
        <v>272</v>
      </c>
    </row>
    <row r="4" spans="2:18">
      <c r="B4" s="47" t="s">
        <v>182</v>
      </c>
      <c r="C4" s="68">
        <v>2102</v>
      </c>
    </row>
    <row r="6" spans="2:18" ht="26.25" customHeight="1">
      <c r="B6" s="163" t="s">
        <v>212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5"/>
    </row>
    <row r="7" spans="2:18" s="3" customFormat="1" ht="78.75">
      <c r="B7" s="48" t="s">
        <v>119</v>
      </c>
      <c r="C7" s="49" t="s">
        <v>226</v>
      </c>
      <c r="D7" s="49" t="s">
        <v>47</v>
      </c>
      <c r="E7" s="49" t="s">
        <v>120</v>
      </c>
      <c r="F7" s="49" t="s">
        <v>14</v>
      </c>
      <c r="G7" s="49" t="s">
        <v>107</v>
      </c>
      <c r="H7" s="49" t="s">
        <v>69</v>
      </c>
      <c r="I7" s="49" t="s">
        <v>17</v>
      </c>
      <c r="J7" s="49" t="s">
        <v>269</v>
      </c>
      <c r="K7" s="49" t="s">
        <v>106</v>
      </c>
      <c r="L7" s="49" t="s">
        <v>36</v>
      </c>
      <c r="M7" s="49" t="s">
        <v>18</v>
      </c>
      <c r="N7" s="49" t="s">
        <v>245</v>
      </c>
      <c r="O7" s="49" t="s">
        <v>244</v>
      </c>
      <c r="P7" s="49" t="s">
        <v>114</v>
      </c>
      <c r="Q7" s="49" t="s">
        <v>183</v>
      </c>
      <c r="R7" s="51" t="s">
        <v>185</v>
      </c>
    </row>
    <row r="8" spans="2:18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252</v>
      </c>
      <c r="O8" s="16"/>
      <c r="P8" s="16" t="s">
        <v>248</v>
      </c>
      <c r="Q8" s="16" t="s">
        <v>19</v>
      </c>
      <c r="R8" s="17" t="s">
        <v>19</v>
      </c>
    </row>
    <row r="9" spans="2:18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116</v>
      </c>
      <c r="R9" s="20" t="s">
        <v>117</v>
      </c>
    </row>
    <row r="10" spans="2:18" s="123" customFormat="1" ht="18" customHeight="1">
      <c r="B10" s="69" t="s">
        <v>41</v>
      </c>
      <c r="C10" s="70"/>
      <c r="D10" s="70"/>
      <c r="E10" s="70"/>
      <c r="F10" s="70"/>
      <c r="G10" s="70"/>
      <c r="H10" s="70"/>
      <c r="I10" s="78">
        <v>4.8766080681074566</v>
      </c>
      <c r="J10" s="70"/>
      <c r="K10" s="70"/>
      <c r="L10" s="70"/>
      <c r="M10" s="93">
        <v>3.5215021715410383E-2</v>
      </c>
      <c r="N10" s="78"/>
      <c r="O10" s="80"/>
      <c r="P10" s="78">
        <f>P11+P243</f>
        <v>5031269.1347900005</v>
      </c>
      <c r="Q10" s="79">
        <f>P10/$P$10</f>
        <v>1</v>
      </c>
      <c r="R10" s="79">
        <f>P10/'סכום נכסי הקרן'!$C$42</f>
        <v>9.6586036483557472E-2</v>
      </c>
    </row>
    <row r="11" spans="2:18" s="122" customFormat="1" ht="21.75" customHeight="1">
      <c r="B11" s="71" t="s">
        <v>39</v>
      </c>
      <c r="C11" s="72"/>
      <c r="D11" s="72"/>
      <c r="E11" s="72"/>
      <c r="F11" s="72"/>
      <c r="G11" s="72"/>
      <c r="H11" s="72"/>
      <c r="I11" s="81">
        <v>5.4199342926264906</v>
      </c>
      <c r="J11" s="72"/>
      <c r="K11" s="72"/>
      <c r="L11" s="72"/>
      <c r="M11" s="94">
        <v>2.9876286136994144E-2</v>
      </c>
      <c r="O11" s="83"/>
      <c r="P11" s="81">
        <f>P12+P16+P37</f>
        <v>2857917.9388499996</v>
      </c>
      <c r="Q11" s="82">
        <f t="shared" ref="Q11:Q14" si="0">P11/$P$10</f>
        <v>0.56803121882075303</v>
      </c>
      <c r="R11" s="82">
        <f>P11/'סכום נכסי הקרן'!$C$42</f>
        <v>5.4863884024820876E-2</v>
      </c>
    </row>
    <row r="12" spans="2:18" s="122" customFormat="1">
      <c r="B12" s="92" t="s">
        <v>88</v>
      </c>
      <c r="C12" s="72"/>
      <c r="D12" s="72"/>
      <c r="E12" s="72"/>
      <c r="F12" s="72"/>
      <c r="G12" s="72"/>
      <c r="H12" s="72"/>
      <c r="I12" s="81">
        <v>2.6853787911224396</v>
      </c>
      <c r="J12" s="72"/>
      <c r="K12" s="72"/>
      <c r="L12" s="72"/>
      <c r="M12" s="94">
        <v>2.2783094975212168E-2</v>
      </c>
      <c r="O12" s="83"/>
      <c r="P12" s="81">
        <v>275868.50799999997</v>
      </c>
      <c r="Q12" s="82">
        <f t="shared" si="0"/>
        <v>5.4830799269400328E-2</v>
      </c>
      <c r="R12" s="82">
        <f>P12/'סכום נכסי הקרן'!$C$42</f>
        <v>5.2958895786569165E-3</v>
      </c>
    </row>
    <row r="13" spans="2:18" s="122" customFormat="1">
      <c r="B13" s="77" t="s">
        <v>2966</v>
      </c>
      <c r="C13" s="87" t="s">
        <v>2967</v>
      </c>
      <c r="D13" s="74" t="s">
        <v>2968</v>
      </c>
      <c r="E13" s="74"/>
      <c r="F13" s="74" t="s">
        <v>2969</v>
      </c>
      <c r="G13" s="97"/>
      <c r="H13" s="74" t="s">
        <v>2923</v>
      </c>
      <c r="I13" s="84">
        <v>3.2099999999999995</v>
      </c>
      <c r="J13" s="87" t="s">
        <v>28</v>
      </c>
      <c r="K13" s="87" t="s">
        <v>165</v>
      </c>
      <c r="L13" s="74"/>
      <c r="M13" s="88">
        <v>1.9599999999999999E-2</v>
      </c>
      <c r="N13" s="84">
        <v>112447513.59999983</v>
      </c>
      <c r="O13" s="86">
        <f>P13/N13*100000</f>
        <v>105.19395178803204</v>
      </c>
      <c r="P13" s="84">
        <v>118287.9832432246</v>
      </c>
      <c r="Q13" s="85">
        <f t="shared" si="0"/>
        <v>2.351056563945109E-2</v>
      </c>
      <c r="R13" s="85">
        <f>P13/'סכום נכסי הקרן'!$C$42</f>
        <v>2.2707923506010957E-3</v>
      </c>
    </row>
    <row r="14" spans="2:18" s="122" customFormat="1">
      <c r="B14" s="77" t="s">
        <v>2970</v>
      </c>
      <c r="C14" s="87" t="s">
        <v>2967</v>
      </c>
      <c r="D14" s="74" t="s">
        <v>2971</v>
      </c>
      <c r="E14" s="74"/>
      <c r="F14" s="74" t="s">
        <v>2969</v>
      </c>
      <c r="G14" s="97"/>
      <c r="H14" s="74" t="s">
        <v>2923</v>
      </c>
      <c r="I14" s="84">
        <v>2.3200000000000003</v>
      </c>
      <c r="J14" s="87" t="s">
        <v>28</v>
      </c>
      <c r="K14" s="87" t="s">
        <v>165</v>
      </c>
      <c r="L14" s="74"/>
      <c r="M14" s="88">
        <v>2.5000000000000001E-2</v>
      </c>
      <c r="N14" s="84">
        <v>149799985.7199997</v>
      </c>
      <c r="O14" s="86">
        <f>P14/N14*100000</f>
        <v>105.19395178803204</v>
      </c>
      <c r="P14" s="84">
        <v>157580.52475677538</v>
      </c>
      <c r="Q14" s="85">
        <f t="shared" si="0"/>
        <v>3.1320233629949241E-2</v>
      </c>
      <c r="R14" s="85">
        <f>P14/'סכום נכסי הקרן'!$C$42</f>
        <v>3.0250972280558208E-3</v>
      </c>
    </row>
    <row r="15" spans="2:18" s="122" customFormat="1"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84"/>
      <c r="O15" s="86"/>
      <c r="P15" s="74"/>
      <c r="Q15" s="85"/>
      <c r="R15" s="74"/>
    </row>
    <row r="16" spans="2:18" s="122" customFormat="1">
      <c r="B16" s="92" t="s">
        <v>37</v>
      </c>
      <c r="C16" s="72"/>
      <c r="D16" s="72"/>
      <c r="E16" s="72"/>
      <c r="F16" s="72"/>
      <c r="G16" s="72"/>
      <c r="H16" s="72"/>
      <c r="I16" s="81">
        <v>8.0048190655522689</v>
      </c>
      <c r="J16" s="72"/>
      <c r="K16" s="72"/>
      <c r="L16" s="72"/>
      <c r="M16" s="94">
        <v>2.1862587252726825E-2</v>
      </c>
      <c r="N16" s="81"/>
      <c r="O16" s="83"/>
      <c r="P16" s="81">
        <f>SUM(P17:P35)</f>
        <v>644212.91831999994</v>
      </c>
      <c r="Q16" s="82">
        <f t="shared" ref="Q16:Q35" si="1">P16/$P$10</f>
        <v>0.12804183220202325</v>
      </c>
      <c r="R16" s="82">
        <f>P16/'סכום נכסי הקרן'!$C$42</f>
        <v>1.2367053076486162E-2</v>
      </c>
    </row>
    <row r="17" spans="2:18" s="122" customFormat="1">
      <c r="B17" s="77" t="s">
        <v>3408</v>
      </c>
      <c r="C17" s="87" t="s">
        <v>2967</v>
      </c>
      <c r="D17" s="74">
        <v>6028</v>
      </c>
      <c r="E17" s="74"/>
      <c r="F17" s="74" t="s">
        <v>725</v>
      </c>
      <c r="G17" s="97">
        <v>43100</v>
      </c>
      <c r="H17" s="74"/>
      <c r="I17" s="84">
        <v>9.89</v>
      </c>
      <c r="J17" s="87" t="s">
        <v>28</v>
      </c>
      <c r="K17" s="87" t="s">
        <v>165</v>
      </c>
      <c r="L17" s="88">
        <v>2.5900000000000003E-2</v>
      </c>
      <c r="M17" s="88">
        <v>2.5900000000000003E-2</v>
      </c>
      <c r="N17" s="84">
        <v>16341935.550000001</v>
      </c>
      <c r="O17" s="86">
        <v>101.67</v>
      </c>
      <c r="P17" s="84">
        <v>16614.845869999997</v>
      </c>
      <c r="Q17" s="85">
        <f t="shared" si="1"/>
        <v>3.3023170545802023E-3</v>
      </c>
      <c r="R17" s="85">
        <f>P17/'סכום נכסי הקרן'!$C$42</f>
        <v>3.1895771551395747E-4</v>
      </c>
    </row>
    <row r="18" spans="2:18" s="122" customFormat="1">
      <c r="B18" s="77" t="s">
        <v>3408</v>
      </c>
      <c r="C18" s="87" t="s">
        <v>2967</v>
      </c>
      <c r="D18" s="74">
        <v>6869</v>
      </c>
      <c r="E18" s="74"/>
      <c r="F18" s="74" t="s">
        <v>725</v>
      </c>
      <c r="G18" s="97">
        <v>43555</v>
      </c>
      <c r="H18" s="74"/>
      <c r="I18" s="84">
        <v>4.8600000000000003</v>
      </c>
      <c r="J18" s="87" t="s">
        <v>28</v>
      </c>
      <c r="K18" s="87" t="s">
        <v>165</v>
      </c>
      <c r="L18" s="88">
        <v>3.6800000000000006E-2</v>
      </c>
      <c r="M18" s="88">
        <v>3.6800000000000006E-2</v>
      </c>
      <c r="N18" s="84">
        <v>4203925.82</v>
      </c>
      <c r="O18" s="86">
        <v>110.23</v>
      </c>
      <c r="P18" s="84">
        <v>4633.9874300000001</v>
      </c>
      <c r="Q18" s="85">
        <f t="shared" si="1"/>
        <v>9.2103747699702758E-4</v>
      </c>
      <c r="R18" s="85">
        <f>P18/'סכום נכסי הקרן'!$C$42</f>
        <v>8.8959359355958646E-5</v>
      </c>
    </row>
    <row r="19" spans="2:18" s="122" customFormat="1">
      <c r="B19" s="77" t="s">
        <v>3408</v>
      </c>
      <c r="C19" s="87" t="s">
        <v>2967</v>
      </c>
      <c r="D19" s="74">
        <v>6870</v>
      </c>
      <c r="E19" s="74"/>
      <c r="F19" s="74" t="s">
        <v>725</v>
      </c>
      <c r="G19" s="97">
        <v>43555</v>
      </c>
      <c r="H19" s="74"/>
      <c r="I19" s="84">
        <v>6.7399999999999993</v>
      </c>
      <c r="J19" s="87" t="s">
        <v>28</v>
      </c>
      <c r="K19" s="87" t="s">
        <v>165</v>
      </c>
      <c r="L19" s="88">
        <v>1.61E-2</v>
      </c>
      <c r="M19" s="88">
        <v>1.61E-2</v>
      </c>
      <c r="N19" s="84">
        <v>41175689.460000001</v>
      </c>
      <c r="O19" s="86">
        <v>101.61</v>
      </c>
      <c r="P19" s="84">
        <v>41838.618060000001</v>
      </c>
      <c r="Q19" s="85">
        <f t="shared" si="1"/>
        <v>8.315718547174538E-3</v>
      </c>
      <c r="R19" s="85">
        <f>P19/'סכום נכסי הקרן'!$C$42</f>
        <v>8.0318229498439558E-4</v>
      </c>
    </row>
    <row r="20" spans="2:18" s="122" customFormat="1">
      <c r="B20" s="77" t="s">
        <v>3408</v>
      </c>
      <c r="C20" s="87" t="s">
        <v>2967</v>
      </c>
      <c r="D20" s="74">
        <v>6868</v>
      </c>
      <c r="E20" s="74"/>
      <c r="F20" s="74" t="s">
        <v>725</v>
      </c>
      <c r="G20" s="97">
        <v>43555</v>
      </c>
      <c r="H20" s="74"/>
      <c r="I20" s="84">
        <v>6.6400000000000015</v>
      </c>
      <c r="J20" s="87" t="s">
        <v>28</v>
      </c>
      <c r="K20" s="87" t="s">
        <v>165</v>
      </c>
      <c r="L20" s="88">
        <v>2.0999999999999998E-2</v>
      </c>
      <c r="M20" s="88">
        <v>2.0999999999999998E-2</v>
      </c>
      <c r="N20" s="84">
        <v>7526814.5199999996</v>
      </c>
      <c r="O20" s="86">
        <v>109.23</v>
      </c>
      <c r="P20" s="84">
        <v>8221.5385499999993</v>
      </c>
      <c r="Q20" s="85">
        <f t="shared" si="1"/>
        <v>1.6340884038880097E-3</v>
      </c>
      <c r="R20" s="85">
        <f>P20/'סכום נכסי הקרן'!$C$42</f>
        <v>1.5783012219528552E-4</v>
      </c>
    </row>
    <row r="21" spans="2:18" s="122" customFormat="1">
      <c r="B21" s="77" t="s">
        <v>3408</v>
      </c>
      <c r="C21" s="87" t="s">
        <v>2967</v>
      </c>
      <c r="D21" s="74">
        <v>6867</v>
      </c>
      <c r="E21" s="74"/>
      <c r="F21" s="74" t="s">
        <v>725</v>
      </c>
      <c r="G21" s="97">
        <v>43555</v>
      </c>
      <c r="H21" s="74"/>
      <c r="I21" s="84">
        <v>6.6099999999999994</v>
      </c>
      <c r="J21" s="87" t="s">
        <v>28</v>
      </c>
      <c r="K21" s="87" t="s">
        <v>165</v>
      </c>
      <c r="L21" s="88">
        <v>1.2699999999999999E-2</v>
      </c>
      <c r="M21" s="88">
        <v>1.2699999999999999E-2</v>
      </c>
      <c r="N21" s="84">
        <v>19030690.050000001</v>
      </c>
      <c r="O21" s="86">
        <v>107.7</v>
      </c>
      <c r="P21" s="84">
        <v>20496.05082</v>
      </c>
      <c r="Q21" s="85">
        <f t="shared" si="1"/>
        <v>4.0737337381287755E-3</v>
      </c>
      <c r="R21" s="85">
        <f>P21/'סכום נכסי הקרן'!$C$42</f>
        <v>3.9346579545520492E-4</v>
      </c>
    </row>
    <row r="22" spans="2:18" s="122" customFormat="1">
      <c r="B22" s="77" t="s">
        <v>3408</v>
      </c>
      <c r="C22" s="87" t="s">
        <v>2967</v>
      </c>
      <c r="D22" s="74">
        <v>6866</v>
      </c>
      <c r="E22" s="74"/>
      <c r="F22" s="74" t="s">
        <v>725</v>
      </c>
      <c r="G22" s="97">
        <v>43555</v>
      </c>
      <c r="H22" s="74"/>
      <c r="I22" s="84">
        <v>7.31</v>
      </c>
      <c r="J22" s="87" t="s">
        <v>28</v>
      </c>
      <c r="K22" s="87" t="s">
        <v>165</v>
      </c>
      <c r="L22" s="88">
        <v>7.0999999999999995E-3</v>
      </c>
      <c r="M22" s="88">
        <v>7.0999999999999995E-3</v>
      </c>
      <c r="N22" s="84">
        <v>26549433.530000001</v>
      </c>
      <c r="O22" s="86">
        <v>103.72</v>
      </c>
      <c r="P22" s="84">
        <v>27537.06926</v>
      </c>
      <c r="Q22" s="85">
        <f t="shared" si="1"/>
        <v>5.4731854969927718E-3</v>
      </c>
      <c r="R22" s="85">
        <f>P22/'סכום נכסי הקרן'!$C$42</f>
        <v>5.2863329409382149E-4</v>
      </c>
    </row>
    <row r="23" spans="2:18" s="122" customFormat="1">
      <c r="B23" s="77" t="s">
        <v>3408</v>
      </c>
      <c r="C23" s="87" t="s">
        <v>2967</v>
      </c>
      <c r="D23" s="74">
        <v>6865</v>
      </c>
      <c r="E23" s="74"/>
      <c r="F23" s="74" t="s">
        <v>725</v>
      </c>
      <c r="G23" s="97">
        <v>43555</v>
      </c>
      <c r="H23" s="74"/>
      <c r="I23" s="84">
        <v>4.8000000000000007</v>
      </c>
      <c r="J23" s="87" t="s">
        <v>28</v>
      </c>
      <c r="K23" s="87" t="s">
        <v>165</v>
      </c>
      <c r="L23" s="88">
        <v>2.5600000000000001E-2</v>
      </c>
      <c r="M23" s="88">
        <v>2.5600000000000001E-2</v>
      </c>
      <c r="N23" s="84">
        <v>18288329.34</v>
      </c>
      <c r="O23" s="86">
        <v>111.51</v>
      </c>
      <c r="P23" s="84">
        <v>20393.31799</v>
      </c>
      <c r="Q23" s="85">
        <f t="shared" si="1"/>
        <v>4.0533148682079384E-3</v>
      </c>
      <c r="R23" s="85">
        <f>P23/'סכום נכסי הקרן'!$C$42</f>
        <v>3.9149361774007792E-4</v>
      </c>
    </row>
    <row r="24" spans="2:18" s="122" customFormat="1">
      <c r="B24" s="77" t="s">
        <v>3408</v>
      </c>
      <c r="C24" s="87" t="s">
        <v>2967</v>
      </c>
      <c r="D24" s="74">
        <v>5212</v>
      </c>
      <c r="E24" s="74"/>
      <c r="F24" s="74" t="s">
        <v>725</v>
      </c>
      <c r="G24" s="97">
        <v>42643</v>
      </c>
      <c r="H24" s="74"/>
      <c r="I24" s="84">
        <v>8.52</v>
      </c>
      <c r="J24" s="87" t="s">
        <v>28</v>
      </c>
      <c r="K24" s="87" t="s">
        <v>165</v>
      </c>
      <c r="L24" s="88">
        <v>2.1099999999999997E-2</v>
      </c>
      <c r="M24" s="88">
        <v>2.1099999999999997E-2</v>
      </c>
      <c r="N24" s="84">
        <v>43512762.75</v>
      </c>
      <c r="O24" s="86">
        <v>99.82</v>
      </c>
      <c r="P24" s="84">
        <f>43434.43978-15.35936</f>
        <v>43419.080419999998</v>
      </c>
      <c r="Q24" s="85">
        <f t="shared" si="1"/>
        <v>8.6298465172072857E-3</v>
      </c>
      <c r="R24" s="85">
        <f>P24/'סכום נכסי הקרן'!$C$42</f>
        <v>8.3352267055848434E-4</v>
      </c>
    </row>
    <row r="25" spans="2:18" s="122" customFormat="1">
      <c r="B25" s="77" t="s">
        <v>3408</v>
      </c>
      <c r="C25" s="87" t="s">
        <v>2967</v>
      </c>
      <c r="D25" s="74">
        <v>5211</v>
      </c>
      <c r="E25" s="74"/>
      <c r="F25" s="74" t="s">
        <v>725</v>
      </c>
      <c r="G25" s="97">
        <v>42643</v>
      </c>
      <c r="H25" s="74"/>
      <c r="I25" s="84">
        <v>5.6499999999999995</v>
      </c>
      <c r="J25" s="87" t="s">
        <v>28</v>
      </c>
      <c r="K25" s="87" t="s">
        <v>165</v>
      </c>
      <c r="L25" s="88">
        <v>3.0899999999999997E-2</v>
      </c>
      <c r="M25" s="88">
        <v>3.0899999999999997E-2</v>
      </c>
      <c r="N25" s="84">
        <v>40531616.759999998</v>
      </c>
      <c r="O25" s="86">
        <v>104.45</v>
      </c>
      <c r="P25" s="84">
        <v>42335.273710000001</v>
      </c>
      <c r="Q25" s="85">
        <f t="shared" si="1"/>
        <v>8.4144323382070538E-3</v>
      </c>
      <c r="R25" s="85">
        <f>P25/'סכום נכסי הקרן'!$C$42</f>
        <v>8.1271666880649229E-4</v>
      </c>
    </row>
    <row r="26" spans="2:18" s="122" customFormat="1">
      <c r="B26" s="77" t="s">
        <v>3408</v>
      </c>
      <c r="C26" s="87" t="s">
        <v>2967</v>
      </c>
      <c r="D26" s="74">
        <v>6027</v>
      </c>
      <c r="E26" s="74"/>
      <c r="F26" s="74" t="s">
        <v>725</v>
      </c>
      <c r="G26" s="97">
        <v>43100</v>
      </c>
      <c r="H26" s="74"/>
      <c r="I26" s="84">
        <v>10.06</v>
      </c>
      <c r="J26" s="87" t="s">
        <v>28</v>
      </c>
      <c r="K26" s="87" t="s">
        <v>165</v>
      </c>
      <c r="L26" s="88">
        <v>2.0899999999999998E-2</v>
      </c>
      <c r="M26" s="88">
        <v>2.0899999999999998E-2</v>
      </c>
      <c r="N26" s="84">
        <v>62392178.340000004</v>
      </c>
      <c r="O26" s="86">
        <v>101.61</v>
      </c>
      <c r="P26" s="84">
        <v>63396.692409999996</v>
      </c>
      <c r="Q26" s="85">
        <f t="shared" si="1"/>
        <v>1.2600536904620608E-2</v>
      </c>
      <c r="R26" s="85">
        <f>P26/'סכום נכסי הקרן'!$C$42</f>
        <v>1.2170359171820985E-3</v>
      </c>
    </row>
    <row r="27" spans="2:18" s="122" customFormat="1">
      <c r="B27" s="77" t="s">
        <v>3408</v>
      </c>
      <c r="C27" s="87" t="s">
        <v>2967</v>
      </c>
      <c r="D27" s="74">
        <v>5025</v>
      </c>
      <c r="E27" s="74"/>
      <c r="F27" s="74" t="s">
        <v>725</v>
      </c>
      <c r="G27" s="97">
        <v>42551</v>
      </c>
      <c r="H27" s="74"/>
      <c r="I27" s="84">
        <v>9.4599999999999991</v>
      </c>
      <c r="J27" s="87" t="s">
        <v>28</v>
      </c>
      <c r="K27" s="87" t="s">
        <v>165</v>
      </c>
      <c r="L27" s="88">
        <v>2.3599999999999999E-2</v>
      </c>
      <c r="M27" s="88">
        <v>2.3599999999999999E-2</v>
      </c>
      <c r="N27" s="84">
        <v>42687375.200000003</v>
      </c>
      <c r="O27" s="86">
        <v>98.34</v>
      </c>
      <c r="P27" s="84">
        <v>41978.764770000002</v>
      </c>
      <c r="Q27" s="85">
        <f t="shared" si="1"/>
        <v>8.3435736879442744E-3</v>
      </c>
      <c r="R27" s="85">
        <f>P27/'סכום נכסי הקרן'!$C$42</f>
        <v>8.0587271262703584E-4</v>
      </c>
    </row>
    <row r="28" spans="2:18" s="122" customFormat="1">
      <c r="B28" s="77" t="s">
        <v>3408</v>
      </c>
      <c r="C28" s="87" t="s">
        <v>2967</v>
      </c>
      <c r="D28" s="74">
        <v>5024</v>
      </c>
      <c r="E28" s="74"/>
      <c r="F28" s="74" t="s">
        <v>725</v>
      </c>
      <c r="G28" s="97">
        <v>42551</v>
      </c>
      <c r="H28" s="74"/>
      <c r="I28" s="84">
        <v>6.8100000000000005</v>
      </c>
      <c r="J28" s="87" t="s">
        <v>28</v>
      </c>
      <c r="K28" s="87" t="s">
        <v>165</v>
      </c>
      <c r="L28" s="88">
        <v>3.2600000000000004E-2</v>
      </c>
      <c r="M28" s="88">
        <v>3.2600000000000004E-2</v>
      </c>
      <c r="N28" s="84">
        <v>32483524.600000001</v>
      </c>
      <c r="O28" s="86">
        <v>107.73</v>
      </c>
      <c r="P28" s="84">
        <v>34994.501049999999</v>
      </c>
      <c r="Q28" s="85">
        <f t="shared" si="1"/>
        <v>6.9554023274210376E-3</v>
      </c>
      <c r="R28" s="85">
        <f>P28/'סכום נכסי הקרן'!$C$42</f>
        <v>6.7179474295410891E-4</v>
      </c>
    </row>
    <row r="29" spans="2:18" s="122" customFormat="1">
      <c r="B29" s="77" t="s">
        <v>3408</v>
      </c>
      <c r="C29" s="87" t="s">
        <v>2967</v>
      </c>
      <c r="D29" s="74">
        <v>6026</v>
      </c>
      <c r="E29" s="74"/>
      <c r="F29" s="74" t="s">
        <v>725</v>
      </c>
      <c r="G29" s="97">
        <v>43100</v>
      </c>
      <c r="H29" s="74"/>
      <c r="I29" s="84">
        <v>7.5399999999999991</v>
      </c>
      <c r="J29" s="87" t="s">
        <v>28</v>
      </c>
      <c r="K29" s="87" t="s">
        <v>165</v>
      </c>
      <c r="L29" s="88">
        <v>3.0699999999999998E-2</v>
      </c>
      <c r="M29" s="88">
        <v>3.0699999999999998E-2</v>
      </c>
      <c r="N29" s="84">
        <v>83178076.599999994</v>
      </c>
      <c r="O29" s="86">
        <v>105.49</v>
      </c>
      <c r="P29" s="84">
        <v>87744.553010000003</v>
      </c>
      <c r="Q29" s="85">
        <f t="shared" si="1"/>
        <v>1.7439844830257199E-2</v>
      </c>
      <c r="R29" s="85">
        <f>P29/'סכום נכסי הקרן'!$C$42</f>
        <v>1.6844454890428031E-3</v>
      </c>
    </row>
    <row r="30" spans="2:18" s="122" customFormat="1">
      <c r="B30" s="77" t="s">
        <v>3408</v>
      </c>
      <c r="C30" s="87" t="s">
        <v>2967</v>
      </c>
      <c r="D30" s="74">
        <v>5023</v>
      </c>
      <c r="E30" s="74"/>
      <c r="F30" s="74" t="s">
        <v>725</v>
      </c>
      <c r="G30" s="97">
        <v>42551</v>
      </c>
      <c r="H30" s="74"/>
      <c r="I30" s="84">
        <v>9.49</v>
      </c>
      <c r="J30" s="87" t="s">
        <v>28</v>
      </c>
      <c r="K30" s="87" t="s">
        <v>165</v>
      </c>
      <c r="L30" s="88">
        <v>1.55E-2</v>
      </c>
      <c r="M30" s="88">
        <v>1.55E-2</v>
      </c>
      <c r="N30" s="84">
        <v>38341856.060000002</v>
      </c>
      <c r="O30" s="86">
        <v>99.13</v>
      </c>
      <c r="P30" s="84">
        <v>38008.264819999997</v>
      </c>
      <c r="Q30" s="85">
        <f t="shared" si="1"/>
        <v>7.5544089973605478E-3</v>
      </c>
      <c r="R30" s="85">
        <f>P30/'סכום נכסי הקרן'!$C$42</f>
        <v>7.2965042303078074E-4</v>
      </c>
    </row>
    <row r="31" spans="2:18" s="122" customFormat="1">
      <c r="B31" s="77" t="s">
        <v>3408</v>
      </c>
      <c r="C31" s="87" t="s">
        <v>2967</v>
      </c>
      <c r="D31" s="74">
        <v>5210</v>
      </c>
      <c r="E31" s="74"/>
      <c r="F31" s="74" t="s">
        <v>725</v>
      </c>
      <c r="G31" s="97">
        <v>42643</v>
      </c>
      <c r="H31" s="74"/>
      <c r="I31" s="84">
        <v>8.67</v>
      </c>
      <c r="J31" s="87" t="s">
        <v>28</v>
      </c>
      <c r="K31" s="87" t="s">
        <v>165</v>
      </c>
      <c r="L31" s="88">
        <v>8.6999999999999994E-3</v>
      </c>
      <c r="M31" s="88">
        <v>8.6999999999999994E-3</v>
      </c>
      <c r="N31" s="84">
        <v>31745916.289999999</v>
      </c>
      <c r="O31" s="86">
        <v>104.81</v>
      </c>
      <c r="P31" s="84">
        <f>33272.88082-2.98612</f>
        <v>33269.894699999997</v>
      </c>
      <c r="Q31" s="85">
        <f t="shared" si="1"/>
        <v>6.6126247292053568E-3</v>
      </c>
      <c r="R31" s="85">
        <f>P31/'סכום נכסי הקרן'!$C$42</f>
        <v>6.3868721334710298E-4</v>
      </c>
    </row>
    <row r="32" spans="2:18" s="122" customFormat="1">
      <c r="B32" s="77" t="s">
        <v>3408</v>
      </c>
      <c r="C32" s="87" t="s">
        <v>2967</v>
      </c>
      <c r="D32" s="74">
        <v>6025</v>
      </c>
      <c r="E32" s="74"/>
      <c r="F32" s="74" t="s">
        <v>725</v>
      </c>
      <c r="G32" s="97">
        <v>43100</v>
      </c>
      <c r="H32" s="74"/>
      <c r="I32" s="84">
        <v>9.8800000000000008</v>
      </c>
      <c r="J32" s="87" t="s">
        <v>28</v>
      </c>
      <c r="K32" s="87" t="s">
        <v>165</v>
      </c>
      <c r="L32" s="88">
        <v>1.54E-2</v>
      </c>
      <c r="M32" s="88">
        <v>1.54E-2</v>
      </c>
      <c r="N32" s="84">
        <v>34816209.710000001</v>
      </c>
      <c r="O32" s="86">
        <v>106.84</v>
      </c>
      <c r="P32" s="84">
        <v>37197.6342</v>
      </c>
      <c r="Q32" s="85">
        <f t="shared" si="1"/>
        <v>7.3932904806835757E-3</v>
      </c>
      <c r="R32" s="85">
        <f>P32/'סכום נכסי הקרן'!$C$42</f>
        <v>7.1408862410084206E-4</v>
      </c>
    </row>
    <row r="33" spans="2:18" s="122" customFormat="1">
      <c r="B33" s="77" t="s">
        <v>3408</v>
      </c>
      <c r="C33" s="87" t="s">
        <v>2967</v>
      </c>
      <c r="D33" s="74">
        <v>5022</v>
      </c>
      <c r="E33" s="74"/>
      <c r="F33" s="74" t="s">
        <v>725</v>
      </c>
      <c r="G33" s="97">
        <v>42551</v>
      </c>
      <c r="H33" s="74"/>
      <c r="I33" s="84">
        <v>7.87</v>
      </c>
      <c r="J33" s="87" t="s">
        <v>28</v>
      </c>
      <c r="K33" s="87" t="s">
        <v>165</v>
      </c>
      <c r="L33" s="88">
        <v>2.5100000000000001E-2</v>
      </c>
      <c r="M33" s="88">
        <v>2.5100000000000001E-2</v>
      </c>
      <c r="N33" s="84">
        <v>28096079.079999998</v>
      </c>
      <c r="O33" s="86">
        <v>102.6</v>
      </c>
      <c r="P33" s="84">
        <v>28826.569449999999</v>
      </c>
      <c r="Q33" s="85">
        <f t="shared" si="1"/>
        <v>5.7294826966562554E-3</v>
      </c>
      <c r="R33" s="85">
        <f>P33/'סכום נכסי הקרן'!$C$42</f>
        <v>5.533880247711524E-4</v>
      </c>
    </row>
    <row r="34" spans="2:18" s="122" customFormat="1">
      <c r="B34" s="77" t="s">
        <v>3408</v>
      </c>
      <c r="C34" s="87" t="s">
        <v>2967</v>
      </c>
      <c r="D34" s="74">
        <v>6024</v>
      </c>
      <c r="E34" s="74"/>
      <c r="F34" s="74" t="s">
        <v>725</v>
      </c>
      <c r="G34" s="97">
        <v>43100</v>
      </c>
      <c r="H34" s="74"/>
      <c r="I34" s="84">
        <v>8.56</v>
      </c>
      <c r="J34" s="87" t="s">
        <v>28</v>
      </c>
      <c r="K34" s="87" t="s">
        <v>165</v>
      </c>
      <c r="L34" s="88">
        <v>1.9500000000000003E-2</v>
      </c>
      <c r="M34" s="88">
        <v>1.9500000000000003E-2</v>
      </c>
      <c r="N34" s="84">
        <v>27031591.07</v>
      </c>
      <c r="O34" s="86">
        <v>107.64</v>
      </c>
      <c r="P34" s="84">
        <v>29096.80731</v>
      </c>
      <c r="Q34" s="85">
        <f t="shared" si="1"/>
        <v>5.7831943651757102E-3</v>
      </c>
      <c r="R34" s="85">
        <f>P34/'סכום נכסי הקרן'!$C$42</f>
        <v>5.5857582194636509E-4</v>
      </c>
    </row>
    <row r="35" spans="2:18" s="122" customFormat="1">
      <c r="B35" s="77" t="s">
        <v>3408</v>
      </c>
      <c r="C35" s="87" t="s">
        <v>2967</v>
      </c>
      <c r="D35" s="74">
        <v>5209</v>
      </c>
      <c r="E35" s="74"/>
      <c r="F35" s="74" t="s">
        <v>725</v>
      </c>
      <c r="G35" s="97">
        <v>42643</v>
      </c>
      <c r="H35" s="74"/>
      <c r="I35" s="84">
        <v>6.7</v>
      </c>
      <c r="J35" s="87" t="s">
        <v>28</v>
      </c>
      <c r="K35" s="87" t="s">
        <v>165</v>
      </c>
      <c r="L35" s="88">
        <v>2.2399999999999996E-2</v>
      </c>
      <c r="M35" s="88">
        <v>2.2399999999999996E-2</v>
      </c>
      <c r="N35" s="84">
        <v>23420433.629999999</v>
      </c>
      <c r="O35" s="86">
        <v>103.4</v>
      </c>
      <c r="P35" s="84">
        <f>24216.73543-7.28094</f>
        <v>24209.45449</v>
      </c>
      <c r="Q35" s="85">
        <f t="shared" si="1"/>
        <v>4.8117987413150926E-3</v>
      </c>
      <c r="R35" s="85">
        <f>P35/'סכום נכסי הקרן'!$C$42</f>
        <v>4.6475256878019549E-4</v>
      </c>
    </row>
    <row r="36" spans="2:18" s="122" customFormat="1"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84"/>
      <c r="O36" s="86"/>
      <c r="P36" s="81"/>
      <c r="Q36" s="85"/>
      <c r="R36" s="74"/>
    </row>
    <row r="37" spans="2:18" s="122" customFormat="1">
      <c r="B37" s="92" t="s">
        <v>38</v>
      </c>
      <c r="C37" s="72"/>
      <c r="D37" s="72"/>
      <c r="E37" s="72"/>
      <c r="F37" s="72"/>
      <c r="G37" s="72"/>
      <c r="H37" s="72"/>
      <c r="I37" s="81">
        <v>4.9468951415231874</v>
      </c>
      <c r="J37" s="72"/>
      <c r="K37" s="72"/>
      <c r="L37" s="72"/>
      <c r="M37" s="94">
        <v>3.3542583968750754E-2</v>
      </c>
      <c r="N37" s="81"/>
      <c r="O37" s="83"/>
      <c r="P37" s="81">
        <f>SUM(P38:P241)</f>
        <v>1937836.5125299999</v>
      </c>
      <c r="Q37" s="82">
        <f t="shared" ref="Q37:Q100" si="2">P37/$P$10</f>
        <v>0.38515858734932951</v>
      </c>
      <c r="R37" s="82">
        <f>P37/'סכום נכסי הקרן'!$C$42</f>
        <v>3.7200941369677797E-2</v>
      </c>
    </row>
    <row r="38" spans="2:18" s="122" customFormat="1">
      <c r="B38" s="77" t="s">
        <v>3409</v>
      </c>
      <c r="C38" s="87" t="s">
        <v>2972</v>
      </c>
      <c r="D38" s="74" t="s">
        <v>2973</v>
      </c>
      <c r="E38" s="74"/>
      <c r="F38" s="74" t="s">
        <v>427</v>
      </c>
      <c r="G38" s="97">
        <v>42368</v>
      </c>
      <c r="H38" s="74" t="s">
        <v>356</v>
      </c>
      <c r="I38" s="84">
        <v>9.009999999999998</v>
      </c>
      <c r="J38" s="87" t="s">
        <v>159</v>
      </c>
      <c r="K38" s="87" t="s">
        <v>165</v>
      </c>
      <c r="L38" s="88">
        <v>3.1699999999999999E-2</v>
      </c>
      <c r="M38" s="88">
        <v>1.6499999999999994E-2</v>
      </c>
      <c r="N38" s="84">
        <v>3751190.94</v>
      </c>
      <c r="O38" s="86">
        <v>115.57</v>
      </c>
      <c r="P38" s="84">
        <v>4335.2514800000008</v>
      </c>
      <c r="Q38" s="85">
        <f t="shared" si="2"/>
        <v>8.6166161337361037E-4</v>
      </c>
      <c r="R38" s="85">
        <f>P38/'סכום נכסי הקרן'!$C$42</f>
        <v>8.3224480025784531E-5</v>
      </c>
    </row>
    <row r="39" spans="2:18" s="122" customFormat="1">
      <c r="B39" s="77" t="s">
        <v>3409</v>
      </c>
      <c r="C39" s="87" t="s">
        <v>2972</v>
      </c>
      <c r="D39" s="74" t="s">
        <v>2974</v>
      </c>
      <c r="E39" s="74"/>
      <c r="F39" s="74" t="s">
        <v>427</v>
      </c>
      <c r="G39" s="97">
        <v>42388</v>
      </c>
      <c r="H39" s="74" t="s">
        <v>356</v>
      </c>
      <c r="I39" s="84">
        <v>9.0100000000000016</v>
      </c>
      <c r="J39" s="87" t="s">
        <v>159</v>
      </c>
      <c r="K39" s="87" t="s">
        <v>165</v>
      </c>
      <c r="L39" s="88">
        <v>3.1899999999999998E-2</v>
      </c>
      <c r="M39" s="88">
        <v>1.6799999999999999E-2</v>
      </c>
      <c r="N39" s="84">
        <v>5251667.3099999996</v>
      </c>
      <c r="O39" s="86">
        <v>115.65</v>
      </c>
      <c r="P39" s="84">
        <v>6073.5533099999993</v>
      </c>
      <c r="Q39" s="85">
        <f t="shared" si="2"/>
        <v>1.2071612842181026E-3</v>
      </c>
      <c r="R39" s="85">
        <f>P39/'סכום נכסי הקרן'!$C$42</f>
        <v>1.1659492383902777E-4</v>
      </c>
    </row>
    <row r="40" spans="2:18" s="122" customFormat="1">
      <c r="B40" s="77" t="s">
        <v>3409</v>
      </c>
      <c r="C40" s="87" t="s">
        <v>2972</v>
      </c>
      <c r="D40" s="74" t="s">
        <v>2975</v>
      </c>
      <c r="E40" s="74"/>
      <c r="F40" s="74" t="s">
        <v>427</v>
      </c>
      <c r="G40" s="97">
        <v>42509</v>
      </c>
      <c r="H40" s="74" t="s">
        <v>356</v>
      </c>
      <c r="I40" s="84">
        <v>9.09</v>
      </c>
      <c r="J40" s="87" t="s">
        <v>159</v>
      </c>
      <c r="K40" s="87" t="s">
        <v>165</v>
      </c>
      <c r="L40" s="88">
        <v>2.7400000000000001E-2</v>
      </c>
      <c r="M40" s="88">
        <v>1.8600000000000002E-2</v>
      </c>
      <c r="N40" s="84">
        <v>5251667.3099999996</v>
      </c>
      <c r="O40" s="86">
        <v>110.22</v>
      </c>
      <c r="P40" s="84">
        <v>5788.3878299999997</v>
      </c>
      <c r="Q40" s="85">
        <f t="shared" si="2"/>
        <v>1.1504826466099195E-3</v>
      </c>
      <c r="R40" s="85">
        <f>P40/'סכום נכסי הקרן'!$C$42</f>
        <v>1.1112055887916545E-4</v>
      </c>
    </row>
    <row r="41" spans="2:18" s="122" customFormat="1">
      <c r="B41" s="77" t="s">
        <v>3409</v>
      </c>
      <c r="C41" s="87" t="s">
        <v>2972</v>
      </c>
      <c r="D41" s="74" t="s">
        <v>2976</v>
      </c>
      <c r="E41" s="74"/>
      <c r="F41" s="74" t="s">
        <v>427</v>
      </c>
      <c r="G41" s="97">
        <v>42723</v>
      </c>
      <c r="H41" s="74" t="s">
        <v>356</v>
      </c>
      <c r="I41" s="84">
        <v>8.8199999999999985</v>
      </c>
      <c r="J41" s="87" t="s">
        <v>159</v>
      </c>
      <c r="K41" s="87" t="s">
        <v>165</v>
      </c>
      <c r="L41" s="88">
        <v>3.15E-2</v>
      </c>
      <c r="M41" s="88">
        <v>2.6699999999999998E-2</v>
      </c>
      <c r="N41" s="84">
        <v>750238.18</v>
      </c>
      <c r="O41" s="86">
        <v>105.94</v>
      </c>
      <c r="P41" s="84">
        <v>794.80226000000005</v>
      </c>
      <c r="Q41" s="85">
        <f t="shared" si="2"/>
        <v>1.5797251920079887E-4</v>
      </c>
      <c r="R41" s="85">
        <f>P41/'סכום נכסי הקרן'!$C$42</f>
        <v>1.5257939502927844E-5</v>
      </c>
    </row>
    <row r="42" spans="2:18" s="122" customFormat="1">
      <c r="B42" s="77" t="s">
        <v>3409</v>
      </c>
      <c r="C42" s="87" t="s">
        <v>2972</v>
      </c>
      <c r="D42" s="74" t="s">
        <v>2977</v>
      </c>
      <c r="E42" s="74"/>
      <c r="F42" s="74" t="s">
        <v>427</v>
      </c>
      <c r="G42" s="97">
        <v>42918</v>
      </c>
      <c r="H42" s="74" t="s">
        <v>356</v>
      </c>
      <c r="I42" s="84">
        <v>8.67</v>
      </c>
      <c r="J42" s="87" t="s">
        <v>159</v>
      </c>
      <c r="K42" s="87" t="s">
        <v>165</v>
      </c>
      <c r="L42" s="88">
        <v>3.1899999999999998E-2</v>
      </c>
      <c r="M42" s="88">
        <v>3.3400000000000006E-2</v>
      </c>
      <c r="N42" s="84">
        <v>3751190.94</v>
      </c>
      <c r="O42" s="86">
        <v>99.7</v>
      </c>
      <c r="P42" s="84">
        <v>3739.9372100000001</v>
      </c>
      <c r="Q42" s="85">
        <f t="shared" si="2"/>
        <v>7.4333873021008659E-4</v>
      </c>
      <c r="R42" s="85">
        <f>P42/'סכום נכסי הקרן'!$C$42</f>
        <v>7.1796141715712707E-5</v>
      </c>
    </row>
    <row r="43" spans="2:18" s="122" customFormat="1">
      <c r="B43" s="77" t="s">
        <v>3410</v>
      </c>
      <c r="C43" s="87" t="s">
        <v>2972</v>
      </c>
      <c r="D43" s="74" t="s">
        <v>2978</v>
      </c>
      <c r="E43" s="74"/>
      <c r="F43" s="74" t="s">
        <v>427</v>
      </c>
      <c r="G43" s="97">
        <v>43915</v>
      </c>
      <c r="H43" s="74" t="s">
        <v>356</v>
      </c>
      <c r="I43" s="84">
        <v>8.9600000000000009</v>
      </c>
      <c r="J43" s="87" t="s">
        <v>159</v>
      </c>
      <c r="K43" s="87" t="s">
        <v>165</v>
      </c>
      <c r="L43" s="88">
        <v>2.6600000000000002E-2</v>
      </c>
      <c r="M43" s="88">
        <v>2.6199999999999998E-2</v>
      </c>
      <c r="N43" s="84">
        <v>7897244.04</v>
      </c>
      <c r="O43" s="86">
        <v>100.58</v>
      </c>
      <c r="P43" s="84">
        <v>7943.0484000000006</v>
      </c>
      <c r="Q43" s="85">
        <f t="shared" si="2"/>
        <v>1.5787365348984724E-3</v>
      </c>
      <c r="R43" s="85">
        <f>P43/'סכום נכסי הקרן'!$C$42</f>
        <v>1.5248390455762897E-4</v>
      </c>
    </row>
    <row r="44" spans="2:18" s="122" customFormat="1">
      <c r="B44" s="77" t="s">
        <v>3411</v>
      </c>
      <c r="C44" s="87" t="s">
        <v>2972</v>
      </c>
      <c r="D44" s="74" t="s">
        <v>2979</v>
      </c>
      <c r="E44" s="74"/>
      <c r="F44" s="74" t="s">
        <v>464</v>
      </c>
      <c r="G44" s="97">
        <v>42229</v>
      </c>
      <c r="H44" s="74" t="s">
        <v>163</v>
      </c>
      <c r="I44" s="84">
        <v>3.6500000000000004</v>
      </c>
      <c r="J44" s="87" t="s">
        <v>159</v>
      </c>
      <c r="K44" s="87" t="s">
        <v>164</v>
      </c>
      <c r="L44" s="88">
        <v>9.8519999999999996E-2</v>
      </c>
      <c r="M44" s="88">
        <v>2.3199999999999998E-2</v>
      </c>
      <c r="N44" s="84">
        <v>7128076.4100000001</v>
      </c>
      <c r="O44" s="86">
        <v>132.09</v>
      </c>
      <c r="P44" s="84">
        <v>33566.172399999996</v>
      </c>
      <c r="Q44" s="85">
        <f t="shared" si="2"/>
        <v>6.6715119984136987E-3</v>
      </c>
      <c r="R44" s="85">
        <f>P44/'סכום נכסי הקרן'!$C$42</f>
        <v>6.4437490127927698E-4</v>
      </c>
    </row>
    <row r="45" spans="2:18" s="122" customFormat="1">
      <c r="B45" s="77" t="s">
        <v>3411</v>
      </c>
      <c r="C45" s="87" t="s">
        <v>2972</v>
      </c>
      <c r="D45" s="74" t="s">
        <v>2980</v>
      </c>
      <c r="E45" s="74"/>
      <c r="F45" s="74" t="s">
        <v>464</v>
      </c>
      <c r="G45" s="97">
        <v>43277</v>
      </c>
      <c r="H45" s="74" t="s">
        <v>163</v>
      </c>
      <c r="I45" s="84">
        <v>3.65</v>
      </c>
      <c r="J45" s="87" t="s">
        <v>159</v>
      </c>
      <c r="K45" s="87" t="s">
        <v>164</v>
      </c>
      <c r="L45" s="88">
        <v>9.8519999999999996E-2</v>
      </c>
      <c r="M45" s="88">
        <v>2.3199999999999998E-2</v>
      </c>
      <c r="N45" s="84">
        <v>14659131.57</v>
      </c>
      <c r="O45" s="86">
        <v>132.09</v>
      </c>
      <c r="P45" s="84">
        <v>69029.975160000002</v>
      </c>
      <c r="Q45" s="85">
        <f t="shared" si="2"/>
        <v>1.3720191329594065E-2</v>
      </c>
      <c r="R45" s="85">
        <f>P45/'סכום נכסי הקרן'!$C$42</f>
        <v>1.3251789003215614E-3</v>
      </c>
    </row>
    <row r="46" spans="2:18" s="122" customFormat="1">
      <c r="B46" s="77" t="s">
        <v>3411</v>
      </c>
      <c r="C46" s="87" t="s">
        <v>2972</v>
      </c>
      <c r="D46" s="74" t="s">
        <v>2981</v>
      </c>
      <c r="E46" s="74"/>
      <c r="F46" s="74" t="s">
        <v>464</v>
      </c>
      <c r="G46" s="97">
        <v>41274</v>
      </c>
      <c r="H46" s="74" t="s">
        <v>163</v>
      </c>
      <c r="I46" s="84">
        <v>3.54</v>
      </c>
      <c r="J46" s="87" t="s">
        <v>159</v>
      </c>
      <c r="K46" s="87" t="s">
        <v>165</v>
      </c>
      <c r="L46" s="88">
        <v>3.8450999999999999E-2</v>
      </c>
      <c r="M46" s="88">
        <v>1.2700000000000003E-2</v>
      </c>
      <c r="N46" s="84">
        <v>50619414.789999999</v>
      </c>
      <c r="O46" s="86">
        <v>141.43</v>
      </c>
      <c r="P46" s="84">
        <v>71591.068709999992</v>
      </c>
      <c r="Q46" s="85">
        <f t="shared" si="2"/>
        <v>1.4229226620966307E-2</v>
      </c>
      <c r="R46" s="85">
        <f>P46/'סכום נכסי הקרן'!$C$42</f>
        <v>1.3743446015454591E-3</v>
      </c>
    </row>
    <row r="47" spans="2:18" s="122" customFormat="1">
      <c r="B47" s="77" t="s">
        <v>3412</v>
      </c>
      <c r="C47" s="87" t="s">
        <v>2967</v>
      </c>
      <c r="D47" s="74">
        <v>6686</v>
      </c>
      <c r="E47" s="74"/>
      <c r="F47" s="74" t="s">
        <v>2982</v>
      </c>
      <c r="G47" s="97">
        <v>43471</v>
      </c>
      <c r="H47" s="74" t="s">
        <v>2923</v>
      </c>
      <c r="I47" s="84">
        <v>0.76000000000000012</v>
      </c>
      <c r="J47" s="87" t="s">
        <v>159</v>
      </c>
      <c r="K47" s="87" t="s">
        <v>165</v>
      </c>
      <c r="L47" s="88">
        <v>2.2970000000000001E-2</v>
      </c>
      <c r="M47" s="88">
        <v>2.58E-2</v>
      </c>
      <c r="N47" s="84">
        <v>49569998</v>
      </c>
      <c r="O47" s="86">
        <v>100.33</v>
      </c>
      <c r="P47" s="84">
        <v>49733.579469999997</v>
      </c>
      <c r="Q47" s="85">
        <f t="shared" si="2"/>
        <v>9.8848974558137653E-3</v>
      </c>
      <c r="R47" s="85">
        <f>P47/'סכום נכסי הקרן'!$C$42</f>
        <v>9.5474306630345272E-4</v>
      </c>
    </row>
    <row r="48" spans="2:18" s="122" customFormat="1">
      <c r="B48" s="77" t="s">
        <v>3413</v>
      </c>
      <c r="C48" s="87" t="s">
        <v>2967</v>
      </c>
      <c r="D48" s="74" t="s">
        <v>2983</v>
      </c>
      <c r="E48" s="74"/>
      <c r="F48" s="74" t="s">
        <v>2982</v>
      </c>
      <c r="G48" s="97">
        <v>42201</v>
      </c>
      <c r="H48" s="74" t="s">
        <v>2923</v>
      </c>
      <c r="I48" s="84">
        <v>6.58</v>
      </c>
      <c r="J48" s="87" t="s">
        <v>3376</v>
      </c>
      <c r="K48" s="87" t="s">
        <v>165</v>
      </c>
      <c r="L48" s="88">
        <v>4.2030000000000005E-2</v>
      </c>
      <c r="M48" s="88">
        <v>3.1699999999999992E-2</v>
      </c>
      <c r="N48" s="84">
        <v>2545253.16</v>
      </c>
      <c r="O48" s="86">
        <v>108.32</v>
      </c>
      <c r="P48" s="84">
        <v>2757.0181600000001</v>
      </c>
      <c r="Q48" s="85">
        <f t="shared" si="2"/>
        <v>5.4797668066211981E-4</v>
      </c>
      <c r="R48" s="85">
        <f>P48/'סכום נכסי הקרן'!$C$42</f>
        <v>5.2926895670570231E-5</v>
      </c>
    </row>
    <row r="49" spans="2:18" s="122" customFormat="1">
      <c r="B49" s="77" t="s">
        <v>3413</v>
      </c>
      <c r="C49" s="87" t="s">
        <v>2972</v>
      </c>
      <c r="D49" s="74" t="s">
        <v>2984</v>
      </c>
      <c r="E49" s="74"/>
      <c r="F49" s="74" t="s">
        <v>2982</v>
      </c>
      <c r="G49" s="97">
        <v>40742</v>
      </c>
      <c r="H49" s="74" t="s">
        <v>2923</v>
      </c>
      <c r="I49" s="84">
        <v>4.74</v>
      </c>
      <c r="J49" s="87" t="s">
        <v>3376</v>
      </c>
      <c r="K49" s="87" t="s">
        <v>165</v>
      </c>
      <c r="L49" s="88">
        <v>4.4999999999999998E-2</v>
      </c>
      <c r="M49" s="88">
        <v>9.8999999999999991E-3</v>
      </c>
      <c r="N49" s="84">
        <v>30889294.960000001</v>
      </c>
      <c r="O49" s="86">
        <v>122.42</v>
      </c>
      <c r="P49" s="84">
        <v>37814.673289999999</v>
      </c>
      <c r="Q49" s="85">
        <f t="shared" si="2"/>
        <v>7.5159313240710469E-3</v>
      </c>
      <c r="R49" s="85">
        <f>P49/'סכום נכסי הקרן'!$C$42</f>
        <v>7.259340170746386E-4</v>
      </c>
    </row>
    <row r="50" spans="2:18" s="122" customFormat="1">
      <c r="B50" s="77" t="s">
        <v>3414</v>
      </c>
      <c r="C50" s="87" t="s">
        <v>2972</v>
      </c>
      <c r="D50" s="74" t="s">
        <v>2985</v>
      </c>
      <c r="E50" s="74"/>
      <c r="F50" s="74" t="s">
        <v>549</v>
      </c>
      <c r="G50" s="97">
        <v>43431</v>
      </c>
      <c r="H50" s="74" t="s">
        <v>356</v>
      </c>
      <c r="I50" s="84">
        <v>9.4</v>
      </c>
      <c r="J50" s="87" t="s">
        <v>2986</v>
      </c>
      <c r="K50" s="87" t="s">
        <v>165</v>
      </c>
      <c r="L50" s="88">
        <v>3.9599999999999996E-2</v>
      </c>
      <c r="M50" s="88">
        <v>4.3300000000000012E-2</v>
      </c>
      <c r="N50" s="84">
        <v>2610359.0099999998</v>
      </c>
      <c r="O50" s="86">
        <v>97.21</v>
      </c>
      <c r="P50" s="84">
        <v>2537.5299799999998</v>
      </c>
      <c r="Q50" s="85">
        <f t="shared" si="2"/>
        <v>5.0435186669971557E-4</v>
      </c>
      <c r="R50" s="85">
        <f>P50/'סכום נכסי הקרן'!$C$42</f>
        <v>4.8713347797609051E-5</v>
      </c>
    </row>
    <row r="51" spans="2:18" s="122" customFormat="1">
      <c r="B51" s="77" t="s">
        <v>3414</v>
      </c>
      <c r="C51" s="87" t="s">
        <v>2972</v>
      </c>
      <c r="D51" s="74" t="s">
        <v>2987</v>
      </c>
      <c r="E51" s="74"/>
      <c r="F51" s="74" t="s">
        <v>549</v>
      </c>
      <c r="G51" s="97">
        <v>43276</v>
      </c>
      <c r="H51" s="74" t="s">
        <v>356</v>
      </c>
      <c r="I51" s="84">
        <v>9.4599999999999991</v>
      </c>
      <c r="J51" s="87" t="s">
        <v>2986</v>
      </c>
      <c r="K51" s="87" t="s">
        <v>165</v>
      </c>
      <c r="L51" s="88">
        <v>3.56E-2</v>
      </c>
      <c r="M51" s="88">
        <v>4.4500000000000005E-2</v>
      </c>
      <c r="N51" s="84">
        <v>2608742.08</v>
      </c>
      <c r="O51" s="86">
        <v>92.6</v>
      </c>
      <c r="P51" s="84">
        <v>2415.6950899999997</v>
      </c>
      <c r="Q51" s="85">
        <f t="shared" si="2"/>
        <v>4.8013632848540276E-4</v>
      </c>
      <c r="R51" s="85">
        <f>P51/'סכום נכסי הקרן'!$C$42</f>
        <v>4.6374464940172449E-5</v>
      </c>
    </row>
    <row r="52" spans="2:18" s="122" customFormat="1">
      <c r="B52" s="77" t="s">
        <v>3414</v>
      </c>
      <c r="C52" s="87" t="s">
        <v>2972</v>
      </c>
      <c r="D52" s="74" t="s">
        <v>2988</v>
      </c>
      <c r="E52" s="74"/>
      <c r="F52" s="74" t="s">
        <v>549</v>
      </c>
      <c r="G52" s="97">
        <v>43222</v>
      </c>
      <c r="H52" s="74" t="s">
        <v>356</v>
      </c>
      <c r="I52" s="84">
        <v>9.4700000000000006</v>
      </c>
      <c r="J52" s="87" t="s">
        <v>2986</v>
      </c>
      <c r="K52" s="87" t="s">
        <v>165</v>
      </c>
      <c r="L52" s="88">
        <v>3.5200000000000002E-2</v>
      </c>
      <c r="M52" s="88">
        <v>4.4599999999999994E-2</v>
      </c>
      <c r="N52" s="84">
        <v>12470028.59</v>
      </c>
      <c r="O52" s="86">
        <v>93.01</v>
      </c>
      <c r="P52" s="84">
        <v>11598.37285</v>
      </c>
      <c r="Q52" s="85">
        <f t="shared" si="2"/>
        <v>2.3052578860868478E-3</v>
      </c>
      <c r="R52" s="85">
        <f>P52/'סכום נכסי הקרן'!$C$42</f>
        <v>2.2265572228959287E-4</v>
      </c>
    </row>
    <row r="53" spans="2:18" s="122" customFormat="1">
      <c r="B53" s="77" t="s">
        <v>3414</v>
      </c>
      <c r="C53" s="87" t="s">
        <v>2972</v>
      </c>
      <c r="D53" s="74" t="s">
        <v>2989</v>
      </c>
      <c r="E53" s="74"/>
      <c r="F53" s="74" t="s">
        <v>549</v>
      </c>
      <c r="G53" s="97">
        <v>43500</v>
      </c>
      <c r="H53" s="74" t="s">
        <v>356</v>
      </c>
      <c r="I53" s="84">
        <v>9.5300000000000011</v>
      </c>
      <c r="J53" s="87" t="s">
        <v>2986</v>
      </c>
      <c r="K53" s="87" t="s">
        <v>165</v>
      </c>
      <c r="L53" s="88">
        <v>3.7499999999999999E-2</v>
      </c>
      <c r="M53" s="88">
        <v>4.0200000000000007E-2</v>
      </c>
      <c r="N53" s="84">
        <v>4907706.54</v>
      </c>
      <c r="O53" s="86">
        <v>98.1</v>
      </c>
      <c r="P53" s="84">
        <v>4814.45993</v>
      </c>
      <c r="Q53" s="85">
        <f t="shared" si="2"/>
        <v>9.5690765113501527E-4</v>
      </c>
      <c r="R53" s="85">
        <f>P53/'סכום נכסי הקרן'!$C$42</f>
        <v>9.2423917303921874E-5</v>
      </c>
    </row>
    <row r="54" spans="2:18" s="122" customFormat="1">
      <c r="B54" s="77" t="s">
        <v>3414</v>
      </c>
      <c r="C54" s="87" t="s">
        <v>2972</v>
      </c>
      <c r="D54" s="74" t="s">
        <v>2990</v>
      </c>
      <c r="E54" s="74"/>
      <c r="F54" s="74" t="s">
        <v>549</v>
      </c>
      <c r="G54" s="97">
        <v>43585</v>
      </c>
      <c r="H54" s="74" t="s">
        <v>356</v>
      </c>
      <c r="I54" s="84">
        <v>9.629999999999999</v>
      </c>
      <c r="J54" s="87" t="s">
        <v>2986</v>
      </c>
      <c r="K54" s="87" t="s">
        <v>165</v>
      </c>
      <c r="L54" s="88">
        <v>3.3500000000000002E-2</v>
      </c>
      <c r="M54" s="88">
        <v>4.0299999999999996E-2</v>
      </c>
      <c r="N54" s="84">
        <v>4963823.29</v>
      </c>
      <c r="O54" s="86">
        <v>94.27</v>
      </c>
      <c r="P54" s="84">
        <v>4679.3963200000007</v>
      </c>
      <c r="Q54" s="85">
        <f t="shared" si="2"/>
        <v>9.3006281211297469E-4</v>
      </c>
      <c r="R54" s="85">
        <f>P54/'סכום נכסי הקרן'!$C$42</f>
        <v>8.9831080702743832E-5</v>
      </c>
    </row>
    <row r="55" spans="2:18" s="122" customFormat="1">
      <c r="B55" s="77" t="s">
        <v>3414</v>
      </c>
      <c r="C55" s="87" t="s">
        <v>2972</v>
      </c>
      <c r="D55" s="74" t="s">
        <v>2991</v>
      </c>
      <c r="E55" s="74"/>
      <c r="F55" s="74" t="s">
        <v>549</v>
      </c>
      <c r="G55" s="97">
        <v>43677</v>
      </c>
      <c r="H55" s="74" t="s">
        <v>356</v>
      </c>
      <c r="I55" s="84">
        <v>9.5399999999999991</v>
      </c>
      <c r="J55" s="87" t="s">
        <v>2986</v>
      </c>
      <c r="K55" s="87" t="s">
        <v>165</v>
      </c>
      <c r="L55" s="88">
        <v>3.2000000000000001E-2</v>
      </c>
      <c r="M55" s="88">
        <v>4.5000000000000012E-2</v>
      </c>
      <c r="N55" s="84">
        <v>4613088.42</v>
      </c>
      <c r="O55" s="86">
        <v>88.82</v>
      </c>
      <c r="P55" s="84">
        <v>4097.3452799999995</v>
      </c>
      <c r="Q55" s="85">
        <f t="shared" si="2"/>
        <v>8.1437608886152698E-4</v>
      </c>
      <c r="R55" s="85">
        <f>P55/'סכום נכסי הקרן'!$C$42</f>
        <v>7.8657358630116288E-5</v>
      </c>
    </row>
    <row r="56" spans="2:18" s="122" customFormat="1">
      <c r="B56" s="77" t="s">
        <v>3414</v>
      </c>
      <c r="C56" s="87" t="s">
        <v>2972</v>
      </c>
      <c r="D56" s="74" t="s">
        <v>2992</v>
      </c>
      <c r="E56" s="74"/>
      <c r="F56" s="74" t="s">
        <v>549</v>
      </c>
      <c r="G56" s="97">
        <v>43708</v>
      </c>
      <c r="H56" s="74" t="s">
        <v>356</v>
      </c>
      <c r="I56" s="84">
        <v>9.7199999999999989</v>
      </c>
      <c r="J56" s="87" t="s">
        <v>2986</v>
      </c>
      <c r="K56" s="87" t="s">
        <v>165</v>
      </c>
      <c r="L56" s="88">
        <v>2.6800000000000001E-2</v>
      </c>
      <c r="M56" s="88">
        <v>4.3400000000000001E-2</v>
      </c>
      <c r="N56" s="84">
        <v>328853.65999999997</v>
      </c>
      <c r="O56" s="86">
        <v>85.44</v>
      </c>
      <c r="P56" s="84">
        <v>280.97257999999999</v>
      </c>
      <c r="Q56" s="85">
        <f t="shared" si="2"/>
        <v>5.5845269349068018E-5</v>
      </c>
      <c r="R56" s="85">
        <f>P56/'סכום נכסי הקרן'!$C$42</f>
        <v>5.3938732227831783E-6</v>
      </c>
    </row>
    <row r="57" spans="2:18" s="122" customFormat="1">
      <c r="B57" s="77" t="s">
        <v>3414</v>
      </c>
      <c r="C57" s="87" t="s">
        <v>2972</v>
      </c>
      <c r="D57" s="74" t="s">
        <v>2993</v>
      </c>
      <c r="E57" s="74"/>
      <c r="F57" s="74" t="s">
        <v>549</v>
      </c>
      <c r="G57" s="97">
        <v>43769</v>
      </c>
      <c r="H57" s="74" t="s">
        <v>356</v>
      </c>
      <c r="I57" s="84">
        <v>9.58</v>
      </c>
      <c r="J57" s="87" t="s">
        <v>2986</v>
      </c>
      <c r="K57" s="87" t="s">
        <v>165</v>
      </c>
      <c r="L57" s="88">
        <v>2.7300000000000001E-2</v>
      </c>
      <c r="M57" s="88">
        <v>4.7699999999999992E-2</v>
      </c>
      <c r="N57" s="84">
        <v>4858003.7</v>
      </c>
      <c r="O57" s="86">
        <v>82.56</v>
      </c>
      <c r="P57" s="84">
        <v>4010.7678100000003</v>
      </c>
      <c r="Q57" s="85">
        <f t="shared" si="2"/>
        <v>7.971682099585009E-4</v>
      </c>
      <c r="R57" s="85">
        <f>P57/'סכום נכסי הקרן'!$C$42</f>
        <v>7.6995317810583979E-5</v>
      </c>
    </row>
    <row r="58" spans="2:18" s="122" customFormat="1">
      <c r="B58" s="77" t="s">
        <v>3414</v>
      </c>
      <c r="C58" s="87" t="s">
        <v>2972</v>
      </c>
      <c r="D58" s="74" t="s">
        <v>2994</v>
      </c>
      <c r="E58" s="74"/>
      <c r="F58" s="74" t="s">
        <v>549</v>
      </c>
      <c r="G58" s="97">
        <v>43831</v>
      </c>
      <c r="H58" s="74" t="s">
        <v>356</v>
      </c>
      <c r="I58" s="84">
        <v>9.51</v>
      </c>
      <c r="J58" s="87" t="s">
        <v>2986</v>
      </c>
      <c r="K58" s="87" t="s">
        <v>165</v>
      </c>
      <c r="L58" s="88">
        <v>2.6800000000000001E-2</v>
      </c>
      <c r="M58" s="88">
        <v>5.0999999999999997E-2</v>
      </c>
      <c r="N58" s="84">
        <v>5043994.1399999997</v>
      </c>
      <c r="O58" s="86">
        <v>79.67</v>
      </c>
      <c r="P58" s="84">
        <v>4018.5502499999998</v>
      </c>
      <c r="Q58" s="85">
        <f t="shared" si="2"/>
        <v>7.9871502444834523E-4</v>
      </c>
      <c r="R58" s="85">
        <f>P58/'סכום נכסי הקרן'!$C$42</f>
        <v>7.714471849133337E-5</v>
      </c>
    </row>
    <row r="59" spans="2:18" s="122" customFormat="1">
      <c r="B59" s="77" t="s">
        <v>3414</v>
      </c>
      <c r="C59" s="87" t="s">
        <v>2972</v>
      </c>
      <c r="D59" s="74" t="s">
        <v>2995</v>
      </c>
      <c r="E59" s="74"/>
      <c r="F59" s="74" t="s">
        <v>549</v>
      </c>
      <c r="G59" s="97">
        <v>43905</v>
      </c>
      <c r="H59" s="74" t="s">
        <v>356</v>
      </c>
      <c r="I59" s="84">
        <v>0</v>
      </c>
      <c r="J59" s="87" t="s">
        <v>2986</v>
      </c>
      <c r="K59" s="87" t="s">
        <v>165</v>
      </c>
      <c r="L59" s="88">
        <v>3.2500000000000001E-2</v>
      </c>
      <c r="M59" s="88">
        <v>3.5000000000000005E-3</v>
      </c>
      <c r="N59" s="84">
        <v>3006068.82</v>
      </c>
      <c r="O59" s="86">
        <v>100.15</v>
      </c>
      <c r="P59" s="84">
        <v>3010.5778100000002</v>
      </c>
      <c r="Q59" s="85">
        <f t="shared" si="2"/>
        <v>5.9837343806209606E-4</v>
      </c>
      <c r="R59" s="85">
        <f>P59/'סכום נכסי הקרן'!$C$42</f>
        <v>5.7794518719457337E-5</v>
      </c>
    </row>
    <row r="60" spans="2:18" s="122" customFormat="1">
      <c r="B60" s="77" t="s">
        <v>3415</v>
      </c>
      <c r="C60" s="87" t="s">
        <v>2967</v>
      </c>
      <c r="D60" s="74" t="s">
        <v>2996</v>
      </c>
      <c r="E60" s="74"/>
      <c r="F60" s="74" t="s">
        <v>1811</v>
      </c>
      <c r="G60" s="97">
        <v>42901</v>
      </c>
      <c r="H60" s="74" t="s">
        <v>2923</v>
      </c>
      <c r="I60" s="84">
        <v>2.0200000000000005</v>
      </c>
      <c r="J60" s="87" t="s">
        <v>192</v>
      </c>
      <c r="K60" s="87" t="s">
        <v>165</v>
      </c>
      <c r="L60" s="88">
        <v>0.04</v>
      </c>
      <c r="M60" s="88">
        <v>3.27E-2</v>
      </c>
      <c r="N60" s="84">
        <v>43937591</v>
      </c>
      <c r="O60" s="86">
        <v>102.69</v>
      </c>
      <c r="P60" s="84">
        <v>45119.51122</v>
      </c>
      <c r="Q60" s="85">
        <f t="shared" si="2"/>
        <v>8.9678190554366433E-3</v>
      </c>
      <c r="R60" s="85">
        <f>P60/'סכום נכסי הקרן'!$C$42</f>
        <v>8.6616609846634557E-4</v>
      </c>
    </row>
    <row r="61" spans="2:18" s="122" customFormat="1">
      <c r="B61" s="77" t="s">
        <v>3416</v>
      </c>
      <c r="C61" s="87" t="s">
        <v>2967</v>
      </c>
      <c r="D61" s="74">
        <v>4069</v>
      </c>
      <c r="E61" s="74"/>
      <c r="F61" s="74" t="s">
        <v>557</v>
      </c>
      <c r="G61" s="97">
        <v>42052</v>
      </c>
      <c r="H61" s="74" t="s">
        <v>163</v>
      </c>
      <c r="I61" s="84">
        <v>5.4900000000000011</v>
      </c>
      <c r="J61" s="87" t="s">
        <v>492</v>
      </c>
      <c r="K61" s="87" t="s">
        <v>165</v>
      </c>
      <c r="L61" s="88">
        <v>2.9779E-2</v>
      </c>
      <c r="M61" s="88">
        <v>1.5900000000000001E-2</v>
      </c>
      <c r="N61" s="84">
        <v>14831578.140000001</v>
      </c>
      <c r="O61" s="86">
        <v>108.79</v>
      </c>
      <c r="P61" s="84">
        <v>16135.273429999999</v>
      </c>
      <c r="Q61" s="85">
        <f t="shared" si="2"/>
        <v>3.2069986712554323E-3</v>
      </c>
      <c r="R61" s="85">
        <f>P61/'סכום נכסי הקרן'!$C$42</f>
        <v>3.0975129066459752E-4</v>
      </c>
    </row>
    <row r="62" spans="2:18" s="122" customFormat="1">
      <c r="B62" s="77" t="s">
        <v>3417</v>
      </c>
      <c r="C62" s="87" t="s">
        <v>2972</v>
      </c>
      <c r="D62" s="74" t="s">
        <v>2997</v>
      </c>
      <c r="E62" s="74"/>
      <c r="F62" s="74" t="s">
        <v>549</v>
      </c>
      <c r="G62" s="97">
        <v>42033</v>
      </c>
      <c r="H62" s="74" t="s">
        <v>356</v>
      </c>
      <c r="I62" s="84">
        <v>5.12</v>
      </c>
      <c r="J62" s="87" t="s">
        <v>492</v>
      </c>
      <c r="K62" s="87" t="s">
        <v>165</v>
      </c>
      <c r="L62" s="88">
        <v>5.0999999999999997E-2</v>
      </c>
      <c r="M62" s="88">
        <v>3.0499999999999999E-2</v>
      </c>
      <c r="N62" s="84">
        <v>2076106.77</v>
      </c>
      <c r="O62" s="86">
        <v>112.76</v>
      </c>
      <c r="P62" s="84">
        <v>2341.0179600000001</v>
      </c>
      <c r="Q62" s="85">
        <f t="shared" si="2"/>
        <v>4.6529372555573131E-4</v>
      </c>
      <c r="R62" s="85">
        <f>P62/'סכום נכסי הקרן'!$C$42</f>
        <v>4.4940876752096244E-5</v>
      </c>
    </row>
    <row r="63" spans="2:18" s="122" customFormat="1">
      <c r="B63" s="77" t="s">
        <v>3417</v>
      </c>
      <c r="C63" s="87" t="s">
        <v>2972</v>
      </c>
      <c r="D63" s="74" t="s">
        <v>2998</v>
      </c>
      <c r="E63" s="74"/>
      <c r="F63" s="74" t="s">
        <v>549</v>
      </c>
      <c r="G63" s="97">
        <v>42054</v>
      </c>
      <c r="H63" s="74" t="s">
        <v>356</v>
      </c>
      <c r="I63" s="84">
        <v>5.12</v>
      </c>
      <c r="J63" s="87" t="s">
        <v>492</v>
      </c>
      <c r="K63" s="87" t="s">
        <v>165</v>
      </c>
      <c r="L63" s="88">
        <v>5.0999999999999997E-2</v>
      </c>
      <c r="M63" s="88">
        <v>3.04E-2</v>
      </c>
      <c r="N63" s="84">
        <v>4055489.07</v>
      </c>
      <c r="O63" s="86">
        <v>113.79</v>
      </c>
      <c r="P63" s="84">
        <v>4614.7409200000002</v>
      </c>
      <c r="Q63" s="85">
        <f t="shared" si="2"/>
        <v>9.17212098253737E-4</v>
      </c>
      <c r="R63" s="85">
        <f>P63/'סכום נכסי הקרן'!$C$42</f>
        <v>8.8589881185095745E-5</v>
      </c>
    </row>
    <row r="64" spans="2:18" s="122" customFormat="1">
      <c r="B64" s="77" t="s">
        <v>3417</v>
      </c>
      <c r="C64" s="87" t="s">
        <v>2972</v>
      </c>
      <c r="D64" s="74" t="s">
        <v>2999</v>
      </c>
      <c r="E64" s="74"/>
      <c r="F64" s="74" t="s">
        <v>549</v>
      </c>
      <c r="G64" s="97">
        <v>42565</v>
      </c>
      <c r="H64" s="74" t="s">
        <v>356</v>
      </c>
      <c r="I64" s="84">
        <v>5.12</v>
      </c>
      <c r="J64" s="87" t="s">
        <v>492</v>
      </c>
      <c r="K64" s="87" t="s">
        <v>165</v>
      </c>
      <c r="L64" s="88">
        <v>5.0999999999999997E-2</v>
      </c>
      <c r="M64" s="88">
        <v>3.0500000000000003E-2</v>
      </c>
      <c r="N64" s="84">
        <v>4950085.1100000003</v>
      </c>
      <c r="O64" s="86">
        <v>114.25</v>
      </c>
      <c r="P64" s="84">
        <v>5655.4722000000002</v>
      </c>
      <c r="Q64" s="85">
        <f t="shared" si="2"/>
        <v>1.1240647336660621E-3</v>
      </c>
      <c r="R64" s="85">
        <f>P64/'סכום נכסי הקרן'!$C$42</f>
        <v>1.0856895737575058E-4</v>
      </c>
    </row>
    <row r="65" spans="2:18" s="122" customFormat="1">
      <c r="B65" s="77" t="s">
        <v>3417</v>
      </c>
      <c r="C65" s="87" t="s">
        <v>2972</v>
      </c>
      <c r="D65" s="74" t="s">
        <v>3000</v>
      </c>
      <c r="E65" s="74"/>
      <c r="F65" s="74" t="s">
        <v>549</v>
      </c>
      <c r="G65" s="97">
        <v>41367</v>
      </c>
      <c r="H65" s="74" t="s">
        <v>356</v>
      </c>
      <c r="I65" s="84">
        <v>5.3</v>
      </c>
      <c r="J65" s="87" t="s">
        <v>492</v>
      </c>
      <c r="K65" s="87" t="s">
        <v>165</v>
      </c>
      <c r="L65" s="88">
        <v>5.0999999999999997E-2</v>
      </c>
      <c r="M65" s="88">
        <v>1.4300000000000002E-2</v>
      </c>
      <c r="N65" s="84">
        <v>25099127.239999998</v>
      </c>
      <c r="O65" s="86">
        <v>129.22</v>
      </c>
      <c r="P65" s="84">
        <v>32433.09042</v>
      </c>
      <c r="Q65" s="85">
        <f t="shared" si="2"/>
        <v>6.446304014176678E-3</v>
      </c>
      <c r="R65" s="85">
        <f>P65/'סכום נכסי הקרן'!$C$42</f>
        <v>6.2262295469737159E-4</v>
      </c>
    </row>
    <row r="66" spans="2:18" s="122" customFormat="1">
      <c r="B66" s="77" t="s">
        <v>3417</v>
      </c>
      <c r="C66" s="87" t="s">
        <v>2972</v>
      </c>
      <c r="D66" s="74" t="s">
        <v>3001</v>
      </c>
      <c r="E66" s="74"/>
      <c r="F66" s="74" t="s">
        <v>549</v>
      </c>
      <c r="G66" s="97">
        <v>41207</v>
      </c>
      <c r="H66" s="74" t="s">
        <v>356</v>
      </c>
      <c r="I66" s="84">
        <v>5.3100000000000005</v>
      </c>
      <c r="J66" s="87" t="s">
        <v>492</v>
      </c>
      <c r="K66" s="87" t="s">
        <v>165</v>
      </c>
      <c r="L66" s="88">
        <v>5.0999999999999997E-2</v>
      </c>
      <c r="M66" s="88">
        <v>1.37E-2</v>
      </c>
      <c r="N66" s="84">
        <v>356767.12</v>
      </c>
      <c r="O66" s="86">
        <v>124.24</v>
      </c>
      <c r="P66" s="84">
        <v>443.24743999999998</v>
      </c>
      <c r="Q66" s="85">
        <f t="shared" si="2"/>
        <v>8.8098535006814061E-5</v>
      </c>
      <c r="R66" s="85">
        <f>P66/'סכום נכסי הקרן'!$C$42</f>
        <v>8.5090883163161093E-6</v>
      </c>
    </row>
    <row r="67" spans="2:18" s="122" customFormat="1">
      <c r="B67" s="77" t="s">
        <v>3417</v>
      </c>
      <c r="C67" s="87" t="s">
        <v>2972</v>
      </c>
      <c r="D67" s="74" t="s">
        <v>3002</v>
      </c>
      <c r="E67" s="74"/>
      <c r="F67" s="74" t="s">
        <v>549</v>
      </c>
      <c r="G67" s="97">
        <v>41239</v>
      </c>
      <c r="H67" s="74" t="s">
        <v>356</v>
      </c>
      <c r="I67" s="84">
        <v>5.1199999999999992</v>
      </c>
      <c r="J67" s="87" t="s">
        <v>492</v>
      </c>
      <c r="K67" s="87" t="s">
        <v>165</v>
      </c>
      <c r="L67" s="88">
        <v>5.0999999999999997E-2</v>
      </c>
      <c r="M67" s="88">
        <v>3.04E-2</v>
      </c>
      <c r="N67" s="84">
        <v>3146247.7</v>
      </c>
      <c r="O67" s="86">
        <v>114.28</v>
      </c>
      <c r="P67" s="84">
        <v>3595.5317500000001</v>
      </c>
      <c r="Q67" s="85">
        <f t="shared" si="2"/>
        <v>7.1463713303225498E-4</v>
      </c>
      <c r="R67" s="85">
        <f>P67/'סכום נכסי הקרן'!$C$42</f>
        <v>6.9023968203558295E-5</v>
      </c>
    </row>
    <row r="68" spans="2:18" s="122" customFormat="1">
      <c r="B68" s="77" t="s">
        <v>3417</v>
      </c>
      <c r="C68" s="87" t="s">
        <v>2972</v>
      </c>
      <c r="D68" s="74" t="s">
        <v>3003</v>
      </c>
      <c r="E68" s="74"/>
      <c r="F68" s="74" t="s">
        <v>549</v>
      </c>
      <c r="G68" s="97">
        <v>41269</v>
      </c>
      <c r="H68" s="74" t="s">
        <v>356</v>
      </c>
      <c r="I68" s="84">
        <v>5.3</v>
      </c>
      <c r="J68" s="87" t="s">
        <v>492</v>
      </c>
      <c r="K68" s="87" t="s">
        <v>165</v>
      </c>
      <c r="L68" s="88">
        <v>5.0999999999999997E-2</v>
      </c>
      <c r="M68" s="88">
        <v>1.4300000000000002E-2</v>
      </c>
      <c r="N68" s="84">
        <v>856582.28</v>
      </c>
      <c r="O68" s="86">
        <v>124.66</v>
      </c>
      <c r="P68" s="84">
        <v>1067.81546</v>
      </c>
      <c r="Q68" s="85">
        <f t="shared" si="2"/>
        <v>2.1223580599501551E-4</v>
      </c>
      <c r="R68" s="85">
        <f>P68/'סכום נכסי הקרן'!$C$42</f>
        <v>2.0499015300951795E-5</v>
      </c>
    </row>
    <row r="69" spans="2:18" s="122" customFormat="1">
      <c r="B69" s="77" t="s">
        <v>3417</v>
      </c>
      <c r="C69" s="87" t="s">
        <v>2972</v>
      </c>
      <c r="D69" s="74" t="s">
        <v>3004</v>
      </c>
      <c r="E69" s="74"/>
      <c r="F69" s="74" t="s">
        <v>549</v>
      </c>
      <c r="G69" s="97">
        <v>41298</v>
      </c>
      <c r="H69" s="74" t="s">
        <v>356</v>
      </c>
      <c r="I69" s="84">
        <v>5.1199999999999992</v>
      </c>
      <c r="J69" s="87" t="s">
        <v>492</v>
      </c>
      <c r="K69" s="87" t="s">
        <v>165</v>
      </c>
      <c r="L69" s="88">
        <v>5.0999999999999997E-2</v>
      </c>
      <c r="M69" s="88">
        <v>3.0499999999999992E-2</v>
      </c>
      <c r="N69" s="84">
        <v>1733284.52</v>
      </c>
      <c r="O69" s="86">
        <v>114.58</v>
      </c>
      <c r="P69" s="84">
        <v>1985.99731</v>
      </c>
      <c r="Q69" s="85">
        <f t="shared" si="2"/>
        <v>3.94730883360485E-4</v>
      </c>
      <c r="R69" s="85">
        <f>P69/'סכום נכסי הקרן'!$C$42</f>
        <v>3.8125491501442673E-5</v>
      </c>
    </row>
    <row r="70" spans="2:18" s="122" customFormat="1">
      <c r="B70" s="77" t="s">
        <v>3417</v>
      </c>
      <c r="C70" s="87" t="s">
        <v>2972</v>
      </c>
      <c r="D70" s="74" t="s">
        <v>3005</v>
      </c>
      <c r="E70" s="74"/>
      <c r="F70" s="74" t="s">
        <v>549</v>
      </c>
      <c r="G70" s="97">
        <v>41330</v>
      </c>
      <c r="H70" s="74" t="s">
        <v>356</v>
      </c>
      <c r="I70" s="84">
        <v>5.12</v>
      </c>
      <c r="J70" s="87" t="s">
        <v>492</v>
      </c>
      <c r="K70" s="87" t="s">
        <v>165</v>
      </c>
      <c r="L70" s="88">
        <v>5.0999999999999997E-2</v>
      </c>
      <c r="M70" s="88">
        <v>3.0400000000000003E-2</v>
      </c>
      <c r="N70" s="84">
        <v>2686886.51</v>
      </c>
      <c r="O70" s="86">
        <v>114.8</v>
      </c>
      <c r="P70" s="84">
        <v>3084.5455099999999</v>
      </c>
      <c r="Q70" s="85">
        <f t="shared" si="2"/>
        <v>6.1307503680753611E-4</v>
      </c>
      <c r="R70" s="85">
        <f>P70/'סכום נכסי הקרן'!$C$42</f>
        <v>5.9214487872251027E-5</v>
      </c>
    </row>
    <row r="71" spans="2:18" s="122" customFormat="1">
      <c r="B71" s="77" t="s">
        <v>3417</v>
      </c>
      <c r="C71" s="87" t="s">
        <v>2972</v>
      </c>
      <c r="D71" s="74" t="s">
        <v>3006</v>
      </c>
      <c r="E71" s="74"/>
      <c r="F71" s="74" t="s">
        <v>549</v>
      </c>
      <c r="G71" s="97">
        <v>41389</v>
      </c>
      <c r="H71" s="74" t="s">
        <v>356</v>
      </c>
      <c r="I71" s="84">
        <v>5.2899999999999991</v>
      </c>
      <c r="J71" s="87" t="s">
        <v>492</v>
      </c>
      <c r="K71" s="87" t="s">
        <v>165</v>
      </c>
      <c r="L71" s="88">
        <v>5.0999999999999997E-2</v>
      </c>
      <c r="M71" s="88">
        <v>1.47E-2</v>
      </c>
      <c r="N71" s="84">
        <v>1176090.57</v>
      </c>
      <c r="O71" s="86">
        <v>124.14</v>
      </c>
      <c r="P71" s="84">
        <v>1459.9988500000002</v>
      </c>
      <c r="Q71" s="85">
        <f t="shared" si="2"/>
        <v>2.9018500320415454E-4</v>
      </c>
      <c r="R71" s="85">
        <f>P71/'סכום נכסי הקרן'!$C$42</f>
        <v>2.8027819306457714E-5</v>
      </c>
    </row>
    <row r="72" spans="2:18" s="122" customFormat="1">
      <c r="B72" s="77" t="s">
        <v>3417</v>
      </c>
      <c r="C72" s="87" t="s">
        <v>2972</v>
      </c>
      <c r="D72" s="74" t="s">
        <v>3007</v>
      </c>
      <c r="E72" s="74"/>
      <c r="F72" s="74" t="s">
        <v>549</v>
      </c>
      <c r="G72" s="97">
        <v>41422</v>
      </c>
      <c r="H72" s="74" t="s">
        <v>356</v>
      </c>
      <c r="I72" s="84">
        <v>5.2899999999999991</v>
      </c>
      <c r="J72" s="87" t="s">
        <v>492</v>
      </c>
      <c r="K72" s="87" t="s">
        <v>165</v>
      </c>
      <c r="L72" s="88">
        <v>5.0999999999999997E-2</v>
      </c>
      <c r="M72" s="88">
        <v>1.5499999999999998E-2</v>
      </c>
      <c r="N72" s="84">
        <v>430748.57</v>
      </c>
      <c r="O72" s="86">
        <v>123.13</v>
      </c>
      <c r="P72" s="84">
        <v>530.3806800000001</v>
      </c>
      <c r="Q72" s="85">
        <f t="shared" si="2"/>
        <v>1.0541687709221256E-4</v>
      </c>
      <c r="R72" s="85">
        <f>P72/'סכום נכסי הקרן'!$C$42</f>
        <v>1.0181798336811136E-5</v>
      </c>
    </row>
    <row r="73" spans="2:18" s="122" customFormat="1">
      <c r="B73" s="77" t="s">
        <v>3417</v>
      </c>
      <c r="C73" s="87" t="s">
        <v>2972</v>
      </c>
      <c r="D73" s="74" t="s">
        <v>3008</v>
      </c>
      <c r="E73" s="74"/>
      <c r="F73" s="74" t="s">
        <v>549</v>
      </c>
      <c r="G73" s="97">
        <v>41450</v>
      </c>
      <c r="H73" s="74" t="s">
        <v>356</v>
      </c>
      <c r="I73" s="84">
        <v>5.2899999999999991</v>
      </c>
      <c r="J73" s="87" t="s">
        <v>492</v>
      </c>
      <c r="K73" s="87" t="s">
        <v>165</v>
      </c>
      <c r="L73" s="88">
        <v>5.0999999999999997E-2</v>
      </c>
      <c r="M73" s="88">
        <v>1.5600000000000001E-2</v>
      </c>
      <c r="N73" s="84">
        <v>709625.17</v>
      </c>
      <c r="O73" s="86">
        <v>122.94</v>
      </c>
      <c r="P73" s="84">
        <v>872.41316000000006</v>
      </c>
      <c r="Q73" s="85">
        <f t="shared" si="2"/>
        <v>1.7339822947802088E-4</v>
      </c>
      <c r="R73" s="85">
        <f>P73/'סכום נכסי הקרן'!$C$42</f>
        <v>1.6747847718548398E-5</v>
      </c>
    </row>
    <row r="74" spans="2:18" s="122" customFormat="1">
      <c r="B74" s="77" t="s">
        <v>3417</v>
      </c>
      <c r="C74" s="87" t="s">
        <v>2972</v>
      </c>
      <c r="D74" s="74" t="s">
        <v>3009</v>
      </c>
      <c r="E74" s="74"/>
      <c r="F74" s="74" t="s">
        <v>549</v>
      </c>
      <c r="G74" s="97">
        <v>41480</v>
      </c>
      <c r="H74" s="74" t="s">
        <v>356</v>
      </c>
      <c r="I74" s="84">
        <v>5.2399999999999993</v>
      </c>
      <c r="J74" s="87" t="s">
        <v>492</v>
      </c>
      <c r="K74" s="87" t="s">
        <v>165</v>
      </c>
      <c r="L74" s="88">
        <v>5.0999999999999997E-2</v>
      </c>
      <c r="M74" s="88">
        <v>1.9800000000000002E-2</v>
      </c>
      <c r="N74" s="84">
        <v>623190.66</v>
      </c>
      <c r="O74" s="86">
        <v>119.36</v>
      </c>
      <c r="P74" s="84">
        <v>743.84033999999997</v>
      </c>
      <c r="Q74" s="85">
        <f t="shared" si="2"/>
        <v>1.4784348045635747E-4</v>
      </c>
      <c r="R74" s="85">
        <f>P74/'סכום נכסי הקרן'!$C$42</f>
        <v>1.4279615797213858E-5</v>
      </c>
    </row>
    <row r="75" spans="2:18" s="122" customFormat="1">
      <c r="B75" s="77" t="s">
        <v>3417</v>
      </c>
      <c r="C75" s="87" t="s">
        <v>2972</v>
      </c>
      <c r="D75" s="74" t="s">
        <v>3010</v>
      </c>
      <c r="E75" s="74"/>
      <c r="F75" s="74" t="s">
        <v>549</v>
      </c>
      <c r="G75" s="97">
        <v>41512</v>
      </c>
      <c r="H75" s="74" t="s">
        <v>356</v>
      </c>
      <c r="I75" s="84">
        <v>4.93</v>
      </c>
      <c r="J75" s="87" t="s">
        <v>492</v>
      </c>
      <c r="K75" s="87" t="s">
        <v>165</v>
      </c>
      <c r="L75" s="88">
        <v>5.0999999999999997E-2</v>
      </c>
      <c r="M75" s="88">
        <v>4.9500000000000002E-2</v>
      </c>
      <c r="N75" s="84">
        <v>1942909.77</v>
      </c>
      <c r="O75" s="86">
        <v>102.86</v>
      </c>
      <c r="P75" s="84">
        <v>1998.4769799999999</v>
      </c>
      <c r="Q75" s="85">
        <f t="shared" si="2"/>
        <v>3.9721130523132195E-4</v>
      </c>
      <c r="R75" s="85">
        <f>P75/'סכום נכסי הקרן'!$C$42</f>
        <v>3.8365065618753943E-5</v>
      </c>
    </row>
    <row r="76" spans="2:18" s="122" customFormat="1">
      <c r="B76" s="77" t="s">
        <v>3417</v>
      </c>
      <c r="C76" s="87" t="s">
        <v>2972</v>
      </c>
      <c r="D76" s="74" t="s">
        <v>3011</v>
      </c>
      <c r="E76" s="74"/>
      <c r="F76" s="74" t="s">
        <v>549</v>
      </c>
      <c r="G76" s="97">
        <v>41445</v>
      </c>
      <c r="H76" s="74" t="s">
        <v>356</v>
      </c>
      <c r="I76" s="84">
        <v>5.12</v>
      </c>
      <c r="J76" s="87" t="s">
        <v>492</v>
      </c>
      <c r="K76" s="87" t="s">
        <v>165</v>
      </c>
      <c r="L76" s="88">
        <v>5.1879999999999996E-2</v>
      </c>
      <c r="M76" s="88">
        <v>3.04E-2</v>
      </c>
      <c r="N76" s="84">
        <v>977791.11</v>
      </c>
      <c r="O76" s="86">
        <v>116.87</v>
      </c>
      <c r="P76" s="84">
        <v>1142.7444499999999</v>
      </c>
      <c r="Q76" s="85">
        <f t="shared" si="2"/>
        <v>2.2712846786473821E-4</v>
      </c>
      <c r="R76" s="85">
        <f>P76/'סכום נכסי הקרן'!$C$42</f>
        <v>2.1937438483638118E-5</v>
      </c>
    </row>
    <row r="77" spans="2:18" s="122" customFormat="1">
      <c r="B77" s="77" t="s">
        <v>3417</v>
      </c>
      <c r="C77" s="87" t="s">
        <v>2972</v>
      </c>
      <c r="D77" s="74" t="s">
        <v>3012</v>
      </c>
      <c r="E77" s="74"/>
      <c r="F77" s="74" t="s">
        <v>549</v>
      </c>
      <c r="G77" s="97">
        <v>41547</v>
      </c>
      <c r="H77" s="74" t="s">
        <v>356</v>
      </c>
      <c r="I77" s="84">
        <v>4.93</v>
      </c>
      <c r="J77" s="87" t="s">
        <v>492</v>
      </c>
      <c r="K77" s="87" t="s">
        <v>165</v>
      </c>
      <c r="L77" s="88">
        <v>5.0999999999999997E-2</v>
      </c>
      <c r="M77" s="88">
        <v>4.9499999999999995E-2</v>
      </c>
      <c r="N77" s="84">
        <v>1421644.16</v>
      </c>
      <c r="O77" s="86">
        <v>102.76</v>
      </c>
      <c r="P77" s="84">
        <v>1460.88149</v>
      </c>
      <c r="Q77" s="85">
        <f t="shared" si="2"/>
        <v>2.9036043408975289E-4</v>
      </c>
      <c r="R77" s="85">
        <f>P77/'סכום נכסי הקרן'!$C$42</f>
        <v>2.804476348037446E-5</v>
      </c>
    </row>
    <row r="78" spans="2:18" s="122" customFormat="1">
      <c r="B78" s="77" t="s">
        <v>3417</v>
      </c>
      <c r="C78" s="87" t="s">
        <v>2972</v>
      </c>
      <c r="D78" s="74" t="s">
        <v>3013</v>
      </c>
      <c r="E78" s="74"/>
      <c r="F78" s="74" t="s">
        <v>549</v>
      </c>
      <c r="G78" s="97">
        <v>41571</v>
      </c>
      <c r="H78" s="74" t="s">
        <v>356</v>
      </c>
      <c r="I78" s="84">
        <v>5.21</v>
      </c>
      <c r="J78" s="87" t="s">
        <v>492</v>
      </c>
      <c r="K78" s="87" t="s">
        <v>165</v>
      </c>
      <c r="L78" s="88">
        <v>5.0999999999999997E-2</v>
      </c>
      <c r="M78" s="88">
        <v>2.3000000000000003E-2</v>
      </c>
      <c r="N78" s="84">
        <v>693186.91</v>
      </c>
      <c r="O78" s="86">
        <v>116.96</v>
      </c>
      <c r="P78" s="84">
        <v>810.75138000000004</v>
      </c>
      <c r="Q78" s="85">
        <f t="shared" si="2"/>
        <v>1.6114251857326649E-4</v>
      </c>
      <c r="R78" s="85">
        <f>P78/'סכום נכסי הקרן'!$C$42</f>
        <v>1.5564117177969854E-5</v>
      </c>
    </row>
    <row r="79" spans="2:18" s="122" customFormat="1">
      <c r="B79" s="77" t="s">
        <v>3417</v>
      </c>
      <c r="C79" s="87" t="s">
        <v>2972</v>
      </c>
      <c r="D79" s="74" t="s">
        <v>3014</v>
      </c>
      <c r="E79" s="74"/>
      <c r="F79" s="74" t="s">
        <v>549</v>
      </c>
      <c r="G79" s="97">
        <v>41597</v>
      </c>
      <c r="H79" s="74" t="s">
        <v>356</v>
      </c>
      <c r="I79" s="84">
        <v>5.19</v>
      </c>
      <c r="J79" s="87" t="s">
        <v>492</v>
      </c>
      <c r="K79" s="87" t="s">
        <v>165</v>
      </c>
      <c r="L79" s="88">
        <v>5.0999999999999997E-2</v>
      </c>
      <c r="M79" s="88">
        <v>2.3900000000000001E-2</v>
      </c>
      <c r="N79" s="84">
        <v>179022.12</v>
      </c>
      <c r="O79" s="86">
        <v>116.44</v>
      </c>
      <c r="P79" s="84">
        <v>208.45335999999998</v>
      </c>
      <c r="Q79" s="85">
        <f t="shared" si="2"/>
        <v>4.143156615466976E-5</v>
      </c>
      <c r="R79" s="85">
        <f>P79/'סכום נכסי הקרן'!$C$42</f>
        <v>4.0017107601858579E-6</v>
      </c>
    </row>
    <row r="80" spans="2:18" s="122" customFormat="1">
      <c r="B80" s="77" t="s">
        <v>3417</v>
      </c>
      <c r="C80" s="87" t="s">
        <v>2972</v>
      </c>
      <c r="D80" s="74" t="s">
        <v>3015</v>
      </c>
      <c r="E80" s="74"/>
      <c r="F80" s="74" t="s">
        <v>549</v>
      </c>
      <c r="G80" s="97">
        <v>41630</v>
      </c>
      <c r="H80" s="74" t="s">
        <v>356</v>
      </c>
      <c r="I80" s="84">
        <v>5.12</v>
      </c>
      <c r="J80" s="87" t="s">
        <v>492</v>
      </c>
      <c r="K80" s="87" t="s">
        <v>165</v>
      </c>
      <c r="L80" s="88">
        <v>5.0999999999999997E-2</v>
      </c>
      <c r="M80" s="88">
        <v>3.0500000000000003E-2</v>
      </c>
      <c r="N80" s="84">
        <v>2036693.77</v>
      </c>
      <c r="O80" s="86">
        <v>112.66</v>
      </c>
      <c r="P80" s="84">
        <v>2294.5391300000001</v>
      </c>
      <c r="Q80" s="85">
        <f t="shared" si="2"/>
        <v>4.5605573236657545E-4</v>
      </c>
      <c r="R80" s="85">
        <f>P80/'סכום נכסי הקרן'!$C$42</f>
        <v>4.4048615604893581E-5</v>
      </c>
    </row>
    <row r="81" spans="2:18" s="122" customFormat="1">
      <c r="B81" s="77" t="s">
        <v>3417</v>
      </c>
      <c r="C81" s="87" t="s">
        <v>2972</v>
      </c>
      <c r="D81" s="74" t="s">
        <v>3016</v>
      </c>
      <c r="E81" s="74"/>
      <c r="F81" s="74" t="s">
        <v>549</v>
      </c>
      <c r="G81" s="97">
        <v>41666</v>
      </c>
      <c r="H81" s="74" t="s">
        <v>356</v>
      </c>
      <c r="I81" s="84">
        <v>5.12</v>
      </c>
      <c r="J81" s="87" t="s">
        <v>492</v>
      </c>
      <c r="K81" s="87" t="s">
        <v>165</v>
      </c>
      <c r="L81" s="88">
        <v>5.0999999999999997E-2</v>
      </c>
      <c r="M81" s="88">
        <v>3.0499999999999999E-2</v>
      </c>
      <c r="N81" s="84">
        <v>393936.88</v>
      </c>
      <c r="O81" s="86">
        <v>112.66</v>
      </c>
      <c r="P81" s="84">
        <v>443.80927000000003</v>
      </c>
      <c r="Q81" s="85">
        <f t="shared" si="2"/>
        <v>8.8210202656655167E-5</v>
      </c>
      <c r="R81" s="85">
        <f>P81/'סכום נכסי הקרן'!$C$42</f>
        <v>8.5198738520176945E-6</v>
      </c>
    </row>
    <row r="82" spans="2:18" s="122" customFormat="1">
      <c r="B82" s="77" t="s">
        <v>3417</v>
      </c>
      <c r="C82" s="87" t="s">
        <v>2972</v>
      </c>
      <c r="D82" s="74" t="s">
        <v>3017</v>
      </c>
      <c r="E82" s="74"/>
      <c r="F82" s="74" t="s">
        <v>549</v>
      </c>
      <c r="G82" s="97">
        <v>41696</v>
      </c>
      <c r="H82" s="74" t="s">
        <v>356</v>
      </c>
      <c r="I82" s="84">
        <v>5.12</v>
      </c>
      <c r="J82" s="87" t="s">
        <v>492</v>
      </c>
      <c r="K82" s="87" t="s">
        <v>165</v>
      </c>
      <c r="L82" s="88">
        <v>5.0999999999999997E-2</v>
      </c>
      <c r="M82" s="88">
        <v>3.0500000000000003E-2</v>
      </c>
      <c r="N82" s="84">
        <v>379164.1</v>
      </c>
      <c r="O82" s="86">
        <v>113.21</v>
      </c>
      <c r="P82" s="84">
        <v>429.25167999999996</v>
      </c>
      <c r="Q82" s="85">
        <f t="shared" si="2"/>
        <v>8.5316779623620051E-5</v>
      </c>
      <c r="R82" s="85">
        <f>P82/'סכום נכסי הקרן'!$C$42</f>
        <v>8.2404095893865984E-6</v>
      </c>
    </row>
    <row r="83" spans="2:18" s="122" customFormat="1">
      <c r="B83" s="77" t="s">
        <v>3417</v>
      </c>
      <c r="C83" s="87" t="s">
        <v>2972</v>
      </c>
      <c r="D83" s="74" t="s">
        <v>3018</v>
      </c>
      <c r="E83" s="74"/>
      <c r="F83" s="74" t="s">
        <v>549</v>
      </c>
      <c r="G83" s="97">
        <v>41725</v>
      </c>
      <c r="H83" s="74" t="s">
        <v>356</v>
      </c>
      <c r="I83" s="84">
        <v>5.1199999999999992</v>
      </c>
      <c r="J83" s="87" t="s">
        <v>492</v>
      </c>
      <c r="K83" s="87" t="s">
        <v>165</v>
      </c>
      <c r="L83" s="88">
        <v>5.0999999999999997E-2</v>
      </c>
      <c r="M83" s="88">
        <v>3.0499999999999999E-2</v>
      </c>
      <c r="N83" s="84">
        <v>755116.89</v>
      </c>
      <c r="O83" s="86">
        <v>113.42</v>
      </c>
      <c r="P83" s="84">
        <v>856.45356000000004</v>
      </c>
      <c r="Q83" s="85">
        <f t="shared" si="2"/>
        <v>1.7022614713210874E-4</v>
      </c>
      <c r="R83" s="85">
        <f>P83/'סכום נכסי הקרן'!$C$42</f>
        <v>1.6441468857357277E-5</v>
      </c>
    </row>
    <row r="84" spans="2:18" s="122" customFormat="1">
      <c r="B84" s="77" t="s">
        <v>3417</v>
      </c>
      <c r="C84" s="87" t="s">
        <v>2972</v>
      </c>
      <c r="D84" s="74" t="s">
        <v>3019</v>
      </c>
      <c r="E84" s="74"/>
      <c r="F84" s="74" t="s">
        <v>549</v>
      </c>
      <c r="G84" s="97">
        <v>41787</v>
      </c>
      <c r="H84" s="74" t="s">
        <v>356</v>
      </c>
      <c r="I84" s="84">
        <v>5.12</v>
      </c>
      <c r="J84" s="87" t="s">
        <v>492</v>
      </c>
      <c r="K84" s="87" t="s">
        <v>165</v>
      </c>
      <c r="L84" s="88">
        <v>5.0999999999999997E-2</v>
      </c>
      <c r="M84" s="88">
        <v>3.0400000000000003E-2</v>
      </c>
      <c r="N84" s="84">
        <v>475396.68</v>
      </c>
      <c r="O84" s="86">
        <v>112.99</v>
      </c>
      <c r="P84" s="84">
        <v>537.15071</v>
      </c>
      <c r="Q84" s="85">
        <f t="shared" si="2"/>
        <v>1.0676246799952197E-4</v>
      </c>
      <c r="R84" s="85">
        <f>P84/'סכום נכסי הקרן'!$C$42</f>
        <v>1.0311763629276466E-5</v>
      </c>
    </row>
    <row r="85" spans="2:18" s="122" customFormat="1">
      <c r="B85" s="77" t="s">
        <v>3417</v>
      </c>
      <c r="C85" s="87" t="s">
        <v>2972</v>
      </c>
      <c r="D85" s="74" t="s">
        <v>3020</v>
      </c>
      <c r="E85" s="74"/>
      <c r="F85" s="74" t="s">
        <v>549</v>
      </c>
      <c r="G85" s="97">
        <v>41815</v>
      </c>
      <c r="H85" s="74" t="s">
        <v>356</v>
      </c>
      <c r="I85" s="84">
        <v>5.1199999999999992</v>
      </c>
      <c r="J85" s="87" t="s">
        <v>492</v>
      </c>
      <c r="K85" s="87" t="s">
        <v>165</v>
      </c>
      <c r="L85" s="88">
        <v>5.0999999999999997E-2</v>
      </c>
      <c r="M85" s="88">
        <v>3.0400000000000003E-2</v>
      </c>
      <c r="N85" s="84">
        <v>267293.63</v>
      </c>
      <c r="O85" s="86">
        <v>112.88</v>
      </c>
      <c r="P85" s="84">
        <v>301.72104999999999</v>
      </c>
      <c r="Q85" s="85">
        <f t="shared" si="2"/>
        <v>5.9969173168191783E-5</v>
      </c>
      <c r="R85" s="85">
        <f>P85/'סכום נכסי הקרן'!$C$42</f>
        <v>5.7921847475117477E-6</v>
      </c>
    </row>
    <row r="86" spans="2:18" s="122" customFormat="1">
      <c r="B86" s="77" t="s">
        <v>3417</v>
      </c>
      <c r="C86" s="87" t="s">
        <v>2972</v>
      </c>
      <c r="D86" s="74" t="s">
        <v>3021</v>
      </c>
      <c r="E86" s="74"/>
      <c r="F86" s="74" t="s">
        <v>549</v>
      </c>
      <c r="G86" s="97">
        <v>41836</v>
      </c>
      <c r="H86" s="74" t="s">
        <v>356</v>
      </c>
      <c r="I86" s="84">
        <v>5.12</v>
      </c>
      <c r="J86" s="87" t="s">
        <v>492</v>
      </c>
      <c r="K86" s="87" t="s">
        <v>165</v>
      </c>
      <c r="L86" s="88">
        <v>5.0999999999999997E-2</v>
      </c>
      <c r="M86" s="88">
        <v>3.0499999999999999E-2</v>
      </c>
      <c r="N86" s="84">
        <v>794632.62</v>
      </c>
      <c r="O86" s="86">
        <v>112.67</v>
      </c>
      <c r="P86" s="84">
        <v>895.3125500000001</v>
      </c>
      <c r="Q86" s="85">
        <f t="shared" si="2"/>
        <v>1.7794964372093154E-4</v>
      </c>
      <c r="R86" s="85">
        <f>P86/'סכום נכסי הקרן'!$C$42</f>
        <v>1.7187450780665948E-5</v>
      </c>
    </row>
    <row r="87" spans="2:18" s="122" customFormat="1">
      <c r="B87" s="77" t="s">
        <v>3417</v>
      </c>
      <c r="C87" s="87" t="s">
        <v>2972</v>
      </c>
      <c r="D87" s="74" t="s">
        <v>3022</v>
      </c>
      <c r="E87" s="74"/>
      <c r="F87" s="74" t="s">
        <v>549</v>
      </c>
      <c r="G87" s="97">
        <v>40903</v>
      </c>
      <c r="H87" s="74" t="s">
        <v>356</v>
      </c>
      <c r="I87" s="84">
        <v>5.3</v>
      </c>
      <c r="J87" s="87" t="s">
        <v>492</v>
      </c>
      <c r="K87" s="87" t="s">
        <v>165</v>
      </c>
      <c r="L87" s="88">
        <v>5.2619999999999993E-2</v>
      </c>
      <c r="M87" s="88">
        <v>1.3600000000000001E-2</v>
      </c>
      <c r="N87" s="84">
        <v>1003227.62</v>
      </c>
      <c r="O87" s="86">
        <v>127.95</v>
      </c>
      <c r="P87" s="84">
        <v>1283.62977</v>
      </c>
      <c r="Q87" s="85">
        <f t="shared" si="2"/>
        <v>2.5513041254820036E-4</v>
      </c>
      <c r="R87" s="85">
        <f>P87/'סכום נכסי הקרן'!$C$42</f>
        <v>2.4642035334445553E-5</v>
      </c>
    </row>
    <row r="88" spans="2:18" s="122" customFormat="1">
      <c r="B88" s="77" t="s">
        <v>3417</v>
      </c>
      <c r="C88" s="87" t="s">
        <v>2972</v>
      </c>
      <c r="D88" s="74" t="s">
        <v>3023</v>
      </c>
      <c r="E88" s="74"/>
      <c r="F88" s="74" t="s">
        <v>549</v>
      </c>
      <c r="G88" s="97">
        <v>41911</v>
      </c>
      <c r="H88" s="74" t="s">
        <v>356</v>
      </c>
      <c r="I88" s="84">
        <v>5.12</v>
      </c>
      <c r="J88" s="87" t="s">
        <v>492</v>
      </c>
      <c r="K88" s="87" t="s">
        <v>165</v>
      </c>
      <c r="L88" s="88">
        <v>5.0999999999999997E-2</v>
      </c>
      <c r="M88" s="88">
        <v>3.0500000000000003E-2</v>
      </c>
      <c r="N88" s="84">
        <v>311892.21000000002</v>
      </c>
      <c r="O88" s="86">
        <v>112.67</v>
      </c>
      <c r="P88" s="84">
        <v>351.40895</v>
      </c>
      <c r="Q88" s="85">
        <f t="shared" si="2"/>
        <v>6.9844991509218361E-5</v>
      </c>
      <c r="R88" s="85">
        <f>P88/'סכום נכסי הקרן'!$C$42</f>
        <v>6.7460508981031272E-6</v>
      </c>
    </row>
    <row r="89" spans="2:18" s="122" customFormat="1">
      <c r="B89" s="77" t="s">
        <v>3417</v>
      </c>
      <c r="C89" s="87" t="s">
        <v>2972</v>
      </c>
      <c r="D89" s="74" t="s">
        <v>3024</v>
      </c>
      <c r="E89" s="74"/>
      <c r="F89" s="74" t="s">
        <v>549</v>
      </c>
      <c r="G89" s="97">
        <v>40933</v>
      </c>
      <c r="H89" s="74" t="s">
        <v>356</v>
      </c>
      <c r="I89" s="84">
        <v>5.1199999999999983</v>
      </c>
      <c r="J89" s="87" t="s">
        <v>492</v>
      </c>
      <c r="K89" s="87" t="s">
        <v>165</v>
      </c>
      <c r="L89" s="88">
        <v>5.1330999999999995E-2</v>
      </c>
      <c r="M89" s="88">
        <v>3.0499999999999999E-2</v>
      </c>
      <c r="N89" s="84">
        <v>3699456.64</v>
      </c>
      <c r="O89" s="86">
        <v>116.65</v>
      </c>
      <c r="P89" s="84">
        <v>4315.4162000000006</v>
      </c>
      <c r="Q89" s="85">
        <f t="shared" si="2"/>
        <v>8.5771921246668135E-4</v>
      </c>
      <c r="R89" s="85">
        <f>P89/'סכום נכסי הקרן'!$C$42</f>
        <v>8.2843699147955072E-5</v>
      </c>
    </row>
    <row r="90" spans="2:18" s="122" customFormat="1">
      <c r="B90" s="77" t="s">
        <v>3417</v>
      </c>
      <c r="C90" s="87" t="s">
        <v>2972</v>
      </c>
      <c r="D90" s="74" t="s">
        <v>3025</v>
      </c>
      <c r="E90" s="74"/>
      <c r="F90" s="74" t="s">
        <v>549</v>
      </c>
      <c r="G90" s="97">
        <v>40993</v>
      </c>
      <c r="H90" s="74" t="s">
        <v>356</v>
      </c>
      <c r="I90" s="84">
        <v>5.12</v>
      </c>
      <c r="J90" s="87" t="s">
        <v>492</v>
      </c>
      <c r="K90" s="87" t="s">
        <v>165</v>
      </c>
      <c r="L90" s="88">
        <v>5.1451999999999998E-2</v>
      </c>
      <c r="M90" s="88">
        <v>3.0500000000000003E-2</v>
      </c>
      <c r="N90" s="84">
        <v>2152987.62</v>
      </c>
      <c r="O90" s="86">
        <v>116.72</v>
      </c>
      <c r="P90" s="84">
        <v>2512.9672300000002</v>
      </c>
      <c r="Q90" s="85">
        <f t="shared" si="2"/>
        <v>4.9946984799987019E-4</v>
      </c>
      <c r="R90" s="85">
        <f>P90/'סכום נכסי הקרן'!$C$42</f>
        <v>4.8241812961352372E-5</v>
      </c>
    </row>
    <row r="91" spans="2:18" s="122" customFormat="1">
      <c r="B91" s="77" t="s">
        <v>3417</v>
      </c>
      <c r="C91" s="87" t="s">
        <v>2972</v>
      </c>
      <c r="D91" s="74" t="s">
        <v>3026</v>
      </c>
      <c r="E91" s="74"/>
      <c r="F91" s="74" t="s">
        <v>549</v>
      </c>
      <c r="G91" s="97">
        <v>41053</v>
      </c>
      <c r="H91" s="74" t="s">
        <v>356</v>
      </c>
      <c r="I91" s="84">
        <v>5.12</v>
      </c>
      <c r="J91" s="87" t="s">
        <v>492</v>
      </c>
      <c r="K91" s="87" t="s">
        <v>165</v>
      </c>
      <c r="L91" s="88">
        <v>5.0999999999999997E-2</v>
      </c>
      <c r="M91" s="88">
        <v>3.0399999999999996E-2</v>
      </c>
      <c r="N91" s="84">
        <v>1516513.89</v>
      </c>
      <c r="O91" s="86">
        <v>115.04</v>
      </c>
      <c r="P91" s="84">
        <v>1744.59754</v>
      </c>
      <c r="Q91" s="85">
        <f t="shared" si="2"/>
        <v>3.4675098732773666E-4</v>
      </c>
      <c r="R91" s="85">
        <f>P91/'סכום נכסי הקרן'!$C$42</f>
        <v>3.349130351274635E-5</v>
      </c>
    </row>
    <row r="92" spans="2:18" s="122" customFormat="1">
      <c r="B92" s="77" t="s">
        <v>3417</v>
      </c>
      <c r="C92" s="87" t="s">
        <v>2972</v>
      </c>
      <c r="D92" s="74" t="s">
        <v>3027</v>
      </c>
      <c r="E92" s="74"/>
      <c r="F92" s="74" t="s">
        <v>549</v>
      </c>
      <c r="G92" s="97">
        <v>41085</v>
      </c>
      <c r="H92" s="74" t="s">
        <v>356</v>
      </c>
      <c r="I92" s="84">
        <v>5.12</v>
      </c>
      <c r="J92" s="87" t="s">
        <v>492</v>
      </c>
      <c r="K92" s="87" t="s">
        <v>165</v>
      </c>
      <c r="L92" s="88">
        <v>5.0999999999999997E-2</v>
      </c>
      <c r="M92" s="88">
        <v>3.04E-2</v>
      </c>
      <c r="N92" s="84">
        <v>2790490.56</v>
      </c>
      <c r="O92" s="86">
        <v>115.04</v>
      </c>
      <c r="P92" s="84">
        <v>3210.1802599999996</v>
      </c>
      <c r="Q92" s="85">
        <f t="shared" si="2"/>
        <v>6.3804582382651434E-4</v>
      </c>
      <c r="R92" s="85">
        <f>P92/'סכום נכסי הקרן'!$C$42</f>
        <v>6.1626317218289189E-5</v>
      </c>
    </row>
    <row r="93" spans="2:18" s="122" customFormat="1">
      <c r="B93" s="77" t="s">
        <v>3417</v>
      </c>
      <c r="C93" s="87" t="s">
        <v>2972</v>
      </c>
      <c r="D93" s="74" t="s">
        <v>3028</v>
      </c>
      <c r="E93" s="74"/>
      <c r="F93" s="74" t="s">
        <v>549</v>
      </c>
      <c r="G93" s="97">
        <v>41115</v>
      </c>
      <c r="H93" s="74" t="s">
        <v>356</v>
      </c>
      <c r="I93" s="84">
        <v>4.95</v>
      </c>
      <c r="J93" s="87" t="s">
        <v>492</v>
      </c>
      <c r="K93" s="87" t="s">
        <v>165</v>
      </c>
      <c r="L93" s="88">
        <v>5.0999999999999997E-2</v>
      </c>
      <c r="M93" s="88">
        <v>4.7600000000000003E-2</v>
      </c>
      <c r="N93" s="84">
        <v>1237443.96</v>
      </c>
      <c r="O93" s="86">
        <v>106.17</v>
      </c>
      <c r="P93" s="84">
        <v>1313.7941699999999</v>
      </c>
      <c r="Q93" s="85">
        <f t="shared" si="2"/>
        <v>2.6112579844227239E-4</v>
      </c>
      <c r="R93" s="85">
        <f>P93/'סכום נכסי הקרן'!$C$42</f>
        <v>2.5221105895143397E-5</v>
      </c>
    </row>
    <row r="94" spans="2:18" s="122" customFormat="1">
      <c r="B94" s="77" t="s">
        <v>3417</v>
      </c>
      <c r="C94" s="87" t="s">
        <v>2972</v>
      </c>
      <c r="D94" s="74" t="s">
        <v>3029</v>
      </c>
      <c r="E94" s="74"/>
      <c r="F94" s="74" t="s">
        <v>549</v>
      </c>
      <c r="G94" s="97">
        <v>41179</v>
      </c>
      <c r="H94" s="74" t="s">
        <v>356</v>
      </c>
      <c r="I94" s="84">
        <v>5.12</v>
      </c>
      <c r="J94" s="87" t="s">
        <v>492</v>
      </c>
      <c r="K94" s="87" t="s">
        <v>165</v>
      </c>
      <c r="L94" s="88">
        <v>5.0999999999999997E-2</v>
      </c>
      <c r="M94" s="88">
        <v>3.0500000000000003E-2</v>
      </c>
      <c r="N94" s="84">
        <v>1560416.95</v>
      </c>
      <c r="O94" s="86">
        <v>114.05</v>
      </c>
      <c r="P94" s="84">
        <v>1779.65544</v>
      </c>
      <c r="Q94" s="85">
        <f t="shared" si="2"/>
        <v>3.5371899064077416E-4</v>
      </c>
      <c r="R94" s="85">
        <f>P94/'סכום נכסי הקרן'!$C$42</f>
        <v>3.4164315334956938E-5</v>
      </c>
    </row>
    <row r="95" spans="2:18" s="122" customFormat="1">
      <c r="B95" s="77" t="s">
        <v>3418</v>
      </c>
      <c r="C95" s="87" t="s">
        <v>2972</v>
      </c>
      <c r="D95" s="74" t="s">
        <v>3030</v>
      </c>
      <c r="E95" s="74"/>
      <c r="F95" s="74" t="s">
        <v>557</v>
      </c>
      <c r="G95" s="97">
        <v>42122</v>
      </c>
      <c r="H95" s="74" t="s">
        <v>163</v>
      </c>
      <c r="I95" s="84">
        <v>5.49</v>
      </c>
      <c r="J95" s="87" t="s">
        <v>492</v>
      </c>
      <c r="K95" s="87" t="s">
        <v>165</v>
      </c>
      <c r="L95" s="88">
        <v>2.4799999999999999E-2</v>
      </c>
      <c r="M95" s="88">
        <v>2.5200000000000004E-2</v>
      </c>
      <c r="N95" s="84">
        <v>97191420.989999995</v>
      </c>
      <c r="O95" s="86">
        <v>101.34</v>
      </c>
      <c r="P95" s="84">
        <v>98493.784379999997</v>
      </c>
      <c r="Q95" s="85">
        <f t="shared" si="2"/>
        <v>1.9576329896355469E-2</v>
      </c>
      <c r="R95" s="85">
        <f>P95/'סכום נכסי הקרן'!$C$42</f>
        <v>1.8908001135835462E-3</v>
      </c>
    </row>
    <row r="96" spans="2:18" s="122" customFormat="1">
      <c r="B96" s="77" t="s">
        <v>3411</v>
      </c>
      <c r="C96" s="87" t="s">
        <v>2972</v>
      </c>
      <c r="D96" s="74" t="s">
        <v>3031</v>
      </c>
      <c r="E96" s="74"/>
      <c r="F96" s="74" t="s">
        <v>557</v>
      </c>
      <c r="G96" s="97">
        <v>41455</v>
      </c>
      <c r="H96" s="74" t="s">
        <v>163</v>
      </c>
      <c r="I96" s="84">
        <v>3.7</v>
      </c>
      <c r="J96" s="87" t="s">
        <v>159</v>
      </c>
      <c r="K96" s="87" t="s">
        <v>165</v>
      </c>
      <c r="L96" s="88">
        <v>4.7039999999999998E-2</v>
      </c>
      <c r="M96" s="88">
        <v>1.2199999999999999E-2</v>
      </c>
      <c r="N96" s="84">
        <v>18254903.57</v>
      </c>
      <c r="O96" s="86">
        <v>138.13999999999999</v>
      </c>
      <c r="P96" s="84">
        <v>25217.323800000002</v>
      </c>
      <c r="Q96" s="85">
        <f t="shared" si="2"/>
        <v>5.0121198298911009E-3</v>
      </c>
      <c r="R96" s="85">
        <f>P96/'סכום נכסי הקרן'!$C$42</f>
        <v>4.8410078874982376E-4</v>
      </c>
    </row>
    <row r="97" spans="2:18" s="122" customFormat="1">
      <c r="B97" s="77" t="s">
        <v>3419</v>
      </c>
      <c r="C97" s="87" t="s">
        <v>2967</v>
      </c>
      <c r="D97" s="74">
        <v>4100</v>
      </c>
      <c r="E97" s="74"/>
      <c r="F97" s="74" t="s">
        <v>557</v>
      </c>
      <c r="G97" s="97">
        <v>42052</v>
      </c>
      <c r="H97" s="74" t="s">
        <v>163</v>
      </c>
      <c r="I97" s="84">
        <v>5.49</v>
      </c>
      <c r="J97" s="87" t="s">
        <v>492</v>
      </c>
      <c r="K97" s="87" t="s">
        <v>165</v>
      </c>
      <c r="L97" s="88">
        <v>2.9779E-2</v>
      </c>
      <c r="M97" s="88">
        <v>1.5400000000000002E-2</v>
      </c>
      <c r="N97" s="84">
        <v>12295088.939999999</v>
      </c>
      <c r="O97" s="86">
        <v>109.11</v>
      </c>
      <c r="P97" s="84">
        <v>13415.171279999999</v>
      </c>
      <c r="Q97" s="85">
        <f t="shared" si="2"/>
        <v>2.6663593062906049E-3</v>
      </c>
      <c r="R97" s="85">
        <f>P97/'סכום נכסי הקרן'!$C$42</f>
        <v>2.5753307723565738E-4</v>
      </c>
    </row>
    <row r="98" spans="2:18" s="122" customFormat="1">
      <c r="B98" s="77" t="s">
        <v>3420</v>
      </c>
      <c r="C98" s="87" t="s">
        <v>2972</v>
      </c>
      <c r="D98" s="74" t="s">
        <v>3032</v>
      </c>
      <c r="E98" s="74"/>
      <c r="F98" s="74" t="s">
        <v>557</v>
      </c>
      <c r="G98" s="97">
        <v>41767</v>
      </c>
      <c r="H98" s="74" t="s">
        <v>163</v>
      </c>
      <c r="I98" s="84">
        <v>6</v>
      </c>
      <c r="J98" s="87" t="s">
        <v>492</v>
      </c>
      <c r="K98" s="87" t="s">
        <v>165</v>
      </c>
      <c r="L98" s="88">
        <v>5.3499999999999999E-2</v>
      </c>
      <c r="M98" s="88">
        <v>2.8299999999999995E-2</v>
      </c>
      <c r="N98" s="84">
        <v>612005.23</v>
      </c>
      <c r="O98" s="86">
        <v>116.24</v>
      </c>
      <c r="P98" s="84">
        <v>711.39493000000004</v>
      </c>
      <c r="Q98" s="85">
        <f t="shared" si="2"/>
        <v>1.4139472783931939E-4</v>
      </c>
      <c r="R98" s="85">
        <f>P98/'סכום נכסי הקרן'!$C$42</f>
        <v>1.3656756341671182E-5</v>
      </c>
    </row>
    <row r="99" spans="2:18" s="122" customFormat="1">
      <c r="B99" s="77" t="s">
        <v>3420</v>
      </c>
      <c r="C99" s="87" t="s">
        <v>2972</v>
      </c>
      <c r="D99" s="74" t="s">
        <v>3033</v>
      </c>
      <c r="E99" s="74"/>
      <c r="F99" s="74" t="s">
        <v>557</v>
      </c>
      <c r="G99" s="97">
        <v>41269</v>
      </c>
      <c r="H99" s="74" t="s">
        <v>163</v>
      </c>
      <c r="I99" s="84">
        <v>6.19</v>
      </c>
      <c r="J99" s="87" t="s">
        <v>492</v>
      </c>
      <c r="K99" s="87" t="s">
        <v>165</v>
      </c>
      <c r="L99" s="88">
        <v>5.3499999999999999E-2</v>
      </c>
      <c r="M99" s="88">
        <v>1.3199999999999998E-2</v>
      </c>
      <c r="N99" s="84">
        <v>3039560.04</v>
      </c>
      <c r="O99" s="86">
        <v>129.13</v>
      </c>
      <c r="P99" s="84">
        <v>3924.9840199999999</v>
      </c>
      <c r="Q99" s="85">
        <f t="shared" si="2"/>
        <v>7.8011808051763553E-4</v>
      </c>
      <c r="R99" s="85">
        <f>P99/'סכום נכסי הקרן'!$C$42</f>
        <v>7.5348513386359165E-5</v>
      </c>
    </row>
    <row r="100" spans="2:18" s="122" customFormat="1">
      <c r="B100" s="77" t="s">
        <v>3420</v>
      </c>
      <c r="C100" s="87" t="s">
        <v>2972</v>
      </c>
      <c r="D100" s="74" t="s">
        <v>3034</v>
      </c>
      <c r="E100" s="74"/>
      <c r="F100" s="74" t="s">
        <v>557</v>
      </c>
      <c r="G100" s="97">
        <v>41767</v>
      </c>
      <c r="H100" s="74" t="s">
        <v>163</v>
      </c>
      <c r="I100" s="84">
        <v>6.4999999999999991</v>
      </c>
      <c r="J100" s="87" t="s">
        <v>492</v>
      </c>
      <c r="K100" s="87" t="s">
        <v>165</v>
      </c>
      <c r="L100" s="88">
        <v>5.3499999999999999E-2</v>
      </c>
      <c r="M100" s="88">
        <v>3.0299999999999997E-2</v>
      </c>
      <c r="N100" s="84">
        <v>478960.67</v>
      </c>
      <c r="O100" s="86">
        <v>116.24</v>
      </c>
      <c r="P100" s="84">
        <v>556.74392</v>
      </c>
      <c r="Q100" s="85">
        <f t="shared" si="2"/>
        <v>1.106567557975087E-4</v>
      </c>
      <c r="R100" s="85">
        <f>P100/'סכום נכסי הקרן'!$C$42</f>
        <v>1.0687897452610287E-5</v>
      </c>
    </row>
    <row r="101" spans="2:18" s="122" customFormat="1">
      <c r="B101" s="77" t="s">
        <v>3420</v>
      </c>
      <c r="C101" s="87" t="s">
        <v>2972</v>
      </c>
      <c r="D101" s="74" t="s">
        <v>3035</v>
      </c>
      <c r="E101" s="74"/>
      <c r="F101" s="74" t="s">
        <v>557</v>
      </c>
      <c r="G101" s="97">
        <v>41767</v>
      </c>
      <c r="H101" s="74" t="s">
        <v>163</v>
      </c>
      <c r="I101" s="84">
        <v>6</v>
      </c>
      <c r="J101" s="87" t="s">
        <v>492</v>
      </c>
      <c r="K101" s="87" t="s">
        <v>165</v>
      </c>
      <c r="L101" s="88">
        <v>5.3499999999999999E-2</v>
      </c>
      <c r="M101" s="88">
        <v>2.8300000000000002E-2</v>
      </c>
      <c r="N101" s="84">
        <v>612005.17000000004</v>
      </c>
      <c r="O101" s="86">
        <v>116.24</v>
      </c>
      <c r="P101" s="84">
        <v>711.39485999999999</v>
      </c>
      <c r="Q101" s="85">
        <f t="shared" ref="Q101:Q164" si="3">P101/$P$10</f>
        <v>1.4139471392632882E-4</v>
      </c>
      <c r="R101" s="85">
        <f>P101/'סכום נכסי הקרן'!$C$42</f>
        <v>1.3656754997870567E-5</v>
      </c>
    </row>
    <row r="102" spans="2:18" s="122" customFormat="1">
      <c r="B102" s="77" t="s">
        <v>3420</v>
      </c>
      <c r="C102" s="87" t="s">
        <v>2972</v>
      </c>
      <c r="D102" s="74" t="s">
        <v>3036</v>
      </c>
      <c r="E102" s="74"/>
      <c r="F102" s="74" t="s">
        <v>557</v>
      </c>
      <c r="G102" s="97">
        <v>41269</v>
      </c>
      <c r="H102" s="74" t="s">
        <v>163</v>
      </c>
      <c r="I102" s="84">
        <v>6.19</v>
      </c>
      <c r="J102" s="87" t="s">
        <v>492</v>
      </c>
      <c r="K102" s="87" t="s">
        <v>165</v>
      </c>
      <c r="L102" s="88">
        <v>5.3499999999999999E-2</v>
      </c>
      <c r="M102" s="88">
        <v>1.32E-2</v>
      </c>
      <c r="N102" s="84">
        <v>3229531.98</v>
      </c>
      <c r="O102" s="86">
        <v>129.13</v>
      </c>
      <c r="P102" s="84">
        <v>4170.2947999999997</v>
      </c>
      <c r="Q102" s="85">
        <f t="shared" si="3"/>
        <v>8.288753171964956E-4</v>
      </c>
      <c r="R102" s="85">
        <f>P102/'סכום נכסי הקרן'!$C$42</f>
        <v>8.0057781627061004E-5</v>
      </c>
    </row>
    <row r="103" spans="2:18" s="122" customFormat="1">
      <c r="B103" s="77" t="s">
        <v>3420</v>
      </c>
      <c r="C103" s="87" t="s">
        <v>2972</v>
      </c>
      <c r="D103" s="74" t="s">
        <v>3037</v>
      </c>
      <c r="E103" s="74"/>
      <c r="F103" s="74" t="s">
        <v>557</v>
      </c>
      <c r="G103" s="97">
        <v>41281</v>
      </c>
      <c r="H103" s="74" t="s">
        <v>163</v>
      </c>
      <c r="I103" s="84">
        <v>6.1899999999999995</v>
      </c>
      <c r="J103" s="87" t="s">
        <v>492</v>
      </c>
      <c r="K103" s="87" t="s">
        <v>165</v>
      </c>
      <c r="L103" s="88">
        <v>5.3499999999999999E-2</v>
      </c>
      <c r="M103" s="88">
        <v>1.3299999999999999E-2</v>
      </c>
      <c r="N103" s="84">
        <v>4068744.81</v>
      </c>
      <c r="O103" s="86">
        <v>129</v>
      </c>
      <c r="P103" s="84">
        <v>5248.6809800000001</v>
      </c>
      <c r="Q103" s="85">
        <f t="shared" si="3"/>
        <v>1.0432121278718027E-3</v>
      </c>
      <c r="R103" s="85">
        <f>P103/'סכום נכסי הקרן'!$C$42</f>
        <v>1.0075972464271556E-4</v>
      </c>
    </row>
    <row r="104" spans="2:18" s="122" customFormat="1">
      <c r="B104" s="77" t="s">
        <v>3420</v>
      </c>
      <c r="C104" s="87" t="s">
        <v>2972</v>
      </c>
      <c r="D104" s="74" t="s">
        <v>3038</v>
      </c>
      <c r="E104" s="74"/>
      <c r="F104" s="74" t="s">
        <v>557</v>
      </c>
      <c r="G104" s="97">
        <v>41767</v>
      </c>
      <c r="H104" s="74" t="s">
        <v>163</v>
      </c>
      <c r="I104" s="84">
        <v>5.9999999999999991</v>
      </c>
      <c r="J104" s="87" t="s">
        <v>492</v>
      </c>
      <c r="K104" s="87" t="s">
        <v>165</v>
      </c>
      <c r="L104" s="88">
        <v>5.3499999999999999E-2</v>
      </c>
      <c r="M104" s="88">
        <v>2.8300000000000002E-2</v>
      </c>
      <c r="N104" s="84">
        <v>718440.9</v>
      </c>
      <c r="O104" s="86">
        <v>116.24</v>
      </c>
      <c r="P104" s="84">
        <v>835.11576000000002</v>
      </c>
      <c r="Q104" s="85">
        <f t="shared" si="3"/>
        <v>1.659851098454221E-4</v>
      </c>
      <c r="R104" s="85">
        <f>P104/'סכום נכסי הקרן'!$C$42</f>
        <v>1.6031843875257232E-5</v>
      </c>
    </row>
    <row r="105" spans="2:18" s="122" customFormat="1">
      <c r="B105" s="77" t="s">
        <v>3420</v>
      </c>
      <c r="C105" s="87" t="s">
        <v>2972</v>
      </c>
      <c r="D105" s="74" t="s">
        <v>3039</v>
      </c>
      <c r="E105" s="74"/>
      <c r="F105" s="74" t="s">
        <v>557</v>
      </c>
      <c r="G105" s="97">
        <v>41281</v>
      </c>
      <c r="H105" s="74" t="s">
        <v>163</v>
      </c>
      <c r="I105" s="84">
        <v>6.19</v>
      </c>
      <c r="J105" s="87" t="s">
        <v>492</v>
      </c>
      <c r="K105" s="87" t="s">
        <v>165</v>
      </c>
      <c r="L105" s="88">
        <v>5.3499999999999999E-2</v>
      </c>
      <c r="M105" s="88">
        <v>1.3300000000000001E-2</v>
      </c>
      <c r="N105" s="84">
        <v>2930875.49</v>
      </c>
      <c r="O105" s="86">
        <v>129</v>
      </c>
      <c r="P105" s="84">
        <v>3780.8295099999996</v>
      </c>
      <c r="Q105" s="85">
        <f t="shared" si="3"/>
        <v>7.5146636141097765E-4</v>
      </c>
      <c r="R105" s="85">
        <f>P105/'סכום נכסי הקרן'!$C$42</f>
        <v>7.2581157399406878E-5</v>
      </c>
    </row>
    <row r="106" spans="2:18" s="122" customFormat="1">
      <c r="B106" s="77" t="s">
        <v>3420</v>
      </c>
      <c r="C106" s="87" t="s">
        <v>2972</v>
      </c>
      <c r="D106" s="74" t="s">
        <v>3040</v>
      </c>
      <c r="E106" s="74"/>
      <c r="F106" s="74" t="s">
        <v>557</v>
      </c>
      <c r="G106" s="97">
        <v>41767</v>
      </c>
      <c r="H106" s="74" t="s">
        <v>163</v>
      </c>
      <c r="I106" s="84">
        <v>6</v>
      </c>
      <c r="J106" s="87" t="s">
        <v>492</v>
      </c>
      <c r="K106" s="87" t="s">
        <v>165</v>
      </c>
      <c r="L106" s="88">
        <v>5.3499999999999999E-2</v>
      </c>
      <c r="M106" s="88">
        <v>2.8300000000000002E-2</v>
      </c>
      <c r="N106" s="84">
        <v>585262.16</v>
      </c>
      <c r="O106" s="86">
        <v>116.24</v>
      </c>
      <c r="P106" s="84">
        <v>680.30878000000007</v>
      </c>
      <c r="Q106" s="85">
        <f t="shared" si="3"/>
        <v>1.3521613767306356E-4</v>
      </c>
      <c r="R106" s="85">
        <f>P106/'סכום נכסי הקרן'!$C$42</f>
        <v>1.3059990806456247E-5</v>
      </c>
    </row>
    <row r="107" spans="2:18" s="122" customFormat="1">
      <c r="B107" s="77" t="s">
        <v>3420</v>
      </c>
      <c r="C107" s="87" t="s">
        <v>2972</v>
      </c>
      <c r="D107" s="74" t="s">
        <v>3041</v>
      </c>
      <c r="E107" s="74"/>
      <c r="F107" s="74" t="s">
        <v>557</v>
      </c>
      <c r="G107" s="97">
        <v>41281</v>
      </c>
      <c r="H107" s="74" t="s">
        <v>163</v>
      </c>
      <c r="I107" s="84">
        <v>6.19</v>
      </c>
      <c r="J107" s="87" t="s">
        <v>492</v>
      </c>
      <c r="K107" s="87" t="s">
        <v>165</v>
      </c>
      <c r="L107" s="88">
        <v>5.3499999999999999E-2</v>
      </c>
      <c r="M107" s="88">
        <v>1.3299999999999999E-2</v>
      </c>
      <c r="N107" s="84">
        <v>3519924.12</v>
      </c>
      <c r="O107" s="86">
        <v>129</v>
      </c>
      <c r="P107" s="84">
        <v>4540.7022699999998</v>
      </c>
      <c r="Q107" s="85">
        <f t="shared" si="3"/>
        <v>9.0249639769857462E-4</v>
      </c>
      <c r="R107" s="85">
        <f>P107/'סכום נכסי הקרן'!$C$42</f>
        <v>8.7168549994393727E-5</v>
      </c>
    </row>
    <row r="108" spans="2:18" s="122" customFormat="1">
      <c r="B108" s="77" t="s">
        <v>3421</v>
      </c>
      <c r="C108" s="87" t="s">
        <v>2972</v>
      </c>
      <c r="D108" s="74">
        <v>7127</v>
      </c>
      <c r="E108" s="74"/>
      <c r="F108" s="74" t="s">
        <v>1811</v>
      </c>
      <c r="G108" s="97">
        <v>43708</v>
      </c>
      <c r="H108" s="74" t="s">
        <v>2923</v>
      </c>
      <c r="I108" s="84">
        <v>6.5100000000000007</v>
      </c>
      <c r="J108" s="87" t="s">
        <v>3376</v>
      </c>
      <c r="K108" s="87" t="s">
        <v>165</v>
      </c>
      <c r="L108" s="88">
        <v>3.1E-2</v>
      </c>
      <c r="M108" s="88">
        <v>4.1200000000000001E-2</v>
      </c>
      <c r="N108" s="84">
        <v>20359317.190000001</v>
      </c>
      <c r="O108" s="86">
        <v>94.08</v>
      </c>
      <c r="P108" s="84">
        <v>19154.044089999999</v>
      </c>
      <c r="Q108" s="85">
        <f t="shared" si="3"/>
        <v>3.8070004956710524E-3</v>
      </c>
      <c r="R108" s="85">
        <f>P108/'סכום נכסי הקרן'!$C$42</f>
        <v>3.677030887678057E-4</v>
      </c>
    </row>
    <row r="109" spans="2:18" s="122" customFormat="1">
      <c r="B109" s="77" t="s">
        <v>3421</v>
      </c>
      <c r="C109" s="87" t="s">
        <v>2972</v>
      </c>
      <c r="D109" s="74">
        <v>7128</v>
      </c>
      <c r="E109" s="74"/>
      <c r="F109" s="74" t="s">
        <v>1811</v>
      </c>
      <c r="G109" s="97">
        <v>43708</v>
      </c>
      <c r="H109" s="74" t="s">
        <v>2923</v>
      </c>
      <c r="I109" s="84">
        <v>6.5299999999999985</v>
      </c>
      <c r="J109" s="87" t="s">
        <v>3376</v>
      </c>
      <c r="K109" s="87" t="s">
        <v>165</v>
      </c>
      <c r="L109" s="88">
        <v>2.4900000000000002E-2</v>
      </c>
      <c r="M109" s="88">
        <v>4.0999999999999995E-2</v>
      </c>
      <c r="N109" s="84">
        <v>8637669.3300000001</v>
      </c>
      <c r="O109" s="86">
        <v>91.92</v>
      </c>
      <c r="P109" s="84">
        <v>7939.7454400000006</v>
      </c>
      <c r="Q109" s="85">
        <f t="shared" si="3"/>
        <v>1.5780800484511144E-3</v>
      </c>
      <c r="R109" s="85">
        <f>P109/'סכום נכסי הקרן'!$C$42</f>
        <v>1.5242049713367348E-4</v>
      </c>
    </row>
    <row r="110" spans="2:18" s="122" customFormat="1">
      <c r="B110" s="77" t="s">
        <v>3421</v>
      </c>
      <c r="C110" s="87" t="s">
        <v>2972</v>
      </c>
      <c r="D110" s="74">
        <v>7130</v>
      </c>
      <c r="E110" s="74"/>
      <c r="F110" s="74" t="s">
        <v>1811</v>
      </c>
      <c r="G110" s="97">
        <v>43708</v>
      </c>
      <c r="H110" s="74" t="s">
        <v>2923</v>
      </c>
      <c r="I110" s="84">
        <v>6.88</v>
      </c>
      <c r="J110" s="87" t="s">
        <v>3376</v>
      </c>
      <c r="K110" s="87" t="s">
        <v>165</v>
      </c>
      <c r="L110" s="88">
        <v>3.6000000000000004E-2</v>
      </c>
      <c r="M110" s="88">
        <v>4.1299999999999996E-2</v>
      </c>
      <c r="N110" s="84">
        <v>5426666.5300000003</v>
      </c>
      <c r="O110" s="86">
        <v>96.93</v>
      </c>
      <c r="P110" s="84">
        <v>5260.0683899999995</v>
      </c>
      <c r="Q110" s="85">
        <f t="shared" si="3"/>
        <v>1.0454754554130106E-3</v>
      </c>
      <c r="R110" s="85">
        <f>P110/'סכום נכסי הקרן'!$C$42</f>
        <v>1.0097833047918491E-4</v>
      </c>
    </row>
    <row r="111" spans="2:18" s="122" customFormat="1">
      <c r="B111" s="77" t="s">
        <v>3422</v>
      </c>
      <c r="C111" s="87" t="s">
        <v>2967</v>
      </c>
      <c r="D111" s="74">
        <v>7567</v>
      </c>
      <c r="E111" s="74"/>
      <c r="F111" s="74" t="s">
        <v>1811</v>
      </c>
      <c r="G111" s="97">
        <v>43919</v>
      </c>
      <c r="H111" s="74" t="s">
        <v>2923</v>
      </c>
      <c r="I111" s="84">
        <v>10.089999999999998</v>
      </c>
      <c r="J111" s="87" t="s">
        <v>3376</v>
      </c>
      <c r="K111" s="87" t="s">
        <v>165</v>
      </c>
      <c r="L111" s="88">
        <v>2.69E-2</v>
      </c>
      <c r="M111" s="88">
        <v>2.75E-2</v>
      </c>
      <c r="N111" s="84">
        <v>9353354.2300000004</v>
      </c>
      <c r="O111" s="86">
        <v>99.7</v>
      </c>
      <c r="P111" s="84">
        <v>9325.2940899999994</v>
      </c>
      <c r="Q111" s="85">
        <f t="shared" si="3"/>
        <v>1.8534675526534373E-3</v>
      </c>
      <c r="R111" s="85">
        <f>P111/'סכום נכסי הקרן'!$C$42</f>
        <v>1.7901908466167488E-4</v>
      </c>
    </row>
    <row r="112" spans="2:18" s="122" customFormat="1">
      <c r="B112" s="77" t="s">
        <v>3422</v>
      </c>
      <c r="C112" s="87" t="s">
        <v>2967</v>
      </c>
      <c r="D112" s="74">
        <v>7566</v>
      </c>
      <c r="E112" s="74"/>
      <c r="F112" s="74" t="s">
        <v>1811</v>
      </c>
      <c r="G112" s="97">
        <v>43919</v>
      </c>
      <c r="H112" s="74" t="s">
        <v>2923</v>
      </c>
      <c r="I112" s="84">
        <v>9.7199999999999989</v>
      </c>
      <c r="J112" s="87" t="s">
        <v>3376</v>
      </c>
      <c r="K112" s="87" t="s">
        <v>165</v>
      </c>
      <c r="L112" s="88">
        <v>2.69E-2</v>
      </c>
      <c r="M112" s="88">
        <v>2.75E-2</v>
      </c>
      <c r="N112" s="84">
        <v>9353354.2200000007</v>
      </c>
      <c r="O112" s="86">
        <v>99.7</v>
      </c>
      <c r="P112" s="84">
        <v>9325.2940799999997</v>
      </c>
      <c r="Q112" s="85">
        <f t="shared" si="3"/>
        <v>1.8534675506658672E-3</v>
      </c>
      <c r="R112" s="85">
        <f>P112/'סכום נכסי הקרן'!$C$42</f>
        <v>1.7901908446970338E-4</v>
      </c>
    </row>
    <row r="113" spans="2:18" s="122" customFormat="1">
      <c r="B113" s="77" t="s">
        <v>3423</v>
      </c>
      <c r="C113" s="87" t="s">
        <v>2967</v>
      </c>
      <c r="D113" s="74">
        <v>22333</v>
      </c>
      <c r="E113" s="74"/>
      <c r="F113" s="74" t="s">
        <v>1811</v>
      </c>
      <c r="G113" s="97">
        <v>41639</v>
      </c>
      <c r="H113" s="74" t="s">
        <v>2923</v>
      </c>
      <c r="I113" s="84">
        <v>1.94</v>
      </c>
      <c r="J113" s="87" t="s">
        <v>154</v>
      </c>
      <c r="K113" s="87" t="s">
        <v>165</v>
      </c>
      <c r="L113" s="88">
        <v>3.7000000000000005E-2</v>
      </c>
      <c r="M113" s="88">
        <v>1.9400000000000001E-2</v>
      </c>
      <c r="N113" s="84">
        <v>30547705.050000001</v>
      </c>
      <c r="O113" s="86">
        <v>104.36</v>
      </c>
      <c r="P113" s="84">
        <v>31879.583699999999</v>
      </c>
      <c r="Q113" s="85">
        <f t="shared" si="3"/>
        <v>6.3362906745656764E-3</v>
      </c>
      <c r="R113" s="85">
        <f>P113/'סכום נכסי הקרן'!$C$42</f>
        <v>6.1199720226402538E-4</v>
      </c>
    </row>
    <row r="114" spans="2:18" s="122" customFormat="1">
      <c r="B114" s="77" t="s">
        <v>3423</v>
      </c>
      <c r="C114" s="87" t="s">
        <v>2967</v>
      </c>
      <c r="D114" s="74">
        <v>22334</v>
      </c>
      <c r="E114" s="74"/>
      <c r="F114" s="74" t="s">
        <v>1811</v>
      </c>
      <c r="G114" s="97">
        <v>42004</v>
      </c>
      <c r="H114" s="74" t="s">
        <v>2923</v>
      </c>
      <c r="I114" s="84">
        <v>2.39</v>
      </c>
      <c r="J114" s="87" t="s">
        <v>154</v>
      </c>
      <c r="K114" s="87" t="s">
        <v>165</v>
      </c>
      <c r="L114" s="88">
        <v>3.7000000000000005E-2</v>
      </c>
      <c r="M114" s="88">
        <v>2.0199999999999999E-2</v>
      </c>
      <c r="N114" s="84">
        <v>12728210.439999999</v>
      </c>
      <c r="O114" s="86">
        <v>105.07</v>
      </c>
      <c r="P114" s="84">
        <v>13373.530789999999</v>
      </c>
      <c r="Q114" s="85">
        <f t="shared" si="3"/>
        <v>2.65808296708385E-3</v>
      </c>
      <c r="R114" s="85">
        <f>P114/'סכום נכסי הקרן'!$C$42</f>
        <v>2.5673369843508346E-4</v>
      </c>
    </row>
    <row r="115" spans="2:18" s="122" customFormat="1">
      <c r="B115" s="77" t="s">
        <v>3423</v>
      </c>
      <c r="C115" s="87" t="s">
        <v>2967</v>
      </c>
      <c r="D115" s="74" t="s">
        <v>3042</v>
      </c>
      <c r="E115" s="74"/>
      <c r="F115" s="74" t="s">
        <v>1811</v>
      </c>
      <c r="G115" s="97">
        <v>42759</v>
      </c>
      <c r="H115" s="74" t="s">
        <v>2923</v>
      </c>
      <c r="I115" s="84">
        <v>3.4000000000000004</v>
      </c>
      <c r="J115" s="87" t="s">
        <v>154</v>
      </c>
      <c r="K115" s="87" t="s">
        <v>165</v>
      </c>
      <c r="L115" s="88">
        <v>2.5499999999999998E-2</v>
      </c>
      <c r="M115" s="88">
        <v>1.9000000000000003E-2</v>
      </c>
      <c r="N115" s="84">
        <v>12516336.98</v>
      </c>
      <c r="O115" s="86">
        <v>102.71</v>
      </c>
      <c r="P115" s="84">
        <v>12855.529769999999</v>
      </c>
      <c r="Q115" s="85">
        <f t="shared" si="3"/>
        <v>2.5551266341740978E-3</v>
      </c>
      <c r="R115" s="85">
        <f>P115/'סכום נכסי הקרן'!$C$42</f>
        <v>2.4678955430844883E-4</v>
      </c>
    </row>
    <row r="116" spans="2:18" s="122" customFormat="1">
      <c r="B116" s="77" t="s">
        <v>3423</v>
      </c>
      <c r="C116" s="87" t="s">
        <v>2967</v>
      </c>
      <c r="D116" s="74" t="s">
        <v>3043</v>
      </c>
      <c r="E116" s="74"/>
      <c r="F116" s="74" t="s">
        <v>1811</v>
      </c>
      <c r="G116" s="97">
        <v>42759</v>
      </c>
      <c r="H116" s="74" t="s">
        <v>2923</v>
      </c>
      <c r="I116" s="84">
        <v>3.28</v>
      </c>
      <c r="J116" s="87" t="s">
        <v>154</v>
      </c>
      <c r="K116" s="87" t="s">
        <v>165</v>
      </c>
      <c r="L116" s="88">
        <v>3.8800000000000001E-2</v>
      </c>
      <c r="M116" s="88">
        <v>3.6900000000000002E-2</v>
      </c>
      <c r="N116" s="84">
        <v>12516336.98</v>
      </c>
      <c r="O116" s="86">
        <v>101.42</v>
      </c>
      <c r="P116" s="84">
        <v>12694.069509999999</v>
      </c>
      <c r="Q116" s="85">
        <f t="shared" si="3"/>
        <v>2.5230352759751215E-3</v>
      </c>
      <c r="R116" s="85">
        <f>P116/'סכום נכסי הקרן'!$C$42</f>
        <v>2.4368997721463558E-4</v>
      </c>
    </row>
    <row r="117" spans="2:18" s="122" customFormat="1">
      <c r="B117" s="77" t="s">
        <v>3424</v>
      </c>
      <c r="C117" s="87" t="s">
        <v>2967</v>
      </c>
      <c r="D117" s="74">
        <v>7497</v>
      </c>
      <c r="E117" s="74"/>
      <c r="F117" s="74" t="s">
        <v>348</v>
      </c>
      <c r="G117" s="97">
        <v>43921</v>
      </c>
      <c r="H117" s="74" t="s">
        <v>2923</v>
      </c>
      <c r="I117" s="84">
        <v>8.1799999999999979</v>
      </c>
      <c r="J117" s="87" t="s">
        <v>3376</v>
      </c>
      <c r="K117" s="87" t="s">
        <v>165</v>
      </c>
      <c r="L117" s="88">
        <v>2.8500000000000001E-2</v>
      </c>
      <c r="M117" s="88">
        <v>2.63E-2</v>
      </c>
      <c r="N117" s="84">
        <v>17521103</v>
      </c>
      <c r="O117" s="86">
        <v>102.04</v>
      </c>
      <c r="P117" s="84">
        <v>17878.533100000001</v>
      </c>
      <c r="Q117" s="85">
        <f t="shared" si="3"/>
        <v>3.5534837475447892E-3</v>
      </c>
      <c r="R117" s="85">
        <f>P117/'סכום נכסי הקרן'!$C$42</f>
        <v>3.4321691088408954E-4</v>
      </c>
    </row>
    <row r="118" spans="2:18" s="122" customFormat="1">
      <c r="B118" s="77" t="s">
        <v>3425</v>
      </c>
      <c r="C118" s="87" t="s">
        <v>2967</v>
      </c>
      <c r="D118" s="74">
        <v>2963</v>
      </c>
      <c r="E118" s="74"/>
      <c r="F118" s="74" t="s">
        <v>656</v>
      </c>
      <c r="G118" s="97">
        <v>41423</v>
      </c>
      <c r="H118" s="74" t="s">
        <v>163</v>
      </c>
      <c r="I118" s="84">
        <v>4.3200000000000012</v>
      </c>
      <c r="J118" s="87" t="s">
        <v>3376</v>
      </c>
      <c r="K118" s="87" t="s">
        <v>165</v>
      </c>
      <c r="L118" s="88">
        <v>0.05</v>
      </c>
      <c r="M118" s="88">
        <v>1.8400000000000003E-2</v>
      </c>
      <c r="N118" s="84">
        <v>8580310.1199999992</v>
      </c>
      <c r="O118" s="86">
        <v>116.84</v>
      </c>
      <c r="P118" s="84">
        <v>10025.234109999999</v>
      </c>
      <c r="Q118" s="85">
        <f t="shared" si="3"/>
        <v>1.9925855368535042E-3</v>
      </c>
      <c r="R118" s="85">
        <f>P118/'סכום נכסי הקרן'!$C$42</f>
        <v>1.9245593935914154E-4</v>
      </c>
    </row>
    <row r="119" spans="2:18" s="122" customFormat="1">
      <c r="B119" s="77" t="s">
        <v>3425</v>
      </c>
      <c r="C119" s="87" t="s">
        <v>2967</v>
      </c>
      <c r="D119" s="74">
        <v>2968</v>
      </c>
      <c r="E119" s="74"/>
      <c r="F119" s="74" t="s">
        <v>656</v>
      </c>
      <c r="G119" s="97">
        <v>41423</v>
      </c>
      <c r="H119" s="74" t="s">
        <v>163</v>
      </c>
      <c r="I119" s="84">
        <v>4.32</v>
      </c>
      <c r="J119" s="87" t="s">
        <v>3376</v>
      </c>
      <c r="K119" s="87" t="s">
        <v>165</v>
      </c>
      <c r="L119" s="88">
        <v>0.05</v>
      </c>
      <c r="M119" s="88">
        <v>1.84E-2</v>
      </c>
      <c r="N119" s="84">
        <v>2759598.35</v>
      </c>
      <c r="O119" s="86">
        <v>116.84</v>
      </c>
      <c r="P119" s="84">
        <v>3224.3146299999999</v>
      </c>
      <c r="Q119" s="85">
        <f t="shared" si="3"/>
        <v>6.4085512891859625E-4</v>
      </c>
      <c r="R119" s="85">
        <f>P119/'סכום נכסי הקרן'!$C$42</f>
        <v>6.1897656862406461E-5</v>
      </c>
    </row>
    <row r="120" spans="2:18" s="122" customFormat="1">
      <c r="B120" s="77" t="s">
        <v>3425</v>
      </c>
      <c r="C120" s="87" t="s">
        <v>2967</v>
      </c>
      <c r="D120" s="74">
        <v>4605</v>
      </c>
      <c r="E120" s="74"/>
      <c r="F120" s="74" t="s">
        <v>656</v>
      </c>
      <c r="G120" s="97">
        <v>42352</v>
      </c>
      <c r="H120" s="74" t="s">
        <v>163</v>
      </c>
      <c r="I120" s="84">
        <v>6.29</v>
      </c>
      <c r="J120" s="87" t="s">
        <v>3376</v>
      </c>
      <c r="K120" s="87" t="s">
        <v>165</v>
      </c>
      <c r="L120" s="88">
        <v>0.05</v>
      </c>
      <c r="M120" s="88">
        <v>3.0699999999999998E-2</v>
      </c>
      <c r="N120" s="84">
        <v>8687887.6999999993</v>
      </c>
      <c r="O120" s="86">
        <v>114.43</v>
      </c>
      <c r="P120" s="84">
        <v>9941.5495600000013</v>
      </c>
      <c r="Q120" s="85">
        <f t="shared" si="3"/>
        <v>1.9759526460742497E-3</v>
      </c>
      <c r="R120" s="85">
        <f>P120/'סכום נכסי הקרן'!$C$42</f>
        <v>1.908494343635094E-4</v>
      </c>
    </row>
    <row r="121" spans="2:18" s="122" customFormat="1">
      <c r="B121" s="77" t="s">
        <v>3425</v>
      </c>
      <c r="C121" s="87" t="s">
        <v>2967</v>
      </c>
      <c r="D121" s="74">
        <v>4606</v>
      </c>
      <c r="E121" s="74"/>
      <c r="F121" s="74" t="s">
        <v>656</v>
      </c>
      <c r="G121" s="97">
        <v>42352</v>
      </c>
      <c r="H121" s="74" t="s">
        <v>163</v>
      </c>
      <c r="I121" s="84">
        <v>8.2800000000000011</v>
      </c>
      <c r="J121" s="87" t="s">
        <v>3376</v>
      </c>
      <c r="K121" s="87" t="s">
        <v>165</v>
      </c>
      <c r="L121" s="88">
        <v>4.0999999999999995E-2</v>
      </c>
      <c r="M121" s="88">
        <v>2.76E-2</v>
      </c>
      <c r="N121" s="84">
        <v>23733079.949999999</v>
      </c>
      <c r="O121" s="86">
        <v>113.24</v>
      </c>
      <c r="P121" s="84">
        <v>26875.340600000003</v>
      </c>
      <c r="Q121" s="85">
        <f t="shared" si="3"/>
        <v>5.3416622883803947E-3</v>
      </c>
      <c r="R121" s="85">
        <f>P121/'סכום נכסי הקרן'!$C$42</f>
        <v>5.1592998866835198E-4</v>
      </c>
    </row>
    <row r="122" spans="2:18" s="122" customFormat="1">
      <c r="B122" s="77" t="s">
        <v>3425</v>
      </c>
      <c r="C122" s="87" t="s">
        <v>2967</v>
      </c>
      <c r="D122" s="74">
        <v>5150</v>
      </c>
      <c r="E122" s="74"/>
      <c r="F122" s="74" t="s">
        <v>656</v>
      </c>
      <c r="G122" s="97">
        <v>42631</v>
      </c>
      <c r="H122" s="74" t="s">
        <v>163</v>
      </c>
      <c r="I122" s="84">
        <v>8.06</v>
      </c>
      <c r="J122" s="87" t="s">
        <v>3376</v>
      </c>
      <c r="K122" s="87" t="s">
        <v>165</v>
      </c>
      <c r="L122" s="88">
        <v>4.0999999999999995E-2</v>
      </c>
      <c r="M122" s="88">
        <v>3.5799999999999998E-2</v>
      </c>
      <c r="N122" s="84">
        <v>7042809.1799999997</v>
      </c>
      <c r="O122" s="86">
        <v>106.48</v>
      </c>
      <c r="P122" s="84">
        <v>7499.18289</v>
      </c>
      <c r="Q122" s="85">
        <f t="shared" si="3"/>
        <v>1.4905151541476835E-3</v>
      </c>
      <c r="R122" s="85">
        <f>P122/'סכום נכסי הקרן'!$C$42</f>
        <v>1.4396295105780345E-4</v>
      </c>
    </row>
    <row r="123" spans="2:18" s="122" customFormat="1">
      <c r="B123" s="77" t="s">
        <v>3426</v>
      </c>
      <c r="C123" s="87" t="s">
        <v>2967</v>
      </c>
      <c r="D123" s="74">
        <v>7490</v>
      </c>
      <c r="E123" s="74"/>
      <c r="F123" s="74" t="s">
        <v>348</v>
      </c>
      <c r="G123" s="97">
        <v>43921</v>
      </c>
      <c r="H123" s="74" t="s">
        <v>2923</v>
      </c>
      <c r="I123" s="84">
        <v>4.8100000000000005</v>
      </c>
      <c r="J123" s="87" t="s">
        <v>159</v>
      </c>
      <c r="K123" s="87" t="s">
        <v>165</v>
      </c>
      <c r="L123" s="88">
        <v>2.3889999999999998E-2</v>
      </c>
      <c r="M123" s="88">
        <v>3.2199999999999999E-2</v>
      </c>
      <c r="N123" s="84">
        <v>12693763.32</v>
      </c>
      <c r="O123" s="86">
        <v>96.35</v>
      </c>
      <c r="P123" s="84">
        <v>12230.440759999999</v>
      </c>
      <c r="Q123" s="85">
        <f t="shared" si="3"/>
        <v>2.4308858127722647E-3</v>
      </c>
      <c r="R123" s="85">
        <f>P123/'סכום נכסי הקרן'!$C$42</f>
        <v>2.3478962579978423E-4</v>
      </c>
    </row>
    <row r="124" spans="2:18" s="122" customFormat="1">
      <c r="B124" s="77" t="s">
        <v>3426</v>
      </c>
      <c r="C124" s="87" t="s">
        <v>2967</v>
      </c>
      <c r="D124" s="74">
        <v>7491</v>
      </c>
      <c r="E124" s="74"/>
      <c r="F124" s="74" t="s">
        <v>348</v>
      </c>
      <c r="G124" s="97">
        <v>43921</v>
      </c>
      <c r="H124" s="74" t="s">
        <v>2923</v>
      </c>
      <c r="I124" s="84">
        <v>4.9799999999999995</v>
      </c>
      <c r="J124" s="87" t="s">
        <v>159</v>
      </c>
      <c r="K124" s="87" t="s">
        <v>165</v>
      </c>
      <c r="L124" s="88">
        <v>1.2969999999999999E-2</v>
      </c>
      <c r="M124" s="88">
        <v>2.0099999999999996E-2</v>
      </c>
      <c r="N124" s="84">
        <v>25387526.649999999</v>
      </c>
      <c r="O124" s="86">
        <v>96.63</v>
      </c>
      <c r="P124" s="84">
        <v>24531.965850000001</v>
      </c>
      <c r="Q124" s="85">
        <f t="shared" si="3"/>
        <v>4.8759001342956257E-3</v>
      </c>
      <c r="R124" s="85">
        <f>P124/'סכום נכסי הקרן'!$C$42</f>
        <v>4.7094386826126012E-4</v>
      </c>
    </row>
    <row r="125" spans="2:18" s="122" customFormat="1">
      <c r="B125" s="77" t="s">
        <v>3427</v>
      </c>
      <c r="C125" s="87" t="s">
        <v>2972</v>
      </c>
      <c r="D125" s="74" t="s">
        <v>3044</v>
      </c>
      <c r="E125" s="74"/>
      <c r="F125" s="74" t="s">
        <v>656</v>
      </c>
      <c r="G125" s="97">
        <v>43011</v>
      </c>
      <c r="H125" s="74" t="s">
        <v>163</v>
      </c>
      <c r="I125" s="84">
        <v>8.0299999999999994</v>
      </c>
      <c r="J125" s="87" t="s">
        <v>2986</v>
      </c>
      <c r="K125" s="87" t="s">
        <v>165</v>
      </c>
      <c r="L125" s="88">
        <v>3.9E-2</v>
      </c>
      <c r="M125" s="88">
        <v>4.7900000000000012E-2</v>
      </c>
      <c r="N125" s="84">
        <v>2461584.62</v>
      </c>
      <c r="O125" s="86">
        <v>94.84</v>
      </c>
      <c r="P125" s="84">
        <v>2334.5668900000001</v>
      </c>
      <c r="Q125" s="85">
        <f t="shared" si="3"/>
        <v>4.6401153018371422E-4</v>
      </c>
      <c r="R125" s="85">
        <f>P125/'סכום נכסי הקרן'!$C$42</f>
        <v>4.4817034583115554E-5</v>
      </c>
    </row>
    <row r="126" spans="2:18" s="122" customFormat="1">
      <c r="B126" s="77" t="s">
        <v>3427</v>
      </c>
      <c r="C126" s="87" t="s">
        <v>2972</v>
      </c>
      <c r="D126" s="74" t="s">
        <v>3045</v>
      </c>
      <c r="E126" s="74"/>
      <c r="F126" s="74" t="s">
        <v>656</v>
      </c>
      <c r="G126" s="97">
        <v>43104</v>
      </c>
      <c r="H126" s="74" t="s">
        <v>163</v>
      </c>
      <c r="I126" s="84">
        <v>8.0200000000000014</v>
      </c>
      <c r="J126" s="87" t="s">
        <v>2986</v>
      </c>
      <c r="K126" s="87" t="s">
        <v>165</v>
      </c>
      <c r="L126" s="88">
        <v>3.8199999999999998E-2</v>
      </c>
      <c r="M126" s="88">
        <v>5.2299999999999992E-2</v>
      </c>
      <c r="N126" s="84">
        <v>4380042.46</v>
      </c>
      <c r="O126" s="86">
        <v>89.21</v>
      </c>
      <c r="P126" s="84">
        <v>3907.4358900000002</v>
      </c>
      <c r="Q126" s="85">
        <f t="shared" si="3"/>
        <v>7.7663026670170211E-4</v>
      </c>
      <c r="R126" s="85">
        <f>P126/'סכום נכסי הקרן'!$C$42</f>
        <v>7.5011639273885581E-5</v>
      </c>
    </row>
    <row r="127" spans="2:18" s="122" customFormat="1">
      <c r="B127" s="77" t="s">
        <v>3427</v>
      </c>
      <c r="C127" s="87" t="s">
        <v>2972</v>
      </c>
      <c r="D127" s="74" t="s">
        <v>3046</v>
      </c>
      <c r="E127" s="74"/>
      <c r="F127" s="74" t="s">
        <v>656</v>
      </c>
      <c r="G127" s="97">
        <v>43194</v>
      </c>
      <c r="H127" s="74" t="s">
        <v>163</v>
      </c>
      <c r="I127" s="84">
        <v>8.09</v>
      </c>
      <c r="J127" s="87" t="s">
        <v>2986</v>
      </c>
      <c r="K127" s="87" t="s">
        <v>165</v>
      </c>
      <c r="L127" s="88">
        <v>3.7900000000000003E-2</v>
      </c>
      <c r="M127" s="88">
        <v>4.7200000000000006E-2</v>
      </c>
      <c r="N127" s="84">
        <v>2827463.42</v>
      </c>
      <c r="O127" s="86">
        <v>92.75</v>
      </c>
      <c r="P127" s="84">
        <v>2622.4723399999998</v>
      </c>
      <c r="Q127" s="85">
        <f t="shared" si="3"/>
        <v>5.2123475603128486E-4</v>
      </c>
      <c r="R127" s="85">
        <f>P127/'סכום נכסי הקרן'!$C$42</f>
        <v>5.0343999162535867E-5</v>
      </c>
    </row>
    <row r="128" spans="2:18" s="122" customFormat="1">
      <c r="B128" s="77" t="s">
        <v>3427</v>
      </c>
      <c r="C128" s="87" t="s">
        <v>2972</v>
      </c>
      <c r="D128" s="74" t="s">
        <v>3047</v>
      </c>
      <c r="E128" s="74"/>
      <c r="F128" s="74" t="s">
        <v>656</v>
      </c>
      <c r="G128" s="97">
        <v>43285</v>
      </c>
      <c r="H128" s="74" t="s">
        <v>163</v>
      </c>
      <c r="I128" s="84">
        <v>8.06</v>
      </c>
      <c r="J128" s="87" t="s">
        <v>2986</v>
      </c>
      <c r="K128" s="87" t="s">
        <v>165</v>
      </c>
      <c r="L128" s="88">
        <v>4.0099999999999997E-2</v>
      </c>
      <c r="M128" s="88">
        <v>4.7100000000000003E-2</v>
      </c>
      <c r="N128" s="84">
        <v>3757662.46</v>
      </c>
      <c r="O128" s="86">
        <v>93.41</v>
      </c>
      <c r="P128" s="84">
        <v>3510.0325600000001</v>
      </c>
      <c r="Q128" s="85">
        <f t="shared" si="3"/>
        <v>6.9764356983588493E-4</v>
      </c>
      <c r="R128" s="85">
        <f>P128/'סכום נכסי הקרן'!$C$42</f>
        <v>6.7382627288688061E-5</v>
      </c>
    </row>
    <row r="129" spans="2:18" s="122" customFormat="1">
      <c r="B129" s="77" t="s">
        <v>3427</v>
      </c>
      <c r="C129" s="87" t="s">
        <v>2972</v>
      </c>
      <c r="D129" s="74" t="s">
        <v>3048</v>
      </c>
      <c r="E129" s="74"/>
      <c r="F129" s="74" t="s">
        <v>656</v>
      </c>
      <c r="G129" s="97">
        <v>43377</v>
      </c>
      <c r="H129" s="74" t="s">
        <v>163</v>
      </c>
      <c r="I129" s="84">
        <v>8.0399999999999991</v>
      </c>
      <c r="J129" s="87" t="s">
        <v>2986</v>
      </c>
      <c r="K129" s="87" t="s">
        <v>165</v>
      </c>
      <c r="L129" s="88">
        <v>3.9699999999999999E-2</v>
      </c>
      <c r="M129" s="88">
        <v>4.8900000000000006E-2</v>
      </c>
      <c r="N129" s="84">
        <v>7517994.3499999996</v>
      </c>
      <c r="O129" s="86">
        <v>91.77</v>
      </c>
      <c r="P129" s="84">
        <v>6899.2633299999998</v>
      </c>
      <c r="Q129" s="85">
        <f t="shared" si="3"/>
        <v>1.3712769373224888E-3</v>
      </c>
      <c r="R129" s="85">
        <f>P129/'סכום נכסי הקרן'!$C$42</f>
        <v>1.3244620429729085E-4</v>
      </c>
    </row>
    <row r="130" spans="2:18" s="122" customFormat="1">
      <c r="B130" s="77" t="s">
        <v>3427</v>
      </c>
      <c r="C130" s="87" t="s">
        <v>2972</v>
      </c>
      <c r="D130" s="74" t="s">
        <v>3049</v>
      </c>
      <c r="E130" s="74"/>
      <c r="F130" s="74" t="s">
        <v>656</v>
      </c>
      <c r="G130" s="97">
        <v>43469</v>
      </c>
      <c r="H130" s="74" t="s">
        <v>163</v>
      </c>
      <c r="I130" s="84">
        <v>9.57</v>
      </c>
      <c r="J130" s="87" t="s">
        <v>2986</v>
      </c>
      <c r="K130" s="87" t="s">
        <v>165</v>
      </c>
      <c r="L130" s="88">
        <v>4.1700000000000001E-2</v>
      </c>
      <c r="M130" s="88">
        <v>3.8099999999999995E-2</v>
      </c>
      <c r="N130" s="84">
        <v>5292376.79</v>
      </c>
      <c r="O130" s="86">
        <v>101.51</v>
      </c>
      <c r="P130" s="84">
        <v>5372.2919000000002</v>
      </c>
      <c r="Q130" s="85">
        <f t="shared" si="3"/>
        <v>1.067780664495149E-3</v>
      </c>
      <c r="R130" s="85">
        <f>P130/'סכום נכסי הקרן'!$C$42</f>
        <v>1.031327022173657E-4</v>
      </c>
    </row>
    <row r="131" spans="2:18" s="122" customFormat="1">
      <c r="B131" s="77" t="s">
        <v>3427</v>
      </c>
      <c r="C131" s="87" t="s">
        <v>2972</v>
      </c>
      <c r="D131" s="74" t="s">
        <v>3050</v>
      </c>
      <c r="E131" s="74"/>
      <c r="F131" s="74" t="s">
        <v>656</v>
      </c>
      <c r="G131" s="97">
        <v>43559</v>
      </c>
      <c r="H131" s="74" t="s">
        <v>163</v>
      </c>
      <c r="I131" s="84">
        <v>9.5200000000000014</v>
      </c>
      <c r="J131" s="87" t="s">
        <v>2986</v>
      </c>
      <c r="K131" s="87" t="s">
        <v>165</v>
      </c>
      <c r="L131" s="88">
        <v>3.7200000000000004E-2</v>
      </c>
      <c r="M131" s="88">
        <v>4.3299999999999998E-2</v>
      </c>
      <c r="N131" s="84">
        <v>12665275.67</v>
      </c>
      <c r="O131" s="86">
        <v>92.77</v>
      </c>
      <c r="P131" s="84">
        <v>11749.57602</v>
      </c>
      <c r="Q131" s="85">
        <f t="shared" si="3"/>
        <v>2.335310575765972E-3</v>
      </c>
      <c r="R131" s="85">
        <f>P131/'סכום נכסי הקרן'!$C$42</f>
        <v>2.255583924713698E-4</v>
      </c>
    </row>
    <row r="132" spans="2:18" s="122" customFormat="1">
      <c r="B132" s="77" t="s">
        <v>3427</v>
      </c>
      <c r="C132" s="87" t="s">
        <v>2972</v>
      </c>
      <c r="D132" s="74" t="s">
        <v>3051</v>
      </c>
      <c r="E132" s="74"/>
      <c r="F132" s="74" t="s">
        <v>656</v>
      </c>
      <c r="G132" s="97">
        <v>43742</v>
      </c>
      <c r="H132" s="74" t="s">
        <v>163</v>
      </c>
      <c r="I132" s="84">
        <v>9.35</v>
      </c>
      <c r="J132" s="87" t="s">
        <v>2986</v>
      </c>
      <c r="K132" s="87" t="s">
        <v>165</v>
      </c>
      <c r="L132" s="88">
        <v>3.1E-2</v>
      </c>
      <c r="M132" s="88">
        <v>5.340000000000001E-2</v>
      </c>
      <c r="N132" s="84">
        <v>14904681.83</v>
      </c>
      <c r="O132" s="86">
        <v>81.64</v>
      </c>
      <c r="P132" s="84">
        <v>12168.18219</v>
      </c>
      <c r="Q132" s="85">
        <f t="shared" si="3"/>
        <v>2.4185114856726674E-3</v>
      </c>
      <c r="R132" s="85">
        <f>P132/'סכום נכסי הקרן'!$C$42</f>
        <v>2.3359443859108305E-4</v>
      </c>
    </row>
    <row r="133" spans="2:18" s="122" customFormat="1">
      <c r="B133" s="77" t="s">
        <v>3427</v>
      </c>
      <c r="C133" s="87" t="s">
        <v>2972</v>
      </c>
      <c r="D133" s="74" t="s">
        <v>3052</v>
      </c>
      <c r="E133" s="74"/>
      <c r="F133" s="74" t="s">
        <v>656</v>
      </c>
      <c r="G133" s="97">
        <v>42935</v>
      </c>
      <c r="H133" s="74" t="s">
        <v>163</v>
      </c>
      <c r="I133" s="84">
        <v>9.4700000000000006</v>
      </c>
      <c r="J133" s="87" t="s">
        <v>2986</v>
      </c>
      <c r="K133" s="87" t="s">
        <v>165</v>
      </c>
      <c r="L133" s="88">
        <v>4.0800000000000003E-2</v>
      </c>
      <c r="M133" s="88">
        <v>4.2700000000000002E-2</v>
      </c>
      <c r="N133" s="84">
        <v>11494203.619999999</v>
      </c>
      <c r="O133" s="86">
        <v>97.78</v>
      </c>
      <c r="P133" s="84">
        <v>11239.03224</v>
      </c>
      <c r="Q133" s="85">
        <f t="shared" si="3"/>
        <v>2.2338364215670416E-3</v>
      </c>
      <c r="R133" s="85">
        <f>P133/'סכום נכסי הקרן'!$C$42</f>
        <v>2.1575740611177375E-4</v>
      </c>
    </row>
    <row r="134" spans="2:18" s="122" customFormat="1">
      <c r="B134" s="77" t="s">
        <v>3428</v>
      </c>
      <c r="C134" s="87" t="s">
        <v>2967</v>
      </c>
      <c r="D134" s="74">
        <v>4099</v>
      </c>
      <c r="E134" s="74"/>
      <c r="F134" s="74" t="s">
        <v>656</v>
      </c>
      <c r="G134" s="97">
        <v>42052</v>
      </c>
      <c r="H134" s="74" t="s">
        <v>163</v>
      </c>
      <c r="I134" s="84">
        <v>5.21</v>
      </c>
      <c r="J134" s="87" t="s">
        <v>492</v>
      </c>
      <c r="K134" s="87" t="s">
        <v>165</v>
      </c>
      <c r="L134" s="88">
        <v>2.9779E-2</v>
      </c>
      <c r="M134" s="88">
        <v>4.2099999999999999E-2</v>
      </c>
      <c r="N134" s="84">
        <v>10790711.369999999</v>
      </c>
      <c r="O134" s="86">
        <v>94.96</v>
      </c>
      <c r="P134" s="84">
        <v>10246.85924</v>
      </c>
      <c r="Q134" s="85">
        <f t="shared" si="3"/>
        <v>2.0366350846042929E-3</v>
      </c>
      <c r="R134" s="85">
        <f>P134/'סכום נכסי הקרן'!$C$42</f>
        <v>1.967105105852834E-4</v>
      </c>
    </row>
    <row r="135" spans="2:18" s="122" customFormat="1">
      <c r="B135" s="77" t="s">
        <v>3428</v>
      </c>
      <c r="C135" s="87" t="s">
        <v>2967</v>
      </c>
      <c r="D135" s="74" t="s">
        <v>3053</v>
      </c>
      <c r="E135" s="74"/>
      <c r="F135" s="74" t="s">
        <v>656</v>
      </c>
      <c r="G135" s="97">
        <v>42054</v>
      </c>
      <c r="H135" s="74" t="s">
        <v>163</v>
      </c>
      <c r="I135" s="84">
        <v>5.21</v>
      </c>
      <c r="J135" s="87" t="s">
        <v>492</v>
      </c>
      <c r="K135" s="87" t="s">
        <v>165</v>
      </c>
      <c r="L135" s="88">
        <v>2.9779E-2</v>
      </c>
      <c r="M135" s="88">
        <v>4.2099999999999999E-2</v>
      </c>
      <c r="N135" s="84">
        <v>305167.19</v>
      </c>
      <c r="O135" s="86">
        <v>94.96</v>
      </c>
      <c r="P135" s="84">
        <v>289.78676000000002</v>
      </c>
      <c r="Q135" s="85">
        <f t="shared" si="3"/>
        <v>5.759714939441326E-5</v>
      </c>
      <c r="R135" s="85">
        <f>P135/'סכום נכסי הקרן'!$C$42</f>
        <v>5.5630803727577096E-6</v>
      </c>
    </row>
    <row r="136" spans="2:18" s="122" customFormat="1">
      <c r="B136" s="77" t="s">
        <v>3413</v>
      </c>
      <c r="C136" s="87" t="s">
        <v>2967</v>
      </c>
      <c r="D136" s="74" t="s">
        <v>3054</v>
      </c>
      <c r="E136" s="74"/>
      <c r="F136" s="74" t="s">
        <v>348</v>
      </c>
      <c r="G136" s="97">
        <v>40742</v>
      </c>
      <c r="H136" s="74" t="s">
        <v>2923</v>
      </c>
      <c r="I136" s="84">
        <v>7.3900000000000006</v>
      </c>
      <c r="J136" s="87" t="s">
        <v>3376</v>
      </c>
      <c r="K136" s="87" t="s">
        <v>165</v>
      </c>
      <c r="L136" s="88">
        <v>0.06</v>
      </c>
      <c r="M136" s="88">
        <v>1.2400000000000001E-2</v>
      </c>
      <c r="N136" s="84">
        <v>32823496.18</v>
      </c>
      <c r="O136" s="86">
        <v>146.53</v>
      </c>
      <c r="P136" s="84">
        <v>48096.267909999995</v>
      </c>
      <c r="Q136" s="85">
        <f t="shared" si="3"/>
        <v>9.5594703088781353E-3</v>
      </c>
      <c r="R136" s="85">
        <f>P136/'סכום נכסי הקרן'!$C$42</f>
        <v>9.2331134801678803E-4</v>
      </c>
    </row>
    <row r="137" spans="2:18" s="122" customFormat="1">
      <c r="B137" s="77" t="s">
        <v>3429</v>
      </c>
      <c r="C137" s="87" t="s">
        <v>2972</v>
      </c>
      <c r="D137" s="74" t="s">
        <v>3055</v>
      </c>
      <c r="E137" s="74"/>
      <c r="F137" s="74" t="s">
        <v>348</v>
      </c>
      <c r="G137" s="97">
        <v>42680</v>
      </c>
      <c r="H137" s="74" t="s">
        <v>2923</v>
      </c>
      <c r="I137" s="84">
        <v>3.29</v>
      </c>
      <c r="J137" s="87" t="s">
        <v>159</v>
      </c>
      <c r="K137" s="87" t="s">
        <v>165</v>
      </c>
      <c r="L137" s="88">
        <v>2.3E-2</v>
      </c>
      <c r="M137" s="88">
        <v>4.4900000000000002E-2</v>
      </c>
      <c r="N137" s="84">
        <v>4437329.51</v>
      </c>
      <c r="O137" s="86">
        <v>94.96</v>
      </c>
      <c r="P137" s="84">
        <v>4213.6882100000003</v>
      </c>
      <c r="Q137" s="85">
        <f t="shared" si="3"/>
        <v>8.3750006153782803E-4</v>
      </c>
      <c r="R137" s="85">
        <f>P137/'סכום נכסי הקרן'!$C$42</f>
        <v>8.0890811498674295E-5</v>
      </c>
    </row>
    <row r="138" spans="2:18" s="122" customFormat="1">
      <c r="B138" s="77" t="s">
        <v>3430</v>
      </c>
      <c r="C138" s="87" t="s">
        <v>2967</v>
      </c>
      <c r="D138" s="74" t="s">
        <v>3056</v>
      </c>
      <c r="E138" s="74"/>
      <c r="F138" s="74" t="s">
        <v>656</v>
      </c>
      <c r="G138" s="97">
        <v>42432</v>
      </c>
      <c r="H138" s="74" t="s">
        <v>163</v>
      </c>
      <c r="I138" s="84">
        <v>5.9399999999999995</v>
      </c>
      <c r="J138" s="87" t="s">
        <v>492</v>
      </c>
      <c r="K138" s="87" t="s">
        <v>165</v>
      </c>
      <c r="L138" s="88">
        <v>2.5399999999999999E-2</v>
      </c>
      <c r="M138" s="88">
        <v>1.7299999999999999E-2</v>
      </c>
      <c r="N138" s="84">
        <v>17767672.699999999</v>
      </c>
      <c r="O138" s="86">
        <v>106.55</v>
      </c>
      <c r="P138" s="84">
        <v>18931.455550000002</v>
      </c>
      <c r="Q138" s="85">
        <f t="shared" si="3"/>
        <v>3.7627594634311247E-3</v>
      </c>
      <c r="R138" s="85">
        <f>P138/'סכום נכסי הקרן'!$C$42</f>
        <v>3.634300228138098E-4</v>
      </c>
    </row>
    <row r="139" spans="2:18" s="122" customFormat="1">
      <c r="B139" s="77" t="s">
        <v>3431</v>
      </c>
      <c r="C139" s="87" t="s">
        <v>2967</v>
      </c>
      <c r="D139" s="74">
        <v>7134</v>
      </c>
      <c r="E139" s="74"/>
      <c r="F139" s="74" t="s">
        <v>656</v>
      </c>
      <c r="G139" s="97">
        <v>43738</v>
      </c>
      <c r="H139" s="74" t="s">
        <v>163</v>
      </c>
      <c r="I139" s="84">
        <v>6.2</v>
      </c>
      <c r="J139" s="87" t="s">
        <v>492</v>
      </c>
      <c r="K139" s="87" t="s">
        <v>165</v>
      </c>
      <c r="L139" s="88">
        <v>0.04</v>
      </c>
      <c r="M139" s="88">
        <v>5.45E-2</v>
      </c>
      <c r="N139" s="84">
        <v>1546695.31</v>
      </c>
      <c r="O139" s="86">
        <v>92.74</v>
      </c>
      <c r="P139" s="84">
        <v>1434.40527</v>
      </c>
      <c r="Q139" s="85">
        <f t="shared" si="3"/>
        <v>2.8509809981768554E-4</v>
      </c>
      <c r="R139" s="85">
        <f>P139/'סכום נכסי הקרן'!$C$42</f>
        <v>2.7536495470383887E-5</v>
      </c>
    </row>
    <row r="140" spans="2:18" s="122" customFormat="1">
      <c r="B140" s="77" t="s">
        <v>3431</v>
      </c>
      <c r="C140" s="87" t="s">
        <v>2967</v>
      </c>
      <c r="D140" s="74" t="s">
        <v>3057</v>
      </c>
      <c r="E140" s="74"/>
      <c r="F140" s="74" t="s">
        <v>656</v>
      </c>
      <c r="G140" s="97">
        <v>43072</v>
      </c>
      <c r="H140" s="74" t="s">
        <v>163</v>
      </c>
      <c r="I140" s="84">
        <v>6.2400000000000011</v>
      </c>
      <c r="J140" s="87" t="s">
        <v>492</v>
      </c>
      <c r="K140" s="87" t="s">
        <v>165</v>
      </c>
      <c r="L140" s="88">
        <v>0.04</v>
      </c>
      <c r="M140" s="88">
        <v>5.21E-2</v>
      </c>
      <c r="N140" s="84">
        <v>25412072.199999999</v>
      </c>
      <c r="O140" s="86">
        <v>94.65</v>
      </c>
      <c r="P140" s="84">
        <v>24052.52738</v>
      </c>
      <c r="Q140" s="85">
        <f t="shared" si="3"/>
        <v>4.7806083784472254E-3</v>
      </c>
      <c r="R140" s="85">
        <f>P140/'סכום נכסי הקרן'!$C$42</f>
        <v>4.6174001525430426E-4</v>
      </c>
    </row>
    <row r="141" spans="2:18" s="122" customFormat="1">
      <c r="B141" s="77" t="s">
        <v>3410</v>
      </c>
      <c r="C141" s="87" t="s">
        <v>2972</v>
      </c>
      <c r="D141" s="74" t="s">
        <v>3058</v>
      </c>
      <c r="E141" s="74"/>
      <c r="F141" s="74" t="s">
        <v>660</v>
      </c>
      <c r="G141" s="97">
        <v>42516</v>
      </c>
      <c r="H141" s="74" t="s">
        <v>356</v>
      </c>
      <c r="I141" s="84">
        <v>4.8</v>
      </c>
      <c r="J141" s="87" t="s">
        <v>492</v>
      </c>
      <c r="K141" s="87" t="s">
        <v>165</v>
      </c>
      <c r="L141" s="88">
        <v>2.3269999999999999E-2</v>
      </c>
      <c r="M141" s="88">
        <v>4.5499999999999999E-2</v>
      </c>
      <c r="N141" s="84">
        <v>31284393.190000001</v>
      </c>
      <c r="O141" s="86">
        <v>91.65</v>
      </c>
      <c r="P141" s="84">
        <v>28672.144499999999</v>
      </c>
      <c r="Q141" s="85">
        <f t="shared" si="3"/>
        <v>5.6987896556236883E-3</v>
      </c>
      <c r="R141" s="85">
        <f>P141/'סכום נכסי הקרן'!$C$42</f>
        <v>5.5042350559018948E-4</v>
      </c>
    </row>
    <row r="142" spans="2:18" s="122" customFormat="1">
      <c r="B142" s="77" t="s">
        <v>3429</v>
      </c>
      <c r="C142" s="87" t="s">
        <v>2972</v>
      </c>
      <c r="D142" s="74" t="s">
        <v>3059</v>
      </c>
      <c r="E142" s="74"/>
      <c r="F142" s="74" t="s">
        <v>348</v>
      </c>
      <c r="G142" s="97">
        <v>42680</v>
      </c>
      <c r="H142" s="74" t="s">
        <v>2923</v>
      </c>
      <c r="I142" s="84">
        <v>2.19</v>
      </c>
      <c r="J142" s="87" t="s">
        <v>159</v>
      </c>
      <c r="K142" s="87" t="s">
        <v>165</v>
      </c>
      <c r="L142" s="88">
        <v>2.35E-2</v>
      </c>
      <c r="M142" s="88">
        <v>4.0299999999999996E-2</v>
      </c>
      <c r="N142" s="84">
        <v>8546451.4900000002</v>
      </c>
      <c r="O142" s="86">
        <v>96.63</v>
      </c>
      <c r="P142" s="84">
        <v>8258.4363300000005</v>
      </c>
      <c r="Q142" s="85">
        <f t="shared" si="3"/>
        <v>1.6414220962450458E-3</v>
      </c>
      <c r="R142" s="85">
        <f>P142/'סכום נכסי הקרן'!$C$42</f>
        <v>1.5853845447284139E-4</v>
      </c>
    </row>
    <row r="143" spans="2:18" s="122" customFormat="1">
      <c r="B143" s="77" t="s">
        <v>3429</v>
      </c>
      <c r="C143" s="87" t="s">
        <v>2972</v>
      </c>
      <c r="D143" s="74" t="s">
        <v>3060</v>
      </c>
      <c r="E143" s="74"/>
      <c r="F143" s="74" t="s">
        <v>348</v>
      </c>
      <c r="G143" s="97">
        <v>42680</v>
      </c>
      <c r="H143" s="74" t="s">
        <v>2923</v>
      </c>
      <c r="I143" s="84">
        <v>3.2899999999999996</v>
      </c>
      <c r="J143" s="87" t="s">
        <v>159</v>
      </c>
      <c r="K143" s="87" t="s">
        <v>165</v>
      </c>
      <c r="L143" s="88">
        <v>3.3700000000000001E-2</v>
      </c>
      <c r="M143" s="88">
        <v>4.4199999999999996E-2</v>
      </c>
      <c r="N143" s="84">
        <v>2270090.81</v>
      </c>
      <c r="O143" s="86">
        <v>97.02</v>
      </c>
      <c r="P143" s="84">
        <v>2202.4421000000002</v>
      </c>
      <c r="Q143" s="85">
        <f t="shared" si="3"/>
        <v>4.3775080223211466E-4</v>
      </c>
      <c r="R143" s="85">
        <f>P143/'סכום נכסי הקרן'!$C$42</f>
        <v>4.2280614955097581E-5</v>
      </c>
    </row>
    <row r="144" spans="2:18" s="122" customFormat="1">
      <c r="B144" s="77" t="s">
        <v>3429</v>
      </c>
      <c r="C144" s="87" t="s">
        <v>2972</v>
      </c>
      <c r="D144" s="74" t="s">
        <v>3061</v>
      </c>
      <c r="E144" s="74"/>
      <c r="F144" s="74" t="s">
        <v>348</v>
      </c>
      <c r="G144" s="97">
        <v>42717</v>
      </c>
      <c r="H144" s="74" t="s">
        <v>2923</v>
      </c>
      <c r="I144" s="84">
        <v>3.05</v>
      </c>
      <c r="J144" s="87" t="s">
        <v>159</v>
      </c>
      <c r="K144" s="87" t="s">
        <v>165</v>
      </c>
      <c r="L144" s="88">
        <v>3.85E-2</v>
      </c>
      <c r="M144" s="88">
        <v>5.4699999999999999E-2</v>
      </c>
      <c r="N144" s="84">
        <v>584095.26</v>
      </c>
      <c r="O144" s="86">
        <v>95.71</v>
      </c>
      <c r="P144" s="84">
        <v>559.03755000000001</v>
      </c>
      <c r="Q144" s="85">
        <f t="shared" si="3"/>
        <v>1.1111263083391655E-4</v>
      </c>
      <c r="R144" s="85">
        <f>P144/'סכום נכסי הקרן'!$C$42</f>
        <v>1.0731928615508717E-5</v>
      </c>
    </row>
    <row r="145" spans="2:18" s="122" customFormat="1">
      <c r="B145" s="77" t="s">
        <v>3429</v>
      </c>
      <c r="C145" s="87" t="s">
        <v>2972</v>
      </c>
      <c r="D145" s="74" t="s">
        <v>3062</v>
      </c>
      <c r="E145" s="74"/>
      <c r="F145" s="74" t="s">
        <v>348</v>
      </c>
      <c r="G145" s="97">
        <v>42710</v>
      </c>
      <c r="H145" s="74" t="s">
        <v>2923</v>
      </c>
      <c r="I145" s="84">
        <v>3.05</v>
      </c>
      <c r="J145" s="87" t="s">
        <v>159</v>
      </c>
      <c r="K145" s="87" t="s">
        <v>165</v>
      </c>
      <c r="L145" s="88">
        <v>3.8399999999999997E-2</v>
      </c>
      <c r="M145" s="88">
        <v>5.45E-2</v>
      </c>
      <c r="N145" s="84">
        <v>1746283.24</v>
      </c>
      <c r="O145" s="86">
        <v>95.73</v>
      </c>
      <c r="P145" s="84">
        <v>1671.71695</v>
      </c>
      <c r="Q145" s="85">
        <f t="shared" si="3"/>
        <v>3.3226545931333399E-4</v>
      </c>
      <c r="R145" s="85">
        <f>P145/'סכום נכסי הקרן'!$C$42</f>
        <v>3.2092203775463656E-5</v>
      </c>
    </row>
    <row r="146" spans="2:18" s="122" customFormat="1">
      <c r="B146" s="77" t="s">
        <v>3429</v>
      </c>
      <c r="C146" s="87" t="s">
        <v>2972</v>
      </c>
      <c r="D146" s="74" t="s">
        <v>3063</v>
      </c>
      <c r="E146" s="74"/>
      <c r="F146" s="74" t="s">
        <v>348</v>
      </c>
      <c r="G146" s="97">
        <v>42680</v>
      </c>
      <c r="H146" s="74" t="s">
        <v>2923</v>
      </c>
      <c r="I146" s="84">
        <v>4.21</v>
      </c>
      <c r="J146" s="87" t="s">
        <v>159</v>
      </c>
      <c r="K146" s="87" t="s">
        <v>165</v>
      </c>
      <c r="L146" s="88">
        <v>3.6699999999999997E-2</v>
      </c>
      <c r="M146" s="88">
        <v>4.58E-2</v>
      </c>
      <c r="N146" s="84">
        <v>7803207.71</v>
      </c>
      <c r="O146" s="86">
        <v>96.76</v>
      </c>
      <c r="P146" s="84">
        <v>7550.3841299999995</v>
      </c>
      <c r="Q146" s="85">
        <f t="shared" si="3"/>
        <v>1.500691759419295E-3</v>
      </c>
      <c r="R146" s="85">
        <f>P146/'סכום נכסי הקרן'!$C$42</f>
        <v>1.4494586902584608E-4</v>
      </c>
    </row>
    <row r="147" spans="2:18" s="122" customFormat="1">
      <c r="B147" s="77" t="s">
        <v>3429</v>
      </c>
      <c r="C147" s="87" t="s">
        <v>2972</v>
      </c>
      <c r="D147" s="74" t="s">
        <v>3064</v>
      </c>
      <c r="E147" s="74"/>
      <c r="F147" s="74" t="s">
        <v>348</v>
      </c>
      <c r="G147" s="97">
        <v>42680</v>
      </c>
      <c r="H147" s="74" t="s">
        <v>2923</v>
      </c>
      <c r="I147" s="84">
        <v>2.1800000000000002</v>
      </c>
      <c r="J147" s="87" t="s">
        <v>159</v>
      </c>
      <c r="K147" s="87" t="s">
        <v>165</v>
      </c>
      <c r="L147" s="88">
        <v>3.1800000000000002E-2</v>
      </c>
      <c r="M147" s="88">
        <v>4.4999999999999998E-2</v>
      </c>
      <c r="N147" s="84">
        <v>8730774.6300000008</v>
      </c>
      <c r="O147" s="86">
        <v>97.49</v>
      </c>
      <c r="P147" s="84">
        <v>8511.6326099999987</v>
      </c>
      <c r="Q147" s="85">
        <f t="shared" si="3"/>
        <v>1.6917466313110011E-3</v>
      </c>
      <c r="R147" s="85">
        <f>P147/'סכום נכסי הקרן'!$C$42</f>
        <v>1.6339910185273981E-4</v>
      </c>
    </row>
    <row r="148" spans="2:18" s="122" customFormat="1">
      <c r="B148" s="77" t="s">
        <v>3432</v>
      </c>
      <c r="C148" s="87" t="s">
        <v>2967</v>
      </c>
      <c r="D148" s="74" t="s">
        <v>3065</v>
      </c>
      <c r="E148" s="74"/>
      <c r="F148" s="74" t="s">
        <v>348</v>
      </c>
      <c r="G148" s="97">
        <v>42884</v>
      </c>
      <c r="H148" s="74" t="s">
        <v>2923</v>
      </c>
      <c r="I148" s="84">
        <v>0.65999999999999992</v>
      </c>
      <c r="J148" s="87" t="s">
        <v>159</v>
      </c>
      <c r="K148" s="87" t="s">
        <v>165</v>
      </c>
      <c r="L148" s="88">
        <v>2.2099999999999998E-2</v>
      </c>
      <c r="M148" s="88">
        <v>3.2899999999999999E-2</v>
      </c>
      <c r="N148" s="84">
        <v>4329047.96</v>
      </c>
      <c r="O148" s="86">
        <v>99.5</v>
      </c>
      <c r="P148" s="84">
        <v>4307.4026599999997</v>
      </c>
      <c r="Q148" s="85">
        <f t="shared" si="3"/>
        <v>8.5612646523227298E-4</v>
      </c>
      <c r="R148" s="85">
        <f>P148/'סכום נכסי הקרן'!$C$42</f>
        <v>8.2689862005463422E-5</v>
      </c>
    </row>
    <row r="149" spans="2:18" s="122" customFormat="1">
      <c r="B149" s="77" t="s">
        <v>3432</v>
      </c>
      <c r="C149" s="87" t="s">
        <v>2967</v>
      </c>
      <c r="D149" s="74" t="s">
        <v>3066</v>
      </c>
      <c r="E149" s="74"/>
      <c r="F149" s="74" t="s">
        <v>348</v>
      </c>
      <c r="G149" s="97">
        <v>43006</v>
      </c>
      <c r="H149" s="74" t="s">
        <v>2923</v>
      </c>
      <c r="I149" s="84">
        <v>0.85999999999999988</v>
      </c>
      <c r="J149" s="87" t="s">
        <v>159</v>
      </c>
      <c r="K149" s="87" t="s">
        <v>165</v>
      </c>
      <c r="L149" s="88">
        <v>2.0799999999999999E-2</v>
      </c>
      <c r="M149" s="88">
        <v>3.5599999999999993E-2</v>
      </c>
      <c r="N149" s="84">
        <v>5194857.5599999996</v>
      </c>
      <c r="O149" s="86">
        <v>98.79</v>
      </c>
      <c r="P149" s="84">
        <v>5131.9995699999999</v>
      </c>
      <c r="Q149" s="85">
        <f t="shared" si="3"/>
        <v>1.0200208799234119E-3</v>
      </c>
      <c r="R149" s="85">
        <f>P149/'סכום נכסי הקרן'!$C$42</f>
        <v>9.8519773922273066E-5</v>
      </c>
    </row>
    <row r="150" spans="2:18" s="122" customFormat="1">
      <c r="B150" s="77" t="s">
        <v>3432</v>
      </c>
      <c r="C150" s="87" t="s">
        <v>2967</v>
      </c>
      <c r="D150" s="74" t="s">
        <v>3067</v>
      </c>
      <c r="E150" s="74"/>
      <c r="F150" s="74" t="s">
        <v>348</v>
      </c>
      <c r="G150" s="97">
        <v>43321</v>
      </c>
      <c r="H150" s="74" t="s">
        <v>2923</v>
      </c>
      <c r="I150" s="84">
        <v>1.21</v>
      </c>
      <c r="J150" s="87" t="s">
        <v>159</v>
      </c>
      <c r="K150" s="87" t="s">
        <v>165</v>
      </c>
      <c r="L150" s="88">
        <v>2.3980000000000001E-2</v>
      </c>
      <c r="M150" s="88">
        <v>3.1899999999999998E-2</v>
      </c>
      <c r="N150" s="84">
        <v>8824753.4800000004</v>
      </c>
      <c r="O150" s="86">
        <v>99.43</v>
      </c>
      <c r="P150" s="84">
        <v>8774.4526400000013</v>
      </c>
      <c r="Q150" s="85">
        <f t="shared" si="3"/>
        <v>1.7439839541333218E-3</v>
      </c>
      <c r="R150" s="85">
        <f>P150/'סכום נכסי הקרן'!$C$42</f>
        <v>1.6844449782065985E-4</v>
      </c>
    </row>
    <row r="151" spans="2:18" s="122" customFormat="1">
      <c r="B151" s="77" t="s">
        <v>3432</v>
      </c>
      <c r="C151" s="87" t="s">
        <v>2967</v>
      </c>
      <c r="D151" s="74" t="s">
        <v>3068</v>
      </c>
      <c r="E151" s="74"/>
      <c r="F151" s="74" t="s">
        <v>348</v>
      </c>
      <c r="G151" s="97">
        <v>43343</v>
      </c>
      <c r="H151" s="74" t="s">
        <v>2923</v>
      </c>
      <c r="I151" s="84">
        <v>1.2599999999999998</v>
      </c>
      <c r="J151" s="87" t="s">
        <v>159</v>
      </c>
      <c r="K151" s="87" t="s">
        <v>165</v>
      </c>
      <c r="L151" s="88">
        <v>2.3789999999999999E-2</v>
      </c>
      <c r="M151" s="88">
        <v>3.3799999999999997E-2</v>
      </c>
      <c r="N151" s="84">
        <v>8824753.4800000004</v>
      </c>
      <c r="O151" s="86">
        <v>98.99</v>
      </c>
      <c r="P151" s="84">
        <v>8735.6236599999993</v>
      </c>
      <c r="Q151" s="85">
        <f t="shared" si="3"/>
        <v>1.7362664222423105E-3</v>
      </c>
      <c r="R151" s="85">
        <f>P151/'סכום נכסי הקרן'!$C$42</f>
        <v>1.6769909200387161E-4</v>
      </c>
    </row>
    <row r="152" spans="2:18" s="122" customFormat="1">
      <c r="B152" s="77" t="s">
        <v>3432</v>
      </c>
      <c r="C152" s="87" t="s">
        <v>2967</v>
      </c>
      <c r="D152" s="74" t="s">
        <v>3069</v>
      </c>
      <c r="E152" s="74"/>
      <c r="F152" s="74" t="s">
        <v>348</v>
      </c>
      <c r="G152" s="97">
        <v>42828</v>
      </c>
      <c r="H152" s="74" t="s">
        <v>2923</v>
      </c>
      <c r="I152" s="84">
        <v>0.5099999999999999</v>
      </c>
      <c r="J152" s="87" t="s">
        <v>159</v>
      </c>
      <c r="K152" s="87" t="s">
        <v>165</v>
      </c>
      <c r="L152" s="88">
        <v>2.2700000000000001E-2</v>
      </c>
      <c r="M152" s="88">
        <v>3.1200000000000002E-2</v>
      </c>
      <c r="N152" s="84">
        <v>4329047.96</v>
      </c>
      <c r="O152" s="86">
        <v>100.14</v>
      </c>
      <c r="P152" s="84">
        <v>4335.1084900000005</v>
      </c>
      <c r="Q152" s="85">
        <f t="shared" si="3"/>
        <v>8.6163319310902714E-4</v>
      </c>
      <c r="R152" s="85">
        <f>P152/'סכום נכסי הקרן'!$C$42</f>
        <v>8.3221735025072621E-5</v>
      </c>
    </row>
    <row r="153" spans="2:18" s="122" customFormat="1">
      <c r="B153" s="77" t="s">
        <v>3432</v>
      </c>
      <c r="C153" s="87" t="s">
        <v>2967</v>
      </c>
      <c r="D153" s="74" t="s">
        <v>3070</v>
      </c>
      <c r="E153" s="74"/>
      <c r="F153" s="74" t="s">
        <v>348</v>
      </c>
      <c r="G153" s="97">
        <v>42859</v>
      </c>
      <c r="H153" s="74" t="s">
        <v>2923</v>
      </c>
      <c r="I153" s="84">
        <v>0.59</v>
      </c>
      <c r="J153" s="87" t="s">
        <v>159</v>
      </c>
      <c r="K153" s="87" t="s">
        <v>165</v>
      </c>
      <c r="L153" s="88">
        <v>2.2799999999999997E-2</v>
      </c>
      <c r="M153" s="88">
        <v>3.1300000000000001E-2</v>
      </c>
      <c r="N153" s="84">
        <v>4329047.96</v>
      </c>
      <c r="O153" s="86">
        <v>99.87</v>
      </c>
      <c r="P153" s="84">
        <v>4323.4204</v>
      </c>
      <c r="Q153" s="85">
        <f t="shared" si="3"/>
        <v>8.5931010331063409E-4</v>
      </c>
      <c r="R153" s="85">
        <f>P153/'סכום נכסי הקרן'!$C$42</f>
        <v>8.2997356989050454E-5</v>
      </c>
    </row>
    <row r="154" spans="2:18" s="122" customFormat="1">
      <c r="B154" s="77" t="s">
        <v>3432</v>
      </c>
      <c r="C154" s="87" t="s">
        <v>2967</v>
      </c>
      <c r="D154" s="74" t="s">
        <v>3071</v>
      </c>
      <c r="E154" s="74"/>
      <c r="F154" s="74" t="s">
        <v>348</v>
      </c>
      <c r="G154" s="97">
        <v>43614</v>
      </c>
      <c r="H154" s="74" t="s">
        <v>2923</v>
      </c>
      <c r="I154" s="84">
        <v>1.6100000000000003</v>
      </c>
      <c r="J154" s="87" t="s">
        <v>159</v>
      </c>
      <c r="K154" s="87" t="s">
        <v>165</v>
      </c>
      <c r="L154" s="88">
        <v>2.427E-2</v>
      </c>
      <c r="M154" s="88">
        <v>3.6100000000000007E-2</v>
      </c>
      <c r="N154" s="84">
        <v>11472179.52</v>
      </c>
      <c r="O154" s="86">
        <v>98.39</v>
      </c>
      <c r="P154" s="84">
        <v>11287.477289999999</v>
      </c>
      <c r="Q154" s="85">
        <f t="shared" si="3"/>
        <v>2.2434652147605943E-3</v>
      </c>
      <c r="R154" s="85">
        <f>P154/'סכום נכסי הקרן'!$C$42</f>
        <v>2.1668741308245888E-4</v>
      </c>
    </row>
    <row r="155" spans="2:18" s="122" customFormat="1">
      <c r="B155" s="77" t="s">
        <v>3432</v>
      </c>
      <c r="C155" s="87" t="s">
        <v>2967</v>
      </c>
      <c r="D155" s="74">
        <v>7355</v>
      </c>
      <c r="E155" s="74"/>
      <c r="F155" s="74" t="s">
        <v>348</v>
      </c>
      <c r="G155" s="97">
        <v>43842</v>
      </c>
      <c r="H155" s="74" t="s">
        <v>2923</v>
      </c>
      <c r="I155" s="84">
        <v>1.82</v>
      </c>
      <c r="J155" s="87" t="s">
        <v>159</v>
      </c>
      <c r="K155" s="87" t="s">
        <v>165</v>
      </c>
      <c r="L155" s="88">
        <v>2.0838000000000002E-2</v>
      </c>
      <c r="M155" s="88">
        <v>4.4500000000000005E-2</v>
      </c>
      <c r="N155" s="84">
        <v>14119605.560000001</v>
      </c>
      <c r="O155" s="86">
        <v>96.33</v>
      </c>
      <c r="P155" s="84">
        <v>13601.416499999999</v>
      </c>
      <c r="Q155" s="85">
        <f t="shared" si="3"/>
        <v>2.7033768489841893E-3</v>
      </c>
      <c r="R155" s="85">
        <f>P155/'סכום נכסי הקרן'!$C$42</f>
        <v>2.6110845496479156E-4</v>
      </c>
    </row>
    <row r="156" spans="2:18" s="122" customFormat="1">
      <c r="B156" s="77" t="s">
        <v>3425</v>
      </c>
      <c r="C156" s="87" t="s">
        <v>2967</v>
      </c>
      <c r="D156" s="74">
        <v>9922</v>
      </c>
      <c r="E156" s="74"/>
      <c r="F156" s="74" t="s">
        <v>656</v>
      </c>
      <c r="G156" s="97">
        <v>40489</v>
      </c>
      <c r="H156" s="74" t="s">
        <v>163</v>
      </c>
      <c r="I156" s="84">
        <v>3.4299999999999997</v>
      </c>
      <c r="J156" s="87" t="s">
        <v>3376</v>
      </c>
      <c r="K156" s="87" t="s">
        <v>165</v>
      </c>
      <c r="L156" s="88">
        <v>5.7000000000000002E-2</v>
      </c>
      <c r="M156" s="88">
        <v>1.84E-2</v>
      </c>
      <c r="N156" s="84">
        <v>7425342.04</v>
      </c>
      <c r="O156" s="86">
        <v>121.03</v>
      </c>
      <c r="P156" s="84">
        <v>8986.8919999999998</v>
      </c>
      <c r="Q156" s="85">
        <f t="shared" si="3"/>
        <v>1.7862077657221378E-3</v>
      </c>
      <c r="R156" s="85">
        <f>P156/'סכום נכסי הקרן'!$C$42</f>
        <v>1.7252272842725207E-4</v>
      </c>
    </row>
    <row r="157" spans="2:18" s="122" customFormat="1">
      <c r="B157" s="77" t="s">
        <v>3433</v>
      </c>
      <c r="C157" s="87" t="s">
        <v>2972</v>
      </c>
      <c r="D157" s="74" t="s">
        <v>3072</v>
      </c>
      <c r="E157" s="74"/>
      <c r="F157" s="74" t="s">
        <v>981</v>
      </c>
      <c r="G157" s="97">
        <v>43093</v>
      </c>
      <c r="H157" s="74" t="s">
        <v>2923</v>
      </c>
      <c r="I157" s="84">
        <v>3.6700000000000004</v>
      </c>
      <c r="J157" s="87" t="s">
        <v>721</v>
      </c>
      <c r="K157" s="87" t="s">
        <v>165</v>
      </c>
      <c r="L157" s="88">
        <v>2.6089999999999999E-2</v>
      </c>
      <c r="M157" s="88">
        <v>4.9100000000000005E-2</v>
      </c>
      <c r="N157" s="84">
        <v>12888010.800000001</v>
      </c>
      <c r="O157" s="86">
        <v>93.69</v>
      </c>
      <c r="P157" s="84">
        <v>12074.777179999999</v>
      </c>
      <c r="Q157" s="85">
        <f t="shared" si="3"/>
        <v>2.3999465853467975E-3</v>
      </c>
      <c r="R157" s="85">
        <f>P157/'סכום נכסי הקרן'!$C$42</f>
        <v>2.3180132845089499E-4</v>
      </c>
    </row>
    <row r="158" spans="2:18" s="122" customFormat="1">
      <c r="B158" s="77" t="s">
        <v>3433</v>
      </c>
      <c r="C158" s="87" t="s">
        <v>2972</v>
      </c>
      <c r="D158" s="74" t="s">
        <v>3073</v>
      </c>
      <c r="E158" s="74"/>
      <c r="F158" s="74" t="s">
        <v>981</v>
      </c>
      <c r="G158" s="97">
        <v>43374</v>
      </c>
      <c r="H158" s="74" t="s">
        <v>2923</v>
      </c>
      <c r="I158" s="84">
        <v>3.67</v>
      </c>
      <c r="J158" s="87" t="s">
        <v>721</v>
      </c>
      <c r="K158" s="87" t="s">
        <v>165</v>
      </c>
      <c r="L158" s="88">
        <v>2.6849999999999999E-2</v>
      </c>
      <c r="M158" s="88">
        <v>4.4800000000000006E-2</v>
      </c>
      <c r="N158" s="84">
        <v>18043215.120000001</v>
      </c>
      <c r="O158" s="86">
        <v>94.46</v>
      </c>
      <c r="P158" s="84">
        <v>17043.62012</v>
      </c>
      <c r="Q158" s="85">
        <f t="shared" si="3"/>
        <v>3.3875389416454624E-3</v>
      </c>
      <c r="R158" s="85">
        <f>P158/'סכום נכסי הקרן'!$C$42</f>
        <v>3.2718895980724032E-4</v>
      </c>
    </row>
    <row r="159" spans="2:18" s="122" customFormat="1">
      <c r="B159" s="77" t="s">
        <v>3434</v>
      </c>
      <c r="C159" s="87" t="s">
        <v>2972</v>
      </c>
      <c r="D159" s="74" t="s">
        <v>3074</v>
      </c>
      <c r="E159" s="74"/>
      <c r="F159" s="74" t="s">
        <v>678</v>
      </c>
      <c r="G159" s="97">
        <v>43552</v>
      </c>
      <c r="H159" s="74" t="s">
        <v>163</v>
      </c>
      <c r="I159" s="84">
        <v>7.35</v>
      </c>
      <c r="J159" s="87" t="s">
        <v>492</v>
      </c>
      <c r="K159" s="87" t="s">
        <v>165</v>
      </c>
      <c r="L159" s="88">
        <v>3.5500999999999998E-2</v>
      </c>
      <c r="M159" s="88">
        <v>5.0700000000000002E-2</v>
      </c>
      <c r="N159" s="84">
        <v>21843572.52</v>
      </c>
      <c r="O159" s="86">
        <v>90.55</v>
      </c>
      <c r="P159" s="84">
        <v>19779.354920000002</v>
      </c>
      <c r="Q159" s="85">
        <f t="shared" si="3"/>
        <v>3.9312854053524153E-3</v>
      </c>
      <c r="R159" s="85">
        <f>P159/'סכום נכסי הקרן'!$C$42</f>
        <v>3.797072755886454E-4</v>
      </c>
    </row>
    <row r="160" spans="2:18" s="122" customFormat="1">
      <c r="B160" s="77" t="s">
        <v>3435</v>
      </c>
      <c r="C160" s="87" t="s">
        <v>2972</v>
      </c>
      <c r="D160" s="74" t="s">
        <v>3075</v>
      </c>
      <c r="E160" s="74"/>
      <c r="F160" s="74" t="s">
        <v>686</v>
      </c>
      <c r="G160" s="97">
        <v>43301</v>
      </c>
      <c r="H160" s="74" t="s">
        <v>356</v>
      </c>
      <c r="I160" s="84">
        <v>0.86999999999999988</v>
      </c>
      <c r="J160" s="87" t="s">
        <v>149</v>
      </c>
      <c r="K160" s="87" t="s">
        <v>164</v>
      </c>
      <c r="L160" s="88">
        <v>6.0563000000000006E-2</v>
      </c>
      <c r="M160" s="88">
        <v>6.649999999999999E-2</v>
      </c>
      <c r="N160" s="84">
        <v>17190820.039999999</v>
      </c>
      <c r="O160" s="86">
        <v>100.43</v>
      </c>
      <c r="P160" s="84">
        <v>61548.800920000001</v>
      </c>
      <c r="Q160" s="85">
        <f t="shared" si="3"/>
        <v>1.223325552083967E-2</v>
      </c>
      <c r="R160" s="85">
        <f>P160/'סכום נכסי הקרן'!$C$42</f>
        <v>1.1815616640485013E-3</v>
      </c>
    </row>
    <row r="161" spans="2:18" s="122" customFormat="1">
      <c r="B161" s="77" t="s">
        <v>3435</v>
      </c>
      <c r="C161" s="87" t="s">
        <v>2972</v>
      </c>
      <c r="D161" s="74" t="s">
        <v>3076</v>
      </c>
      <c r="E161" s="74"/>
      <c r="F161" s="74" t="s">
        <v>686</v>
      </c>
      <c r="G161" s="97">
        <v>43496</v>
      </c>
      <c r="H161" s="74" t="s">
        <v>356</v>
      </c>
      <c r="I161" s="84">
        <v>0.86999999999999988</v>
      </c>
      <c r="J161" s="87" t="s">
        <v>149</v>
      </c>
      <c r="K161" s="87" t="s">
        <v>164</v>
      </c>
      <c r="L161" s="88">
        <v>6.0563000000000006E-2</v>
      </c>
      <c r="M161" s="88">
        <v>6.6500000000000017E-2</v>
      </c>
      <c r="N161" s="84">
        <v>7614058.5999999996</v>
      </c>
      <c r="O161" s="86">
        <v>100.43</v>
      </c>
      <c r="P161" s="84">
        <v>27260.838940000001</v>
      </c>
      <c r="Q161" s="85">
        <f t="shared" si="3"/>
        <v>5.4182827850527693E-3</v>
      </c>
      <c r="R161" s="85">
        <f>P161/'סכום נכסי הקרן'!$C$42</f>
        <v>5.2333045875533821E-4</v>
      </c>
    </row>
    <row r="162" spans="2:18" s="122" customFormat="1">
      <c r="B162" s="77" t="s">
        <v>3435</v>
      </c>
      <c r="C162" s="87" t="s">
        <v>2972</v>
      </c>
      <c r="D162" s="74" t="s">
        <v>3077</v>
      </c>
      <c r="E162" s="74"/>
      <c r="F162" s="74" t="s">
        <v>686</v>
      </c>
      <c r="G162" s="97">
        <v>43738</v>
      </c>
      <c r="H162" s="74" t="s">
        <v>356</v>
      </c>
      <c r="I162" s="84">
        <v>0.87</v>
      </c>
      <c r="J162" s="87" t="s">
        <v>149</v>
      </c>
      <c r="K162" s="87" t="s">
        <v>164</v>
      </c>
      <c r="L162" s="88">
        <v>6.0563000000000006E-2</v>
      </c>
      <c r="M162" s="88">
        <v>6.7099999999999993E-2</v>
      </c>
      <c r="N162" s="84">
        <v>1747429.94</v>
      </c>
      <c r="O162" s="86">
        <v>100.38</v>
      </c>
      <c r="P162" s="84">
        <v>6253.26026</v>
      </c>
      <c r="Q162" s="85">
        <f t="shared" si="3"/>
        <v>1.2428792999285665E-3</v>
      </c>
      <c r="R162" s="85">
        <f>P162/'סכום נכסי הקרן'!$C$42</f>
        <v>1.200447854075589E-4</v>
      </c>
    </row>
    <row r="163" spans="2:18" s="122" customFormat="1">
      <c r="B163" s="77" t="s">
        <v>3435</v>
      </c>
      <c r="C163" s="87" t="s">
        <v>2972</v>
      </c>
      <c r="D163" s="74">
        <v>6615</v>
      </c>
      <c r="E163" s="74"/>
      <c r="F163" s="74" t="s">
        <v>686</v>
      </c>
      <c r="G163" s="97">
        <v>43496</v>
      </c>
      <c r="H163" s="74" t="s">
        <v>356</v>
      </c>
      <c r="I163" s="84">
        <v>0.87</v>
      </c>
      <c r="J163" s="87" t="s">
        <v>149</v>
      </c>
      <c r="K163" s="87" t="s">
        <v>164</v>
      </c>
      <c r="L163" s="88">
        <v>6.0563000000000006E-2</v>
      </c>
      <c r="M163" s="88">
        <v>6.7099999999999993E-2</v>
      </c>
      <c r="N163" s="84">
        <v>1224420.69</v>
      </c>
      <c r="O163" s="86">
        <v>100.38</v>
      </c>
      <c r="P163" s="84">
        <v>4381.6470599999993</v>
      </c>
      <c r="Q163" s="85">
        <f t="shared" si="3"/>
        <v>8.7088306004184457E-4</v>
      </c>
      <c r="R163" s="85">
        <f>P163/'סכום נכסי הקרן'!$C$42</f>
        <v>8.4115143010113778E-5</v>
      </c>
    </row>
    <row r="164" spans="2:18" s="122" customFormat="1">
      <c r="B164" s="77" t="s">
        <v>3435</v>
      </c>
      <c r="C164" s="87" t="s">
        <v>2972</v>
      </c>
      <c r="D164" s="74" t="s">
        <v>3078</v>
      </c>
      <c r="E164" s="74"/>
      <c r="F164" s="74" t="s">
        <v>686</v>
      </c>
      <c r="G164" s="97">
        <v>43496</v>
      </c>
      <c r="H164" s="74" t="s">
        <v>356</v>
      </c>
      <c r="I164" s="84">
        <v>0.87</v>
      </c>
      <c r="J164" s="87" t="s">
        <v>149</v>
      </c>
      <c r="K164" s="87" t="s">
        <v>164</v>
      </c>
      <c r="L164" s="88">
        <v>6.0563000000000006E-2</v>
      </c>
      <c r="M164" s="88">
        <v>6.7099999999999993E-2</v>
      </c>
      <c r="N164" s="84">
        <v>1057919.3799999999</v>
      </c>
      <c r="O164" s="86">
        <v>100.38</v>
      </c>
      <c r="P164" s="84">
        <v>3785.8142699999999</v>
      </c>
      <c r="Q164" s="85">
        <f t="shared" si="3"/>
        <v>7.5245711739449917E-4</v>
      </c>
      <c r="R164" s="85">
        <f>P164/'סכום נכסי הקרן'!$C$42</f>
        <v>7.2676850592977597E-5</v>
      </c>
    </row>
    <row r="165" spans="2:18" s="122" customFormat="1">
      <c r="B165" s="77" t="s">
        <v>3435</v>
      </c>
      <c r="C165" s="87" t="s">
        <v>2972</v>
      </c>
      <c r="D165" s="74">
        <v>6719</v>
      </c>
      <c r="E165" s="74"/>
      <c r="F165" s="74" t="s">
        <v>686</v>
      </c>
      <c r="G165" s="97">
        <v>43487</v>
      </c>
      <c r="H165" s="74" t="s">
        <v>356</v>
      </c>
      <c r="I165" s="84">
        <v>0.87</v>
      </c>
      <c r="J165" s="87" t="s">
        <v>149</v>
      </c>
      <c r="K165" s="87" t="s">
        <v>164</v>
      </c>
      <c r="L165" s="88">
        <v>6.0563000000000006E-2</v>
      </c>
      <c r="M165" s="88">
        <v>6.7099999999999993E-2</v>
      </c>
      <c r="N165" s="84">
        <v>490145.26</v>
      </c>
      <c r="O165" s="86">
        <v>100.38</v>
      </c>
      <c r="P165" s="84">
        <v>1754.00783</v>
      </c>
      <c r="Q165" s="85">
        <f t="shared" ref="Q165:Q228" si="4">P165/$P$10</f>
        <v>3.4862134841315946E-4</v>
      </c>
      <c r="R165" s="85">
        <f>P165/'סכום נכסי הקרן'!$C$42</f>
        <v>3.3671954276780423E-5</v>
      </c>
    </row>
    <row r="166" spans="2:18" s="122" customFormat="1">
      <c r="B166" s="77" t="s">
        <v>3435</v>
      </c>
      <c r="C166" s="87" t="s">
        <v>2972</v>
      </c>
      <c r="D166" s="74">
        <v>6735</v>
      </c>
      <c r="E166" s="74"/>
      <c r="F166" s="74" t="s">
        <v>686</v>
      </c>
      <c r="G166" s="97">
        <v>43493</v>
      </c>
      <c r="H166" s="74" t="s">
        <v>356</v>
      </c>
      <c r="I166" s="84">
        <v>0.87</v>
      </c>
      <c r="J166" s="87" t="s">
        <v>149</v>
      </c>
      <c r="K166" s="87" t="s">
        <v>164</v>
      </c>
      <c r="L166" s="88">
        <v>6.0563000000000006E-2</v>
      </c>
      <c r="M166" s="88">
        <v>6.7099999999999993E-2</v>
      </c>
      <c r="N166" s="84">
        <v>1207572.72</v>
      </c>
      <c r="O166" s="86">
        <v>100.38</v>
      </c>
      <c r="P166" s="84">
        <v>4321.3557499999997</v>
      </c>
      <c r="Q166" s="85">
        <f t="shared" si="4"/>
        <v>8.5889973965393293E-4</v>
      </c>
      <c r="R166" s="85">
        <f>P166/'סכום נכסי הקרן'!$C$42</f>
        <v>8.2957721589932784E-5</v>
      </c>
    </row>
    <row r="167" spans="2:18" s="122" customFormat="1">
      <c r="B167" s="77" t="s">
        <v>3435</v>
      </c>
      <c r="C167" s="87" t="s">
        <v>2972</v>
      </c>
      <c r="D167" s="74">
        <v>6956</v>
      </c>
      <c r="E167" s="74"/>
      <c r="F167" s="74" t="s">
        <v>686</v>
      </c>
      <c r="G167" s="97">
        <v>43628</v>
      </c>
      <c r="H167" s="74" t="s">
        <v>356</v>
      </c>
      <c r="I167" s="84">
        <v>0.87</v>
      </c>
      <c r="J167" s="87" t="s">
        <v>149</v>
      </c>
      <c r="K167" s="87" t="s">
        <v>164</v>
      </c>
      <c r="L167" s="88">
        <v>6.0563000000000006E-2</v>
      </c>
      <c r="M167" s="88">
        <v>6.9800000000000001E-2</v>
      </c>
      <c r="N167" s="84">
        <v>2085040.46</v>
      </c>
      <c r="O167" s="86">
        <v>100.38</v>
      </c>
      <c r="P167" s="84">
        <v>7461.4153799999995</v>
      </c>
      <c r="Q167" s="85">
        <f t="shared" si="4"/>
        <v>1.4830085968580234E-3</v>
      </c>
      <c r="R167" s="85">
        <f>P167/'סכום נכסי הקרן'!$C$42</f>
        <v>1.4323792244155841E-4</v>
      </c>
    </row>
    <row r="168" spans="2:18" s="122" customFormat="1">
      <c r="B168" s="77" t="s">
        <v>3435</v>
      </c>
      <c r="C168" s="87" t="s">
        <v>2972</v>
      </c>
      <c r="D168" s="74">
        <v>6829</v>
      </c>
      <c r="E168" s="74"/>
      <c r="F168" s="74" t="s">
        <v>686</v>
      </c>
      <c r="G168" s="97">
        <v>43738</v>
      </c>
      <c r="H168" s="74" t="s">
        <v>356</v>
      </c>
      <c r="I168" s="84">
        <v>0.86999999999999988</v>
      </c>
      <c r="J168" s="87" t="s">
        <v>149</v>
      </c>
      <c r="K168" s="87" t="s">
        <v>164</v>
      </c>
      <c r="L168" s="88">
        <v>6.0563000000000006E-2</v>
      </c>
      <c r="M168" s="88">
        <v>6.7099999999999993E-2</v>
      </c>
      <c r="N168" s="84">
        <v>845697.12</v>
      </c>
      <c r="O168" s="86">
        <v>100.38</v>
      </c>
      <c r="P168" s="84">
        <v>3026.3669399999999</v>
      </c>
      <c r="Q168" s="85">
        <f t="shared" si="4"/>
        <v>6.0151163830084338E-4</v>
      </c>
      <c r="R168" s="85">
        <f>P168/'סכום נכסי הקרן'!$C$42</f>
        <v>5.8097625042209684E-5</v>
      </c>
    </row>
    <row r="169" spans="2:18" s="122" customFormat="1">
      <c r="B169" s="77" t="s">
        <v>3435</v>
      </c>
      <c r="C169" s="87" t="s">
        <v>2972</v>
      </c>
      <c r="D169" s="74">
        <v>6886</v>
      </c>
      <c r="E169" s="74"/>
      <c r="F169" s="74" t="s">
        <v>686</v>
      </c>
      <c r="G169" s="97">
        <v>43578</v>
      </c>
      <c r="H169" s="74" t="s">
        <v>356</v>
      </c>
      <c r="I169" s="84">
        <v>0.87</v>
      </c>
      <c r="J169" s="87" t="s">
        <v>149</v>
      </c>
      <c r="K169" s="87" t="s">
        <v>164</v>
      </c>
      <c r="L169" s="88">
        <v>6.0563000000000006E-2</v>
      </c>
      <c r="M169" s="88">
        <v>6.9800000000000001E-2</v>
      </c>
      <c r="N169" s="84">
        <v>546650.63</v>
      </c>
      <c r="O169" s="86">
        <v>100.38</v>
      </c>
      <c r="P169" s="84">
        <v>1956.21496</v>
      </c>
      <c r="Q169" s="85">
        <f t="shared" si="4"/>
        <v>3.8881143258134415E-4</v>
      </c>
      <c r="R169" s="85">
        <f>P169/'סכום נכסי הקרן'!$C$42</f>
        <v>3.7553755212525957E-5</v>
      </c>
    </row>
    <row r="170" spans="2:18" s="122" customFormat="1">
      <c r="B170" s="77" t="s">
        <v>3435</v>
      </c>
      <c r="C170" s="87" t="s">
        <v>2972</v>
      </c>
      <c r="D170" s="74">
        <v>6889</v>
      </c>
      <c r="E170" s="74"/>
      <c r="F170" s="74" t="s">
        <v>686</v>
      </c>
      <c r="G170" s="97">
        <v>43584</v>
      </c>
      <c r="H170" s="74" t="s">
        <v>356</v>
      </c>
      <c r="I170" s="84">
        <v>0.87</v>
      </c>
      <c r="J170" s="87" t="s">
        <v>149</v>
      </c>
      <c r="K170" s="87" t="s">
        <v>164</v>
      </c>
      <c r="L170" s="88">
        <v>6.0563000000000006E-2</v>
      </c>
      <c r="M170" s="88">
        <v>6.9800000000000001E-2</v>
      </c>
      <c r="N170" s="84">
        <v>1045018.18</v>
      </c>
      <c r="O170" s="86">
        <v>100.38</v>
      </c>
      <c r="P170" s="84">
        <v>3739.64671</v>
      </c>
      <c r="Q170" s="85">
        <f t="shared" si="4"/>
        <v>7.4328099129924378E-4</v>
      </c>
      <c r="R170" s="85">
        <f>P170/'סכום נכסי הקרן'!$C$42</f>
        <v>7.1790564943163528E-5</v>
      </c>
    </row>
    <row r="171" spans="2:18" s="122" customFormat="1">
      <c r="B171" s="77" t="s">
        <v>3435</v>
      </c>
      <c r="C171" s="87" t="s">
        <v>2972</v>
      </c>
      <c r="D171" s="74">
        <v>6926</v>
      </c>
      <c r="E171" s="74"/>
      <c r="F171" s="74" t="s">
        <v>686</v>
      </c>
      <c r="G171" s="97">
        <v>43738</v>
      </c>
      <c r="H171" s="74" t="s">
        <v>356</v>
      </c>
      <c r="I171" s="84">
        <v>0.87000000000000011</v>
      </c>
      <c r="J171" s="87" t="s">
        <v>149</v>
      </c>
      <c r="K171" s="87" t="s">
        <v>164</v>
      </c>
      <c r="L171" s="88">
        <v>6.0563000000000006E-2</v>
      </c>
      <c r="M171" s="88">
        <v>6.9800000000000001E-2</v>
      </c>
      <c r="N171" s="84">
        <v>460649.77</v>
      </c>
      <c r="O171" s="86">
        <v>100.38</v>
      </c>
      <c r="P171" s="84">
        <v>1648.45688</v>
      </c>
      <c r="Q171" s="85">
        <f t="shared" si="4"/>
        <v>3.276423573927545E-4</v>
      </c>
      <c r="R171" s="85">
        <f>P171/'סכום נכסי הקרן'!$C$42</f>
        <v>3.1645676684695365E-5</v>
      </c>
    </row>
    <row r="172" spans="2:18" s="122" customFormat="1">
      <c r="B172" s="77" t="s">
        <v>3435</v>
      </c>
      <c r="C172" s="87" t="s">
        <v>2972</v>
      </c>
      <c r="D172" s="74">
        <v>7112</v>
      </c>
      <c r="E172" s="74"/>
      <c r="F172" s="74" t="s">
        <v>686</v>
      </c>
      <c r="G172" s="97">
        <v>43761</v>
      </c>
      <c r="H172" s="74" t="s">
        <v>356</v>
      </c>
      <c r="I172" s="84">
        <v>0.86999999999999988</v>
      </c>
      <c r="J172" s="87" t="s">
        <v>149</v>
      </c>
      <c r="K172" s="87" t="s">
        <v>164</v>
      </c>
      <c r="L172" s="88">
        <v>6.0563000000000006E-2</v>
      </c>
      <c r="M172" s="88">
        <v>7.8600000000000003E-2</v>
      </c>
      <c r="N172" s="84">
        <v>252927.27</v>
      </c>
      <c r="O172" s="86">
        <v>99.67</v>
      </c>
      <c r="P172" s="84">
        <v>898.71015</v>
      </c>
      <c r="Q172" s="85">
        <f t="shared" si="4"/>
        <v>1.7862494053153273E-4</v>
      </c>
      <c r="R172" s="85">
        <f>P172/'סכום נכסי הקרן'!$C$42</f>
        <v>1.7252675023051907E-5</v>
      </c>
    </row>
    <row r="173" spans="2:18" s="122" customFormat="1">
      <c r="B173" s="77" t="s">
        <v>3435</v>
      </c>
      <c r="C173" s="87" t="s">
        <v>2972</v>
      </c>
      <c r="D173" s="74">
        <v>7236</v>
      </c>
      <c r="E173" s="74"/>
      <c r="F173" s="74" t="s">
        <v>686</v>
      </c>
      <c r="G173" s="97">
        <v>43761</v>
      </c>
      <c r="H173" s="74" t="s">
        <v>356</v>
      </c>
      <c r="I173" s="84">
        <v>0.87000000000000011</v>
      </c>
      <c r="J173" s="87" t="s">
        <v>149</v>
      </c>
      <c r="K173" s="87" t="s">
        <v>164</v>
      </c>
      <c r="L173" s="88">
        <v>6.0563000000000006E-2</v>
      </c>
      <c r="M173" s="88">
        <v>7.8600000000000017E-2</v>
      </c>
      <c r="N173" s="84">
        <v>640843.97</v>
      </c>
      <c r="O173" s="86">
        <v>99.67</v>
      </c>
      <c r="P173" s="84">
        <v>2277.0695900000001</v>
      </c>
      <c r="Q173" s="85">
        <f t="shared" si="4"/>
        <v>4.5258353886390581E-4</v>
      </c>
      <c r="R173" s="85">
        <f>P173/'סכום נכסי הקרן'!$C$42</f>
        <v>4.3713250196566759E-5</v>
      </c>
    </row>
    <row r="174" spans="2:18" s="122" customFormat="1">
      <c r="B174" s="77" t="s">
        <v>3435</v>
      </c>
      <c r="C174" s="87" t="s">
        <v>2972</v>
      </c>
      <c r="D174" s="74">
        <v>7370</v>
      </c>
      <c r="E174" s="74"/>
      <c r="F174" s="74" t="s">
        <v>686</v>
      </c>
      <c r="G174" s="97">
        <v>43853</v>
      </c>
      <c r="H174" s="74" t="s">
        <v>356</v>
      </c>
      <c r="I174" s="84">
        <v>0.87</v>
      </c>
      <c r="J174" s="87" t="s">
        <v>149</v>
      </c>
      <c r="K174" s="87" t="s">
        <v>164</v>
      </c>
      <c r="L174" s="88">
        <v>6.0563000000000006E-2</v>
      </c>
      <c r="M174" s="88">
        <v>7.8600000000000017E-2</v>
      </c>
      <c r="N174" s="84">
        <v>607506.24</v>
      </c>
      <c r="O174" s="86">
        <v>99.67</v>
      </c>
      <c r="P174" s="84">
        <v>2158.6127799999999</v>
      </c>
      <c r="Q174" s="85">
        <f t="shared" si="4"/>
        <v>4.2903941772339676E-4</v>
      </c>
      <c r="R174" s="85">
        <f>P174/'סכום נכסי הקרן'!$C$42</f>
        <v>4.1439216853116255E-5</v>
      </c>
    </row>
    <row r="175" spans="2:18" s="122" customFormat="1">
      <c r="B175" s="77" t="s">
        <v>3435</v>
      </c>
      <c r="C175" s="87" t="s">
        <v>2972</v>
      </c>
      <c r="D175" s="74" t="s">
        <v>3079</v>
      </c>
      <c r="E175" s="74"/>
      <c r="F175" s="74" t="s">
        <v>686</v>
      </c>
      <c r="G175" s="97">
        <v>43888</v>
      </c>
      <c r="H175" s="74" t="s">
        <v>356</v>
      </c>
      <c r="I175" s="84">
        <v>0.86999999999999988</v>
      </c>
      <c r="J175" s="87" t="s">
        <v>149</v>
      </c>
      <c r="K175" s="87" t="s">
        <v>164</v>
      </c>
      <c r="L175" s="88">
        <v>5.8826999999999997E-2</v>
      </c>
      <c r="M175" s="88">
        <v>8.1600000000000006E-2</v>
      </c>
      <c r="N175" s="84">
        <v>483471.21</v>
      </c>
      <c r="O175" s="86">
        <v>98.82</v>
      </c>
      <c r="P175" s="84">
        <v>1703.2366200000001</v>
      </c>
      <c r="Q175" s="85">
        <f t="shared" si="4"/>
        <v>3.3853021461772612E-4</v>
      </c>
      <c r="R175" s="85">
        <f>P175/'סכום נכסי הקרן'!$C$42</f>
        <v>3.2697291659854236E-5</v>
      </c>
    </row>
    <row r="176" spans="2:18" s="122" customFormat="1">
      <c r="B176" s="77" t="s">
        <v>3435</v>
      </c>
      <c r="C176" s="87" t="s">
        <v>2972</v>
      </c>
      <c r="D176" s="74" t="s">
        <v>3080</v>
      </c>
      <c r="E176" s="74"/>
      <c r="F176" s="74" t="s">
        <v>686</v>
      </c>
      <c r="G176" s="97">
        <v>43920</v>
      </c>
      <c r="H176" s="74" t="s">
        <v>356</v>
      </c>
      <c r="I176" s="84">
        <v>0.88</v>
      </c>
      <c r="J176" s="87" t="s">
        <v>149</v>
      </c>
      <c r="K176" s="87" t="s">
        <v>164</v>
      </c>
      <c r="L176" s="88">
        <v>5.1909000000000004E-2</v>
      </c>
      <c r="M176" s="88">
        <v>5.8700000000000002E-2</v>
      </c>
      <c r="N176" s="84">
        <v>329594.95</v>
      </c>
      <c r="O176" s="86">
        <v>100.01</v>
      </c>
      <c r="P176" s="84">
        <v>1175.12346</v>
      </c>
      <c r="Q176" s="85">
        <f t="shared" si="4"/>
        <v>2.3356402301644082E-4</v>
      </c>
      <c r="R176" s="85">
        <f>P176/'סכום נכסי הקרן'!$C$42</f>
        <v>2.2559023248312413E-5</v>
      </c>
    </row>
    <row r="177" spans="2:18" s="122" customFormat="1">
      <c r="B177" s="77" t="s">
        <v>3435</v>
      </c>
      <c r="C177" s="87" t="s">
        <v>2972</v>
      </c>
      <c r="D177" s="74" t="s">
        <v>3081</v>
      </c>
      <c r="E177" s="74"/>
      <c r="F177" s="74" t="s">
        <v>686</v>
      </c>
      <c r="G177" s="97">
        <v>43831</v>
      </c>
      <c r="H177" s="74" t="s">
        <v>356</v>
      </c>
      <c r="I177" s="84">
        <v>0.87</v>
      </c>
      <c r="J177" s="87" t="s">
        <v>149</v>
      </c>
      <c r="K177" s="87" t="s">
        <v>164</v>
      </c>
      <c r="L177" s="88">
        <v>6.0563000000000006E-2</v>
      </c>
      <c r="M177" s="88">
        <v>7.8600000000000003E-2</v>
      </c>
      <c r="N177" s="84">
        <v>827351.96</v>
      </c>
      <c r="O177" s="86">
        <v>99.67</v>
      </c>
      <c r="P177" s="84">
        <v>2939.7763999999997</v>
      </c>
      <c r="Q177" s="85">
        <f t="shared" si="4"/>
        <v>5.843011616437217E-4</v>
      </c>
      <c r="R177" s="85">
        <f>P177/'סכום נכסי הקרן'!$C$42</f>
        <v>5.6435333315905514E-5</v>
      </c>
    </row>
    <row r="178" spans="2:18" s="122" customFormat="1">
      <c r="B178" s="77" t="s">
        <v>3435</v>
      </c>
      <c r="C178" s="87" t="s">
        <v>2972</v>
      </c>
      <c r="D178" s="74">
        <v>7058</v>
      </c>
      <c r="E178" s="74"/>
      <c r="F178" s="74" t="s">
        <v>686</v>
      </c>
      <c r="G178" s="97">
        <v>43761</v>
      </c>
      <c r="H178" s="74" t="s">
        <v>356</v>
      </c>
      <c r="I178" s="84">
        <v>0.86999999999999988</v>
      </c>
      <c r="J178" s="87" t="s">
        <v>149</v>
      </c>
      <c r="K178" s="87" t="s">
        <v>164</v>
      </c>
      <c r="L178" s="88">
        <v>6.0563000000000006E-2</v>
      </c>
      <c r="M178" s="88">
        <v>7.8600000000000003E-2</v>
      </c>
      <c r="N178" s="84">
        <v>32339.34</v>
      </c>
      <c r="O178" s="86">
        <v>99.67</v>
      </c>
      <c r="P178" s="84">
        <v>114.90929</v>
      </c>
      <c r="Q178" s="85">
        <f t="shared" si="4"/>
        <v>2.2839026679258767E-5</v>
      </c>
      <c r="R178" s="85">
        <f>P178/'סכום נכסי הקרן'!$C$42</f>
        <v>2.2059310640918298E-6</v>
      </c>
    </row>
    <row r="179" spans="2:18" s="122" customFormat="1">
      <c r="B179" s="77" t="s">
        <v>3435</v>
      </c>
      <c r="C179" s="87" t="s">
        <v>2972</v>
      </c>
      <c r="D179" s="74">
        <v>7078</v>
      </c>
      <c r="E179" s="74"/>
      <c r="F179" s="74" t="s">
        <v>686</v>
      </c>
      <c r="G179" s="97">
        <v>43677</v>
      </c>
      <c r="H179" s="74" t="s">
        <v>356</v>
      </c>
      <c r="I179" s="84">
        <v>0.86999999999999988</v>
      </c>
      <c r="J179" s="87" t="s">
        <v>149</v>
      </c>
      <c r="K179" s="87" t="s">
        <v>164</v>
      </c>
      <c r="L179" s="88">
        <v>6.0563000000000006E-2</v>
      </c>
      <c r="M179" s="88">
        <v>7.8599999999999989E-2</v>
      </c>
      <c r="N179" s="84">
        <v>582119.97</v>
      </c>
      <c r="O179" s="86">
        <v>99.67</v>
      </c>
      <c r="P179" s="84">
        <v>2068.4093600000001</v>
      </c>
      <c r="Q179" s="85">
        <f t="shared" si="4"/>
        <v>4.1111085584697772E-4</v>
      </c>
      <c r="R179" s="85">
        <f>P179/'סכום נכסי הקרן'!$C$42</f>
        <v>3.9707568121622728E-5</v>
      </c>
    </row>
    <row r="180" spans="2:18" s="122" customFormat="1">
      <c r="B180" s="77" t="s">
        <v>3436</v>
      </c>
      <c r="C180" s="87" t="s">
        <v>2972</v>
      </c>
      <c r="D180" s="74" t="s">
        <v>3082</v>
      </c>
      <c r="E180" s="74"/>
      <c r="F180" s="74" t="s">
        <v>981</v>
      </c>
      <c r="G180" s="97">
        <v>42732</v>
      </c>
      <c r="H180" s="74" t="s">
        <v>2923</v>
      </c>
      <c r="I180" s="84">
        <v>3.45</v>
      </c>
      <c r="J180" s="87" t="s">
        <v>159</v>
      </c>
      <c r="K180" s="87" t="s">
        <v>165</v>
      </c>
      <c r="L180" s="88">
        <v>2.1613000000000004E-2</v>
      </c>
      <c r="M180" s="88">
        <v>3.32E-2</v>
      </c>
      <c r="N180" s="84">
        <v>24993659.66</v>
      </c>
      <c r="O180" s="86">
        <v>97.48</v>
      </c>
      <c r="P180" s="84">
        <v>24363.82056</v>
      </c>
      <c r="Q180" s="85">
        <f t="shared" si="4"/>
        <v>4.8424800795350258E-3</v>
      </c>
      <c r="R180" s="85">
        <f>P180/'סכום נכסי הקרן'!$C$42</f>
        <v>4.677159576328703E-4</v>
      </c>
    </row>
    <row r="181" spans="2:18" s="122" customFormat="1">
      <c r="B181" s="77" t="s">
        <v>3411</v>
      </c>
      <c r="C181" s="87" t="s">
        <v>2972</v>
      </c>
      <c r="D181" s="74">
        <v>2424</v>
      </c>
      <c r="E181" s="74"/>
      <c r="F181" s="74" t="s">
        <v>678</v>
      </c>
      <c r="G181" s="97">
        <v>41305</v>
      </c>
      <c r="H181" s="74" t="s">
        <v>163</v>
      </c>
      <c r="I181" s="84">
        <v>3</v>
      </c>
      <c r="J181" s="87" t="s">
        <v>159</v>
      </c>
      <c r="K181" s="87" t="s">
        <v>165</v>
      </c>
      <c r="L181" s="88">
        <v>7.1500000000000008E-2</v>
      </c>
      <c r="M181" s="88">
        <v>1.3699999999999999E-2</v>
      </c>
      <c r="N181" s="84">
        <v>37001714.210000001</v>
      </c>
      <c r="O181" s="86">
        <v>125.52</v>
      </c>
      <c r="P181" s="84">
        <v>46444.550430000003</v>
      </c>
      <c r="Q181" s="85">
        <f t="shared" si="4"/>
        <v>9.2311798843848856E-3</v>
      </c>
      <c r="R181" s="85">
        <f>P181/'סכום נכסי הקרן'!$C$42</f>
        <v>8.9160307709948048E-4</v>
      </c>
    </row>
    <row r="182" spans="2:18" s="122" customFormat="1">
      <c r="B182" s="77" t="s">
        <v>3433</v>
      </c>
      <c r="C182" s="87" t="s">
        <v>2972</v>
      </c>
      <c r="D182" s="74" t="s">
        <v>3083</v>
      </c>
      <c r="E182" s="74"/>
      <c r="F182" s="74" t="s">
        <v>981</v>
      </c>
      <c r="G182" s="97">
        <v>41339</v>
      </c>
      <c r="H182" s="74" t="s">
        <v>2923</v>
      </c>
      <c r="I182" s="84">
        <v>1.7299999999999998</v>
      </c>
      <c r="J182" s="87" t="s">
        <v>721</v>
      </c>
      <c r="K182" s="87" t="s">
        <v>165</v>
      </c>
      <c r="L182" s="88">
        <v>4.7500000000000001E-2</v>
      </c>
      <c r="M182" s="88">
        <v>1.8400000000000003E-2</v>
      </c>
      <c r="N182" s="84">
        <v>4145268.54</v>
      </c>
      <c r="O182" s="86">
        <v>108.26</v>
      </c>
      <c r="P182" s="84">
        <v>4487.6676399999997</v>
      </c>
      <c r="Q182" s="85">
        <f t="shared" si="4"/>
        <v>8.9195539331594713E-4</v>
      </c>
      <c r="R182" s="85">
        <f>P182/'סכום נכסי הקרן'!$C$42</f>
        <v>8.6150436160519926E-5</v>
      </c>
    </row>
    <row r="183" spans="2:18" s="122" customFormat="1">
      <c r="B183" s="77" t="s">
        <v>3440</v>
      </c>
      <c r="C183" s="87" t="s">
        <v>2967</v>
      </c>
      <c r="D183" s="74" t="s">
        <v>3100</v>
      </c>
      <c r="E183" s="74"/>
      <c r="F183" s="74" t="s">
        <v>981</v>
      </c>
      <c r="G183" s="97">
        <v>42978</v>
      </c>
      <c r="H183" s="74" t="s">
        <v>2923</v>
      </c>
      <c r="I183" s="84">
        <v>2.7399999999999998</v>
      </c>
      <c r="J183" s="87" t="s">
        <v>159</v>
      </c>
      <c r="K183" s="87" t="s">
        <v>165</v>
      </c>
      <c r="L183" s="88">
        <v>2.4500000000000001E-2</v>
      </c>
      <c r="M183" s="88">
        <v>3.8399999999999997E-2</v>
      </c>
      <c r="N183" s="84">
        <v>3645635.33</v>
      </c>
      <c r="O183" s="86">
        <v>96.57</v>
      </c>
      <c r="P183" s="84">
        <v>3520.5938700000002</v>
      </c>
      <c r="Q183" s="85">
        <f>P183/$P$10</f>
        <v>6.9974270421273061E-4</v>
      </c>
      <c r="R183" s="85">
        <f>P183/'סכום נכסי הקרן'!$C$42</f>
        <v>6.7585374358193964E-5</v>
      </c>
    </row>
    <row r="184" spans="2:18" s="122" customFormat="1">
      <c r="B184" s="77" t="s">
        <v>3440</v>
      </c>
      <c r="C184" s="87" t="s">
        <v>2967</v>
      </c>
      <c r="D184" s="74" t="s">
        <v>3101</v>
      </c>
      <c r="E184" s="74"/>
      <c r="F184" s="74" t="s">
        <v>981</v>
      </c>
      <c r="G184" s="97">
        <v>42978</v>
      </c>
      <c r="H184" s="74" t="s">
        <v>2923</v>
      </c>
      <c r="I184" s="84">
        <v>2.73</v>
      </c>
      <c r="J184" s="87" t="s">
        <v>159</v>
      </c>
      <c r="K184" s="87" t="s">
        <v>165</v>
      </c>
      <c r="L184" s="88">
        <v>2.76E-2</v>
      </c>
      <c r="M184" s="88">
        <v>4.1200000000000001E-2</v>
      </c>
      <c r="N184" s="84">
        <v>8506482.4499999993</v>
      </c>
      <c r="O184" s="86">
        <v>96.73</v>
      </c>
      <c r="P184" s="84">
        <v>8228.3205199999993</v>
      </c>
      <c r="Q184" s="85">
        <f>P184/$P$10</f>
        <v>1.6354363679539955E-3</v>
      </c>
      <c r="R184" s="85">
        <f>P184/'סכום נכסי הקרן'!$C$42</f>
        <v>1.5796031670174134E-4</v>
      </c>
    </row>
    <row r="185" spans="2:18" s="122" customFormat="1">
      <c r="B185" s="77" t="s">
        <v>3433</v>
      </c>
      <c r="C185" s="87" t="s">
        <v>2972</v>
      </c>
      <c r="D185" s="74" t="s">
        <v>3084</v>
      </c>
      <c r="E185" s="74"/>
      <c r="F185" s="74" t="s">
        <v>981</v>
      </c>
      <c r="G185" s="97">
        <v>41338</v>
      </c>
      <c r="H185" s="74" t="s">
        <v>2923</v>
      </c>
      <c r="I185" s="84">
        <v>1.74</v>
      </c>
      <c r="J185" s="87" t="s">
        <v>721</v>
      </c>
      <c r="K185" s="87" t="s">
        <v>165</v>
      </c>
      <c r="L185" s="88">
        <v>4.4999999999999998E-2</v>
      </c>
      <c r="M185" s="88">
        <v>1.7999999999999995E-2</v>
      </c>
      <c r="N185" s="84">
        <v>7050595.7599999998</v>
      </c>
      <c r="O185" s="86">
        <v>107.83</v>
      </c>
      <c r="P185" s="84">
        <v>7602.6575700000003</v>
      </c>
      <c r="Q185" s="85">
        <f t="shared" si="4"/>
        <v>1.5110814719549537E-3</v>
      </c>
      <c r="R185" s="85">
        <f>P185/'סכום נכסי הקרן'!$C$42</f>
        <v>1.4594937017986889E-4</v>
      </c>
    </row>
    <row r="186" spans="2:18" s="122" customFormat="1">
      <c r="B186" s="77" t="s">
        <v>3437</v>
      </c>
      <c r="C186" s="87" t="s">
        <v>2972</v>
      </c>
      <c r="D186" s="74" t="s">
        <v>3085</v>
      </c>
      <c r="E186" s="74"/>
      <c r="F186" s="74" t="s">
        <v>981</v>
      </c>
      <c r="G186" s="97">
        <v>42242</v>
      </c>
      <c r="H186" s="74" t="s">
        <v>2923</v>
      </c>
      <c r="I186" s="84">
        <v>4.45</v>
      </c>
      <c r="J186" s="87" t="s">
        <v>721</v>
      </c>
      <c r="K186" s="87" t="s">
        <v>165</v>
      </c>
      <c r="L186" s="88">
        <v>2.6600000000000002E-2</v>
      </c>
      <c r="M186" s="88">
        <v>3.7099999999999994E-2</v>
      </c>
      <c r="N186" s="84">
        <v>32300467.16</v>
      </c>
      <c r="O186" s="86">
        <v>96.35</v>
      </c>
      <c r="P186" s="84">
        <v>31121.500840000001</v>
      </c>
      <c r="Q186" s="85">
        <f t="shared" si="4"/>
        <v>6.1856163934468147E-3</v>
      </c>
      <c r="R186" s="85">
        <f>P186/'סכום נכסי הקרן'!$C$42</f>
        <v>5.9744417065074531E-4</v>
      </c>
    </row>
    <row r="187" spans="2:18" s="122" customFormat="1">
      <c r="B187" s="77" t="s">
        <v>3438</v>
      </c>
      <c r="C187" s="87" t="s">
        <v>2972</v>
      </c>
      <c r="D187" s="74" t="s">
        <v>3086</v>
      </c>
      <c r="E187" s="74"/>
      <c r="F187" s="74" t="s">
        <v>656</v>
      </c>
      <c r="G187" s="97">
        <v>42326</v>
      </c>
      <c r="H187" s="74" t="s">
        <v>163</v>
      </c>
      <c r="I187" s="84">
        <v>9.74</v>
      </c>
      <c r="J187" s="87" t="s">
        <v>492</v>
      </c>
      <c r="K187" s="87" t="s">
        <v>165</v>
      </c>
      <c r="L187" s="88">
        <v>3.5499999999999997E-2</v>
      </c>
      <c r="M187" s="88">
        <v>2.3399999999999997E-2</v>
      </c>
      <c r="N187" s="84">
        <v>568721.07999999996</v>
      </c>
      <c r="O187" s="86">
        <v>113.24</v>
      </c>
      <c r="P187" s="84">
        <v>644.01927000000001</v>
      </c>
      <c r="Q187" s="85">
        <f t="shared" si="4"/>
        <v>1.2800334324132326E-4</v>
      </c>
      <c r="R187" s="85">
        <f>P187/'סכום נכסי הקרן'!$C$42</f>
        <v>1.236333558032378E-5</v>
      </c>
    </row>
    <row r="188" spans="2:18" s="122" customFormat="1">
      <c r="B188" s="77" t="s">
        <v>3438</v>
      </c>
      <c r="C188" s="87" t="s">
        <v>2972</v>
      </c>
      <c r="D188" s="74" t="s">
        <v>3087</v>
      </c>
      <c r="E188" s="74"/>
      <c r="F188" s="74" t="s">
        <v>656</v>
      </c>
      <c r="G188" s="97">
        <v>42606</v>
      </c>
      <c r="H188" s="74" t="s">
        <v>163</v>
      </c>
      <c r="I188" s="84">
        <v>9.5499999999999989</v>
      </c>
      <c r="J188" s="87" t="s">
        <v>492</v>
      </c>
      <c r="K188" s="87" t="s">
        <v>165</v>
      </c>
      <c r="L188" s="88">
        <v>3.5499999999999997E-2</v>
      </c>
      <c r="M188" s="88">
        <v>2.9199999999999993E-2</v>
      </c>
      <c r="N188" s="84">
        <v>2392198.84</v>
      </c>
      <c r="O188" s="86">
        <v>107.22</v>
      </c>
      <c r="P188" s="84">
        <v>2564.9144700000002</v>
      </c>
      <c r="Q188" s="85">
        <f t="shared" si="4"/>
        <v>5.0979472599949809E-4</v>
      </c>
      <c r="R188" s="85">
        <f>P188/'סכום נכסי הקרן'!$C$42</f>
        <v>4.923905200451271E-5</v>
      </c>
    </row>
    <row r="189" spans="2:18" s="122" customFormat="1">
      <c r="B189" s="77" t="s">
        <v>3438</v>
      </c>
      <c r="C189" s="87" t="s">
        <v>2972</v>
      </c>
      <c r="D189" s="74" t="s">
        <v>3088</v>
      </c>
      <c r="E189" s="74"/>
      <c r="F189" s="74" t="s">
        <v>656</v>
      </c>
      <c r="G189" s="97">
        <v>42648</v>
      </c>
      <c r="H189" s="74" t="s">
        <v>163</v>
      </c>
      <c r="I189" s="84">
        <v>9.5499999999999989</v>
      </c>
      <c r="J189" s="87" t="s">
        <v>492</v>
      </c>
      <c r="K189" s="87" t="s">
        <v>165</v>
      </c>
      <c r="L189" s="88">
        <v>3.5499999999999997E-2</v>
      </c>
      <c r="M189" s="88">
        <v>2.9300000000000003E-2</v>
      </c>
      <c r="N189" s="84">
        <v>2194377.44</v>
      </c>
      <c r="O189" s="86">
        <v>107.15</v>
      </c>
      <c r="P189" s="84">
        <v>2351.2742000000003</v>
      </c>
      <c r="Q189" s="85">
        <f t="shared" si="4"/>
        <v>4.6733222513212658E-4</v>
      </c>
      <c r="R189" s="85">
        <f>P189/'סכום נכסי הקרן'!$C$42</f>
        <v>4.5137767346553674E-5</v>
      </c>
    </row>
    <row r="190" spans="2:18" s="122" customFormat="1">
      <c r="B190" s="77" t="s">
        <v>3438</v>
      </c>
      <c r="C190" s="87" t="s">
        <v>2972</v>
      </c>
      <c r="D190" s="74" t="s">
        <v>3089</v>
      </c>
      <c r="E190" s="74"/>
      <c r="F190" s="74" t="s">
        <v>656</v>
      </c>
      <c r="G190" s="97">
        <v>42718</v>
      </c>
      <c r="H190" s="74" t="s">
        <v>163</v>
      </c>
      <c r="I190" s="84">
        <v>9.4699999999999989</v>
      </c>
      <c r="J190" s="87" t="s">
        <v>492</v>
      </c>
      <c r="K190" s="87" t="s">
        <v>165</v>
      </c>
      <c r="L190" s="88">
        <v>3.5499999999999997E-2</v>
      </c>
      <c r="M190" s="88">
        <v>3.1399999999999997E-2</v>
      </c>
      <c r="N190" s="84">
        <v>1533156.41</v>
      </c>
      <c r="O190" s="86">
        <v>105.05</v>
      </c>
      <c r="P190" s="84">
        <v>1610.5802800000001</v>
      </c>
      <c r="Q190" s="85">
        <f t="shared" si="4"/>
        <v>3.2011411770108459E-4</v>
      </c>
      <c r="R190" s="85">
        <f>P190/'סכום נכסי הקרן'!$C$42</f>
        <v>3.0918553851178764E-5</v>
      </c>
    </row>
    <row r="191" spans="2:18" s="122" customFormat="1">
      <c r="B191" s="77" t="s">
        <v>3438</v>
      </c>
      <c r="C191" s="87" t="s">
        <v>2972</v>
      </c>
      <c r="D191" s="74" t="s">
        <v>3090</v>
      </c>
      <c r="E191" s="74"/>
      <c r="F191" s="74" t="s">
        <v>656</v>
      </c>
      <c r="G191" s="97">
        <v>42900</v>
      </c>
      <c r="H191" s="74" t="s">
        <v>163</v>
      </c>
      <c r="I191" s="84">
        <v>9.1199999999999992</v>
      </c>
      <c r="J191" s="87" t="s">
        <v>492</v>
      </c>
      <c r="K191" s="87" t="s">
        <v>165</v>
      </c>
      <c r="L191" s="88">
        <v>3.5499999999999997E-2</v>
      </c>
      <c r="M191" s="88">
        <v>4.2299999999999997E-2</v>
      </c>
      <c r="N191" s="84">
        <v>1816082.07</v>
      </c>
      <c r="O191" s="86">
        <v>95.32</v>
      </c>
      <c r="P191" s="84">
        <v>1731.0885800000001</v>
      </c>
      <c r="Q191" s="85">
        <f t="shared" si="4"/>
        <v>3.440659868560686E-4</v>
      </c>
      <c r="R191" s="85">
        <f>P191/'סכום נכסי הקרן'!$C$42</f>
        <v>3.3231969959231451E-5</v>
      </c>
    </row>
    <row r="192" spans="2:18" s="122" customFormat="1">
      <c r="B192" s="77" t="s">
        <v>3438</v>
      </c>
      <c r="C192" s="87" t="s">
        <v>2972</v>
      </c>
      <c r="D192" s="74" t="s">
        <v>3091</v>
      </c>
      <c r="E192" s="74"/>
      <c r="F192" s="74" t="s">
        <v>656</v>
      </c>
      <c r="G192" s="97">
        <v>43075</v>
      </c>
      <c r="H192" s="74" t="s">
        <v>163</v>
      </c>
      <c r="I192" s="84">
        <v>8.9</v>
      </c>
      <c r="J192" s="87" t="s">
        <v>492</v>
      </c>
      <c r="K192" s="87" t="s">
        <v>165</v>
      </c>
      <c r="L192" s="88">
        <v>3.5499999999999997E-2</v>
      </c>
      <c r="M192" s="88">
        <v>4.8799999999999996E-2</v>
      </c>
      <c r="N192" s="84">
        <v>1126888.99</v>
      </c>
      <c r="O192" s="86">
        <v>90.13</v>
      </c>
      <c r="P192" s="84">
        <v>1015.66435</v>
      </c>
      <c r="Q192" s="85">
        <f t="shared" si="4"/>
        <v>2.0187040740415345E-4</v>
      </c>
      <c r="R192" s="85">
        <f>P192/'סכום נכסי הקרן'!$C$42</f>
        <v>1.9497862534488176E-5</v>
      </c>
    </row>
    <row r="193" spans="2:18" s="122" customFormat="1">
      <c r="B193" s="77" t="s">
        <v>3438</v>
      </c>
      <c r="C193" s="87" t="s">
        <v>2972</v>
      </c>
      <c r="D193" s="74" t="s">
        <v>3092</v>
      </c>
      <c r="E193" s="74"/>
      <c r="F193" s="74" t="s">
        <v>656</v>
      </c>
      <c r="G193" s="97">
        <v>43292</v>
      </c>
      <c r="H193" s="74" t="s">
        <v>163</v>
      </c>
      <c r="I193" s="84">
        <v>9.08</v>
      </c>
      <c r="J193" s="87" t="s">
        <v>492</v>
      </c>
      <c r="K193" s="87" t="s">
        <v>165</v>
      </c>
      <c r="L193" s="88">
        <v>3.5499999999999997E-2</v>
      </c>
      <c r="M193" s="88">
        <v>4.3299999999999991E-2</v>
      </c>
      <c r="N193" s="84">
        <v>3072770.55</v>
      </c>
      <c r="O193" s="86">
        <v>94.46</v>
      </c>
      <c r="P193" s="84">
        <v>2902.5374700000002</v>
      </c>
      <c r="Q193" s="85">
        <f t="shared" si="4"/>
        <v>5.768996633333845E-4</v>
      </c>
      <c r="R193" s="85">
        <f>P193/'סכום נכסי הקרן'!$C$42</f>
        <v>5.5720451930070307E-5</v>
      </c>
    </row>
    <row r="194" spans="2:18" s="122" customFormat="1">
      <c r="B194" s="77" t="s">
        <v>3439</v>
      </c>
      <c r="C194" s="87" t="s">
        <v>2972</v>
      </c>
      <c r="D194" s="74" t="s">
        <v>3093</v>
      </c>
      <c r="E194" s="74"/>
      <c r="F194" s="74" t="s">
        <v>656</v>
      </c>
      <c r="G194" s="97">
        <v>42326</v>
      </c>
      <c r="H194" s="74" t="s">
        <v>163</v>
      </c>
      <c r="I194" s="84">
        <v>9.4500000000000011</v>
      </c>
      <c r="J194" s="87" t="s">
        <v>492</v>
      </c>
      <c r="K194" s="87" t="s">
        <v>165</v>
      </c>
      <c r="L194" s="88">
        <v>3.5499999999999997E-2</v>
      </c>
      <c r="M194" s="88">
        <v>3.2000000000000001E-2</v>
      </c>
      <c r="N194" s="84">
        <v>1265863.01</v>
      </c>
      <c r="O194" s="86">
        <v>104.52</v>
      </c>
      <c r="P194" s="84">
        <v>1323.0792799999999</v>
      </c>
      <c r="Q194" s="85">
        <f t="shared" si="4"/>
        <v>2.6297127912542565E-4</v>
      </c>
      <c r="R194" s="85">
        <f>P194/'סכום נכסי הקרן'!$C$42</f>
        <v>2.5399353559736137E-5</v>
      </c>
    </row>
    <row r="195" spans="2:18" s="122" customFormat="1">
      <c r="B195" s="77" t="s">
        <v>3439</v>
      </c>
      <c r="C195" s="87" t="s">
        <v>2972</v>
      </c>
      <c r="D195" s="74" t="s">
        <v>3094</v>
      </c>
      <c r="E195" s="74"/>
      <c r="F195" s="74" t="s">
        <v>656</v>
      </c>
      <c r="G195" s="97">
        <v>42606</v>
      </c>
      <c r="H195" s="74" t="s">
        <v>163</v>
      </c>
      <c r="I195" s="84">
        <v>9.31</v>
      </c>
      <c r="J195" s="87" t="s">
        <v>492</v>
      </c>
      <c r="K195" s="87" t="s">
        <v>165</v>
      </c>
      <c r="L195" s="88">
        <v>3.5499999999999997E-2</v>
      </c>
      <c r="M195" s="88">
        <v>3.6200000000000003E-2</v>
      </c>
      <c r="N195" s="84">
        <v>5324571.3499999996</v>
      </c>
      <c r="O195" s="86">
        <v>100.57</v>
      </c>
      <c r="P195" s="84">
        <v>5354.9185900000002</v>
      </c>
      <c r="Q195" s="85">
        <f t="shared" si="4"/>
        <v>1.0643275973793655E-3</v>
      </c>
      <c r="R195" s="85">
        <f>P195/'סכום נכסי הקרן'!$C$42</f>
        <v>1.0279918415094047E-4</v>
      </c>
    </row>
    <row r="196" spans="2:18" s="122" customFormat="1">
      <c r="B196" s="77" t="s">
        <v>3439</v>
      </c>
      <c r="C196" s="87" t="s">
        <v>2972</v>
      </c>
      <c r="D196" s="74" t="s">
        <v>3095</v>
      </c>
      <c r="E196" s="74"/>
      <c r="F196" s="74" t="s">
        <v>656</v>
      </c>
      <c r="G196" s="97">
        <v>42648</v>
      </c>
      <c r="H196" s="74" t="s">
        <v>163</v>
      </c>
      <c r="I196" s="84">
        <v>9.32</v>
      </c>
      <c r="J196" s="87" t="s">
        <v>492</v>
      </c>
      <c r="K196" s="87" t="s">
        <v>165</v>
      </c>
      <c r="L196" s="88">
        <v>3.5499999999999997E-2</v>
      </c>
      <c r="M196" s="88">
        <v>3.5900000000000001E-2</v>
      </c>
      <c r="N196" s="84">
        <v>4884259.76</v>
      </c>
      <c r="O196" s="86">
        <v>100.83</v>
      </c>
      <c r="P196" s="84">
        <v>4924.7971200000002</v>
      </c>
      <c r="Q196" s="85">
        <f t="shared" si="4"/>
        <v>9.7883794089770066E-4</v>
      </c>
      <c r="R196" s="85">
        <f>P196/'סכום נכסי הקרן'!$C$42</f>
        <v>9.4542077071035593E-5</v>
      </c>
    </row>
    <row r="197" spans="2:18" s="122" customFormat="1">
      <c r="B197" s="77" t="s">
        <v>3439</v>
      </c>
      <c r="C197" s="87" t="s">
        <v>2972</v>
      </c>
      <c r="D197" s="74" t="s">
        <v>3096</v>
      </c>
      <c r="E197" s="74"/>
      <c r="F197" s="74" t="s">
        <v>656</v>
      </c>
      <c r="G197" s="97">
        <v>42718</v>
      </c>
      <c r="H197" s="74" t="s">
        <v>163</v>
      </c>
      <c r="I197" s="84">
        <v>9.2899999999999991</v>
      </c>
      <c r="J197" s="87" t="s">
        <v>492</v>
      </c>
      <c r="K197" s="87" t="s">
        <v>165</v>
      </c>
      <c r="L197" s="88">
        <v>3.5499999999999997E-2</v>
      </c>
      <c r="M197" s="88">
        <v>3.6600000000000001E-2</v>
      </c>
      <c r="N197" s="84">
        <v>3412509.47</v>
      </c>
      <c r="O197" s="86">
        <v>100.19</v>
      </c>
      <c r="P197" s="84">
        <v>3418.99127</v>
      </c>
      <c r="Q197" s="85">
        <f t="shared" si="4"/>
        <v>6.7954847542511852E-4</v>
      </c>
      <c r="R197" s="85">
        <f>P197/'סכום נכסי הקרן'!$C$42</f>
        <v>6.5634893839756363E-5</v>
      </c>
    </row>
    <row r="198" spans="2:18" s="122" customFormat="1">
      <c r="B198" s="77" t="s">
        <v>3439</v>
      </c>
      <c r="C198" s="87" t="s">
        <v>2972</v>
      </c>
      <c r="D198" s="74" t="s">
        <v>3097</v>
      </c>
      <c r="E198" s="74"/>
      <c r="F198" s="74" t="s">
        <v>656</v>
      </c>
      <c r="G198" s="97">
        <v>42900</v>
      </c>
      <c r="H198" s="74" t="s">
        <v>163</v>
      </c>
      <c r="I198" s="84">
        <v>8.94</v>
      </c>
      <c r="J198" s="87" t="s">
        <v>492</v>
      </c>
      <c r="K198" s="87" t="s">
        <v>165</v>
      </c>
      <c r="L198" s="88">
        <v>3.5499999999999997E-2</v>
      </c>
      <c r="M198" s="88">
        <v>4.7699999999999992E-2</v>
      </c>
      <c r="N198" s="84">
        <v>4042247.1</v>
      </c>
      <c r="O198" s="86">
        <v>90.92</v>
      </c>
      <c r="P198" s="84">
        <v>3675.2095199999999</v>
      </c>
      <c r="Q198" s="85">
        <f t="shared" si="4"/>
        <v>7.3047364820673605E-4</v>
      </c>
      <c r="R198" s="85">
        <f>P198/'סכום נכסי הקרן'!$C$42</f>
        <v>7.0553554435973139E-5</v>
      </c>
    </row>
    <row r="199" spans="2:18" s="122" customFormat="1">
      <c r="B199" s="77" t="s">
        <v>3439</v>
      </c>
      <c r="C199" s="87" t="s">
        <v>2972</v>
      </c>
      <c r="D199" s="74" t="s">
        <v>3098</v>
      </c>
      <c r="E199" s="74"/>
      <c r="F199" s="74" t="s">
        <v>656</v>
      </c>
      <c r="G199" s="97">
        <v>43075</v>
      </c>
      <c r="H199" s="74" t="s">
        <v>163</v>
      </c>
      <c r="I199" s="84">
        <v>8.7900000000000009</v>
      </c>
      <c r="J199" s="87" t="s">
        <v>492</v>
      </c>
      <c r="K199" s="87" t="s">
        <v>165</v>
      </c>
      <c r="L199" s="88">
        <v>3.5499999999999997E-2</v>
      </c>
      <c r="M199" s="88">
        <v>5.2299999999999992E-2</v>
      </c>
      <c r="N199" s="84">
        <v>2508237.2400000002</v>
      </c>
      <c r="O199" s="86">
        <v>87.46</v>
      </c>
      <c r="P199" s="84">
        <v>2193.7035000000001</v>
      </c>
      <c r="Q199" s="85">
        <f t="shared" si="4"/>
        <v>4.3601394424143896E-4</v>
      </c>
      <c r="R199" s="85">
        <f>P199/'סכום נכסי הקרן'!$C$42</f>
        <v>4.2112858725843417E-5</v>
      </c>
    </row>
    <row r="200" spans="2:18" s="122" customFormat="1">
      <c r="B200" s="77" t="s">
        <v>3439</v>
      </c>
      <c r="C200" s="87" t="s">
        <v>2972</v>
      </c>
      <c r="D200" s="74" t="s">
        <v>3099</v>
      </c>
      <c r="E200" s="74"/>
      <c r="F200" s="74" t="s">
        <v>656</v>
      </c>
      <c r="G200" s="97">
        <v>43292</v>
      </c>
      <c r="H200" s="74" t="s">
        <v>163</v>
      </c>
      <c r="I200" s="84">
        <v>8.84</v>
      </c>
      <c r="J200" s="87" t="s">
        <v>492</v>
      </c>
      <c r="K200" s="87" t="s">
        <v>165</v>
      </c>
      <c r="L200" s="88">
        <v>3.5499999999999997E-2</v>
      </c>
      <c r="M200" s="88">
        <v>5.0799999999999998E-2</v>
      </c>
      <c r="N200" s="84">
        <v>6839392.7400000002</v>
      </c>
      <c r="O200" s="86">
        <v>88.58</v>
      </c>
      <c r="P200" s="84">
        <v>6058.3306199999997</v>
      </c>
      <c r="Q200" s="85">
        <f t="shared" si="4"/>
        <v>1.2041356678990037E-3</v>
      </c>
      <c r="R200" s="85">
        <f>P200/'סכום נכסי הקרן'!$C$42</f>
        <v>1.1630269155084602E-4</v>
      </c>
    </row>
    <row r="201" spans="2:18" s="122" customFormat="1">
      <c r="B201" s="77" t="s">
        <v>3441</v>
      </c>
      <c r="C201" s="87" t="s">
        <v>2972</v>
      </c>
      <c r="D201" s="74" t="s">
        <v>3102</v>
      </c>
      <c r="E201" s="74"/>
      <c r="F201" s="74" t="s">
        <v>678</v>
      </c>
      <c r="G201" s="97">
        <v>42825</v>
      </c>
      <c r="H201" s="74" t="s">
        <v>163</v>
      </c>
      <c r="I201" s="84">
        <v>6.4700000000000006</v>
      </c>
      <c r="J201" s="87" t="s">
        <v>492</v>
      </c>
      <c r="K201" s="87" t="s">
        <v>165</v>
      </c>
      <c r="L201" s="88">
        <v>2.8999999999999998E-2</v>
      </c>
      <c r="M201" s="88">
        <v>3.6000000000000004E-2</v>
      </c>
      <c r="N201" s="84">
        <v>54503510.409999996</v>
      </c>
      <c r="O201" s="86">
        <v>97.21</v>
      </c>
      <c r="P201" s="84">
        <v>52982.864139999998</v>
      </c>
      <c r="Q201" s="85">
        <f t="shared" si="4"/>
        <v>1.0530715555174021E-2</v>
      </c>
      <c r="R201" s="85">
        <f>P201/'סכום נכסי הקרן'!$C$42</f>
        <v>1.0171200768100042E-3</v>
      </c>
    </row>
    <row r="202" spans="2:18" s="122" customFormat="1">
      <c r="B202" s="77" t="s">
        <v>3442</v>
      </c>
      <c r="C202" s="87" t="s">
        <v>2972</v>
      </c>
      <c r="D202" s="74" t="s">
        <v>3103</v>
      </c>
      <c r="E202" s="74"/>
      <c r="F202" s="74" t="s">
        <v>678</v>
      </c>
      <c r="G202" s="97">
        <v>41816</v>
      </c>
      <c r="H202" s="74" t="s">
        <v>163</v>
      </c>
      <c r="I202" s="84">
        <v>7.22</v>
      </c>
      <c r="J202" s="87" t="s">
        <v>492</v>
      </c>
      <c r="K202" s="87" t="s">
        <v>165</v>
      </c>
      <c r="L202" s="88">
        <v>4.4999999999999998E-2</v>
      </c>
      <c r="M202" s="88">
        <v>3.6799999999999999E-2</v>
      </c>
      <c r="N202" s="84">
        <v>5192044.22</v>
      </c>
      <c r="O202" s="86">
        <v>106.56</v>
      </c>
      <c r="P202" s="84">
        <v>5532.6422000000002</v>
      </c>
      <c r="Q202" s="85">
        <f t="shared" si="4"/>
        <v>1.0996514103654537E-3</v>
      </c>
      <c r="R202" s="85">
        <f>P202/'סכום נכסי הקרן'!$C$42</f>
        <v>1.0621097124075315E-4</v>
      </c>
    </row>
    <row r="203" spans="2:18" s="122" customFormat="1">
      <c r="B203" s="77" t="s">
        <v>3442</v>
      </c>
      <c r="C203" s="87" t="s">
        <v>2972</v>
      </c>
      <c r="D203" s="74" t="s">
        <v>3104</v>
      </c>
      <c r="E203" s="74"/>
      <c r="F203" s="74" t="s">
        <v>678</v>
      </c>
      <c r="G203" s="97">
        <v>42625</v>
      </c>
      <c r="H203" s="74" t="s">
        <v>163</v>
      </c>
      <c r="I203" s="84">
        <v>7.05</v>
      </c>
      <c r="J203" s="87" t="s">
        <v>492</v>
      </c>
      <c r="K203" s="87" t="s">
        <v>165</v>
      </c>
      <c r="L203" s="88">
        <v>4.4999999999999998E-2</v>
      </c>
      <c r="M203" s="88">
        <v>4.4999999999999998E-2</v>
      </c>
      <c r="N203" s="84">
        <v>1445769.26</v>
      </c>
      <c r="O203" s="86">
        <v>101.29</v>
      </c>
      <c r="P203" s="84">
        <v>1464.4195500000001</v>
      </c>
      <c r="Q203" s="85">
        <f t="shared" si="4"/>
        <v>2.910636483097069E-4</v>
      </c>
      <c r="R203" s="85">
        <f>P203/'סכום נכסי הקרן'!$C$42</f>
        <v>2.8112684154678695E-5</v>
      </c>
    </row>
    <row r="204" spans="2:18" s="122" customFormat="1">
      <c r="B204" s="77" t="s">
        <v>3442</v>
      </c>
      <c r="C204" s="87" t="s">
        <v>2972</v>
      </c>
      <c r="D204" s="74" t="s">
        <v>3105</v>
      </c>
      <c r="E204" s="74"/>
      <c r="F204" s="74" t="s">
        <v>678</v>
      </c>
      <c r="G204" s="97">
        <v>42716</v>
      </c>
      <c r="H204" s="74" t="s">
        <v>163</v>
      </c>
      <c r="I204" s="84">
        <v>7.1499999999999995</v>
      </c>
      <c r="J204" s="87" t="s">
        <v>492</v>
      </c>
      <c r="K204" s="87" t="s">
        <v>165</v>
      </c>
      <c r="L204" s="88">
        <v>4.4999999999999998E-2</v>
      </c>
      <c r="M204" s="88">
        <v>4.0500000000000001E-2</v>
      </c>
      <c r="N204" s="84">
        <v>1093809.3999999999</v>
      </c>
      <c r="O204" s="86">
        <v>104.6</v>
      </c>
      <c r="P204" s="84">
        <v>1144.1245900000001</v>
      </c>
      <c r="Q204" s="85">
        <f t="shared" si="4"/>
        <v>2.2740278036184893E-4</v>
      </c>
      <c r="R204" s="85">
        <f>P204/'סכום נכסי הקרן'!$C$42</f>
        <v>2.1963933240491948E-5</v>
      </c>
    </row>
    <row r="205" spans="2:18" s="122" customFormat="1">
      <c r="B205" s="77" t="s">
        <v>3442</v>
      </c>
      <c r="C205" s="87" t="s">
        <v>2972</v>
      </c>
      <c r="D205" s="74" t="s">
        <v>3106</v>
      </c>
      <c r="E205" s="74"/>
      <c r="F205" s="74" t="s">
        <v>678</v>
      </c>
      <c r="G205" s="97">
        <v>42803</v>
      </c>
      <c r="H205" s="74" t="s">
        <v>163</v>
      </c>
      <c r="I205" s="84">
        <v>6.9600000000000009</v>
      </c>
      <c r="J205" s="87" t="s">
        <v>492</v>
      </c>
      <c r="K205" s="87" t="s">
        <v>165</v>
      </c>
      <c r="L205" s="88">
        <v>4.4999999999999998E-2</v>
      </c>
      <c r="M205" s="88">
        <v>4.9200000000000001E-2</v>
      </c>
      <c r="N205" s="84">
        <v>7009951.5300000003</v>
      </c>
      <c r="O205" s="86">
        <v>99.27</v>
      </c>
      <c r="P205" s="84">
        <v>6958.7782999999999</v>
      </c>
      <c r="Q205" s="85">
        <f t="shared" si="4"/>
        <v>1.3831059546947594E-3</v>
      </c>
      <c r="R205" s="85">
        <f>P205/'סכום נכסי הקרן'!$C$42</f>
        <v>1.3358872220077363E-4</v>
      </c>
    </row>
    <row r="206" spans="2:18" s="122" customFormat="1">
      <c r="B206" s="77" t="s">
        <v>3442</v>
      </c>
      <c r="C206" s="87" t="s">
        <v>2972</v>
      </c>
      <c r="D206" s="74" t="s">
        <v>3107</v>
      </c>
      <c r="E206" s="74"/>
      <c r="F206" s="74" t="s">
        <v>678</v>
      </c>
      <c r="G206" s="97">
        <v>42898</v>
      </c>
      <c r="H206" s="74" t="s">
        <v>163</v>
      </c>
      <c r="I206" s="84">
        <v>6.9</v>
      </c>
      <c r="J206" s="87" t="s">
        <v>492</v>
      </c>
      <c r="K206" s="87" t="s">
        <v>165</v>
      </c>
      <c r="L206" s="88">
        <v>4.4999999999999998E-2</v>
      </c>
      <c r="M206" s="88">
        <v>5.1900000000000002E-2</v>
      </c>
      <c r="N206" s="84">
        <v>1318392.26</v>
      </c>
      <c r="O206" s="86">
        <v>97.01</v>
      </c>
      <c r="P206" s="84">
        <v>1278.97228</v>
      </c>
      <c r="Q206" s="85">
        <f t="shared" si="4"/>
        <v>2.5420470377070833E-4</v>
      </c>
      <c r="R206" s="85">
        <f>P206/'סכום נכסי הקרן'!$C$42</f>
        <v>2.4552624792689555E-5</v>
      </c>
    </row>
    <row r="207" spans="2:18" s="122" customFormat="1">
      <c r="B207" s="77" t="s">
        <v>3442</v>
      </c>
      <c r="C207" s="87" t="s">
        <v>2972</v>
      </c>
      <c r="D207" s="74" t="s">
        <v>3108</v>
      </c>
      <c r="E207" s="74"/>
      <c r="F207" s="74" t="s">
        <v>678</v>
      </c>
      <c r="G207" s="97">
        <v>42989</v>
      </c>
      <c r="H207" s="74" t="s">
        <v>163</v>
      </c>
      <c r="I207" s="84">
        <v>6.8800000000000008</v>
      </c>
      <c r="J207" s="87" t="s">
        <v>492</v>
      </c>
      <c r="K207" s="87" t="s">
        <v>165</v>
      </c>
      <c r="L207" s="88">
        <v>4.4999999999999998E-2</v>
      </c>
      <c r="M207" s="88">
        <v>5.2900000000000003E-2</v>
      </c>
      <c r="N207" s="84">
        <v>1661340.19</v>
      </c>
      <c r="O207" s="86">
        <v>96.74</v>
      </c>
      <c r="P207" s="84">
        <v>1607.1804</v>
      </c>
      <c r="Q207" s="85">
        <f t="shared" si="4"/>
        <v>3.1943836772450494E-4</v>
      </c>
      <c r="R207" s="85">
        <f>P207/'סכום נכסי הקרן'!$C$42</f>
        <v>3.0853285839287086E-5</v>
      </c>
    </row>
    <row r="208" spans="2:18" s="122" customFormat="1">
      <c r="B208" s="77" t="s">
        <v>3442</v>
      </c>
      <c r="C208" s="87" t="s">
        <v>2972</v>
      </c>
      <c r="D208" s="74" t="s">
        <v>3109</v>
      </c>
      <c r="E208" s="74"/>
      <c r="F208" s="74" t="s">
        <v>678</v>
      </c>
      <c r="G208" s="97">
        <v>43080</v>
      </c>
      <c r="H208" s="74" t="s">
        <v>163</v>
      </c>
      <c r="I208" s="84">
        <v>6.83</v>
      </c>
      <c r="J208" s="87" t="s">
        <v>492</v>
      </c>
      <c r="K208" s="87" t="s">
        <v>165</v>
      </c>
      <c r="L208" s="88">
        <v>4.4999999999999998E-2</v>
      </c>
      <c r="M208" s="88">
        <v>5.5599999999999997E-2</v>
      </c>
      <c r="N208" s="84">
        <v>514740.58</v>
      </c>
      <c r="O208" s="86">
        <v>94.4</v>
      </c>
      <c r="P208" s="84">
        <v>485.9151</v>
      </c>
      <c r="Q208" s="85">
        <f t="shared" si="4"/>
        <v>9.6579031449543312E-5</v>
      </c>
      <c r="R208" s="85">
        <f>P208/'סכום נכסי הקרן'!$C$42</f>
        <v>9.3281858551322345E-6</v>
      </c>
    </row>
    <row r="209" spans="2:18" s="122" customFormat="1">
      <c r="B209" s="77" t="s">
        <v>3442</v>
      </c>
      <c r="C209" s="87" t="s">
        <v>2972</v>
      </c>
      <c r="D209" s="74" t="s">
        <v>3110</v>
      </c>
      <c r="E209" s="74"/>
      <c r="F209" s="74" t="s">
        <v>678</v>
      </c>
      <c r="G209" s="97">
        <v>43171</v>
      </c>
      <c r="H209" s="74" t="s">
        <v>163</v>
      </c>
      <c r="I209" s="84">
        <v>6.8199999999999994</v>
      </c>
      <c r="J209" s="87" t="s">
        <v>492</v>
      </c>
      <c r="K209" s="87" t="s">
        <v>165</v>
      </c>
      <c r="L209" s="88">
        <v>4.4999999999999998E-2</v>
      </c>
      <c r="M209" s="88">
        <v>5.5900000000000005E-2</v>
      </c>
      <c r="N209" s="84">
        <v>546850.56999999995</v>
      </c>
      <c r="O209" s="86">
        <v>94.88</v>
      </c>
      <c r="P209" s="84">
        <v>518.85178999999994</v>
      </c>
      <c r="Q209" s="85">
        <f t="shared" si="4"/>
        <v>1.0312542940950349E-4</v>
      </c>
      <c r="R209" s="85">
        <f>P209/'סכום נכסי הקרן'!$C$42</f>
        <v>9.9604764873288357E-6</v>
      </c>
    </row>
    <row r="210" spans="2:18" s="122" customFormat="1">
      <c r="B210" s="77" t="s">
        <v>3442</v>
      </c>
      <c r="C210" s="87" t="s">
        <v>2972</v>
      </c>
      <c r="D210" s="74" t="s">
        <v>3111</v>
      </c>
      <c r="E210" s="74"/>
      <c r="F210" s="74" t="s">
        <v>678</v>
      </c>
      <c r="G210" s="97">
        <v>43341</v>
      </c>
      <c r="H210" s="74" t="s">
        <v>163</v>
      </c>
      <c r="I210" s="84">
        <v>6.88</v>
      </c>
      <c r="J210" s="87" t="s">
        <v>492</v>
      </c>
      <c r="K210" s="87" t="s">
        <v>165</v>
      </c>
      <c r="L210" s="88">
        <v>4.4999999999999998E-2</v>
      </c>
      <c r="M210" s="88">
        <v>5.3100000000000008E-2</v>
      </c>
      <c r="N210" s="84">
        <v>964884.88</v>
      </c>
      <c r="O210" s="86">
        <v>95.31</v>
      </c>
      <c r="P210" s="84">
        <v>919.63175999999999</v>
      </c>
      <c r="Q210" s="85">
        <f t="shared" si="4"/>
        <v>1.8278325713903286E-4</v>
      </c>
      <c r="R210" s="85">
        <f>P210/'סכום נכסי הקרן'!$C$42</f>
        <v>1.7654310342614096E-5</v>
      </c>
    </row>
    <row r="211" spans="2:18" s="122" customFormat="1">
      <c r="B211" s="77" t="s">
        <v>3442</v>
      </c>
      <c r="C211" s="87" t="s">
        <v>2972</v>
      </c>
      <c r="D211" s="74" t="s">
        <v>3112</v>
      </c>
      <c r="E211" s="74"/>
      <c r="F211" s="74" t="s">
        <v>678</v>
      </c>
      <c r="G211" s="97">
        <v>41893</v>
      </c>
      <c r="H211" s="74" t="s">
        <v>163</v>
      </c>
      <c r="I211" s="84">
        <v>7.22</v>
      </c>
      <c r="J211" s="87" t="s">
        <v>492</v>
      </c>
      <c r="K211" s="87" t="s">
        <v>165</v>
      </c>
      <c r="L211" s="88">
        <v>4.4999999999999998E-2</v>
      </c>
      <c r="M211" s="88">
        <v>3.6799999999999999E-2</v>
      </c>
      <c r="N211" s="84">
        <v>1018626.71</v>
      </c>
      <c r="O211" s="86">
        <v>106.38</v>
      </c>
      <c r="P211" s="84">
        <v>1083.6150500000001</v>
      </c>
      <c r="Q211" s="85">
        <f t="shared" si="4"/>
        <v>2.1537608523206721E-4</v>
      </c>
      <c r="R211" s="85">
        <f>P211/'סכום נכסי הקרן'!$C$42</f>
        <v>2.0802322425910225E-5</v>
      </c>
    </row>
    <row r="212" spans="2:18" s="122" customFormat="1">
      <c r="B212" s="77" t="s">
        <v>3442</v>
      </c>
      <c r="C212" s="87" t="s">
        <v>2972</v>
      </c>
      <c r="D212" s="74" t="s">
        <v>3113</v>
      </c>
      <c r="E212" s="74"/>
      <c r="F212" s="74" t="s">
        <v>678</v>
      </c>
      <c r="G212" s="97">
        <v>42151</v>
      </c>
      <c r="H212" s="74" t="s">
        <v>163</v>
      </c>
      <c r="I212" s="84">
        <v>7.22</v>
      </c>
      <c r="J212" s="87" t="s">
        <v>492</v>
      </c>
      <c r="K212" s="87" t="s">
        <v>165</v>
      </c>
      <c r="L212" s="88">
        <v>4.4999999999999998E-2</v>
      </c>
      <c r="M212" s="88">
        <v>3.6799999999999999E-2</v>
      </c>
      <c r="N212" s="84">
        <v>3730384.73</v>
      </c>
      <c r="O212" s="86">
        <v>107.23</v>
      </c>
      <c r="P212" s="84">
        <v>4000.0915</v>
      </c>
      <c r="Q212" s="85">
        <f t="shared" si="4"/>
        <v>7.9504621852572778E-4</v>
      </c>
      <c r="R212" s="85">
        <f>P212/'סכום נכסי הקרן'!$C$42</f>
        <v>7.6790363068640353E-5</v>
      </c>
    </row>
    <row r="213" spans="2:18" s="122" customFormat="1">
      <c r="B213" s="77" t="s">
        <v>3442</v>
      </c>
      <c r="C213" s="87" t="s">
        <v>2972</v>
      </c>
      <c r="D213" s="74" t="s">
        <v>3114</v>
      </c>
      <c r="E213" s="74"/>
      <c r="F213" s="74" t="s">
        <v>678</v>
      </c>
      <c r="G213" s="97">
        <v>42166</v>
      </c>
      <c r="H213" s="74" t="s">
        <v>163</v>
      </c>
      <c r="I213" s="84">
        <v>7.2200000000000006</v>
      </c>
      <c r="J213" s="87" t="s">
        <v>492</v>
      </c>
      <c r="K213" s="87" t="s">
        <v>165</v>
      </c>
      <c r="L213" s="88">
        <v>4.4999999999999998E-2</v>
      </c>
      <c r="M213" s="88">
        <v>3.6799999999999999E-2</v>
      </c>
      <c r="N213" s="84">
        <v>3509881.94</v>
      </c>
      <c r="O213" s="86">
        <v>107.23</v>
      </c>
      <c r="P213" s="84">
        <v>3763.6463599999997</v>
      </c>
      <c r="Q213" s="85">
        <f t="shared" si="4"/>
        <v>7.4805108992784784E-4</v>
      </c>
      <c r="R213" s="85">
        <f>P213/'סכום נכסי הקרן'!$C$42</f>
        <v>7.2251289863336048E-5</v>
      </c>
    </row>
    <row r="214" spans="2:18" s="122" customFormat="1">
      <c r="B214" s="77" t="s">
        <v>3442</v>
      </c>
      <c r="C214" s="87" t="s">
        <v>2972</v>
      </c>
      <c r="D214" s="74" t="s">
        <v>3115</v>
      </c>
      <c r="E214" s="74"/>
      <c r="F214" s="74" t="s">
        <v>678</v>
      </c>
      <c r="G214" s="97">
        <v>42257</v>
      </c>
      <c r="H214" s="74" t="s">
        <v>163</v>
      </c>
      <c r="I214" s="84">
        <v>7.22</v>
      </c>
      <c r="J214" s="87" t="s">
        <v>492</v>
      </c>
      <c r="K214" s="87" t="s">
        <v>165</v>
      </c>
      <c r="L214" s="88">
        <v>4.4999999999999998E-2</v>
      </c>
      <c r="M214" s="88">
        <v>3.6799999999999999E-2</v>
      </c>
      <c r="N214" s="84">
        <v>1865166.91</v>
      </c>
      <c r="O214" s="86">
        <v>106.51</v>
      </c>
      <c r="P214" s="84">
        <v>1986.5891299999998</v>
      </c>
      <c r="Q214" s="85">
        <f t="shared" si="4"/>
        <v>3.9484851173299793E-4</v>
      </c>
      <c r="R214" s="85">
        <f>P214/'סכום נכסי הקרן'!$C$42</f>
        <v>3.8136852759721712E-5</v>
      </c>
    </row>
    <row r="215" spans="2:18" s="122" customFormat="1">
      <c r="B215" s="77" t="s">
        <v>3442</v>
      </c>
      <c r="C215" s="87" t="s">
        <v>2972</v>
      </c>
      <c r="D215" s="74" t="s">
        <v>3116</v>
      </c>
      <c r="E215" s="74"/>
      <c r="F215" s="74" t="s">
        <v>678</v>
      </c>
      <c r="G215" s="97">
        <v>42348</v>
      </c>
      <c r="H215" s="74" t="s">
        <v>163</v>
      </c>
      <c r="I215" s="84">
        <v>7.22</v>
      </c>
      <c r="J215" s="87" t="s">
        <v>492</v>
      </c>
      <c r="K215" s="87" t="s">
        <v>165</v>
      </c>
      <c r="L215" s="88">
        <v>4.4999999999999998E-2</v>
      </c>
      <c r="M215" s="88">
        <v>3.6799999999999999E-2</v>
      </c>
      <c r="N215" s="84">
        <v>3229886.28</v>
      </c>
      <c r="O215" s="86">
        <v>107.01</v>
      </c>
      <c r="P215" s="84">
        <v>3456.3011200000001</v>
      </c>
      <c r="Q215" s="85">
        <f t="shared" si="4"/>
        <v>6.8696406958246769E-4</v>
      </c>
      <c r="R215" s="85">
        <f>P215/'סכום נכסי הקרן'!$C$42</f>
        <v>6.6351136687585338E-5</v>
      </c>
    </row>
    <row r="216" spans="2:18" s="122" customFormat="1">
      <c r="B216" s="77" t="s">
        <v>3442</v>
      </c>
      <c r="C216" s="87" t="s">
        <v>2972</v>
      </c>
      <c r="D216" s="74" t="s">
        <v>3117</v>
      </c>
      <c r="E216" s="74"/>
      <c r="F216" s="74" t="s">
        <v>678</v>
      </c>
      <c r="G216" s="97">
        <v>42439</v>
      </c>
      <c r="H216" s="74" t="s">
        <v>163</v>
      </c>
      <c r="I216" s="84">
        <v>7.22</v>
      </c>
      <c r="J216" s="87" t="s">
        <v>492</v>
      </c>
      <c r="K216" s="87" t="s">
        <v>165</v>
      </c>
      <c r="L216" s="88">
        <v>4.4999999999999998E-2</v>
      </c>
      <c r="M216" s="88">
        <v>3.6799999999999999E-2</v>
      </c>
      <c r="N216" s="84">
        <v>3836088.58</v>
      </c>
      <c r="O216" s="86">
        <v>108.1</v>
      </c>
      <c r="P216" s="84">
        <v>4146.8114599999999</v>
      </c>
      <c r="Q216" s="85">
        <f t="shared" si="4"/>
        <v>8.2420783879872555E-4</v>
      </c>
      <c r="R216" s="85">
        <f>P216/'סכום נכסי הקרן'!$C$42</f>
        <v>7.9606968388247761E-5</v>
      </c>
    </row>
    <row r="217" spans="2:18" s="122" customFormat="1">
      <c r="B217" s="77" t="s">
        <v>3442</v>
      </c>
      <c r="C217" s="87" t="s">
        <v>2972</v>
      </c>
      <c r="D217" s="74" t="s">
        <v>3118</v>
      </c>
      <c r="E217" s="74"/>
      <c r="F217" s="74" t="s">
        <v>678</v>
      </c>
      <c r="G217" s="97">
        <v>42549</v>
      </c>
      <c r="H217" s="74" t="s">
        <v>163</v>
      </c>
      <c r="I217" s="84">
        <v>7.19</v>
      </c>
      <c r="J217" s="87" t="s">
        <v>492</v>
      </c>
      <c r="K217" s="87" t="s">
        <v>165</v>
      </c>
      <c r="L217" s="88">
        <v>4.4999999999999998E-2</v>
      </c>
      <c r="M217" s="88">
        <v>3.8399999999999997E-2</v>
      </c>
      <c r="N217" s="84">
        <v>2698259.96</v>
      </c>
      <c r="O217" s="86">
        <v>106.68</v>
      </c>
      <c r="P217" s="84">
        <v>2878.5035899999998</v>
      </c>
      <c r="Q217" s="85">
        <f t="shared" si="4"/>
        <v>5.7212276125239423E-4</v>
      </c>
      <c r="R217" s="85">
        <f>P217/'סכום נכסי הקרן'!$C$42</f>
        <v>5.5259069891397398E-5</v>
      </c>
    </row>
    <row r="218" spans="2:18" s="122" customFormat="1">
      <c r="B218" s="77" t="s">
        <v>3442</v>
      </c>
      <c r="C218" s="87" t="s">
        <v>2972</v>
      </c>
      <c r="D218" s="74" t="s">
        <v>3119</v>
      </c>
      <c r="E218" s="74"/>
      <c r="F218" s="74" t="s">
        <v>678</v>
      </c>
      <c r="G218" s="97">
        <v>42604</v>
      </c>
      <c r="H218" s="74" t="s">
        <v>163</v>
      </c>
      <c r="I218" s="84">
        <v>7.05</v>
      </c>
      <c r="J218" s="87" t="s">
        <v>492</v>
      </c>
      <c r="K218" s="87" t="s">
        <v>165</v>
      </c>
      <c r="L218" s="88">
        <v>4.4999999999999998E-2</v>
      </c>
      <c r="M218" s="88">
        <v>4.4899999999999995E-2</v>
      </c>
      <c r="N218" s="84">
        <v>3528444.49</v>
      </c>
      <c r="O218" s="86">
        <v>101.32</v>
      </c>
      <c r="P218" s="84">
        <v>3575.0196599999999</v>
      </c>
      <c r="Q218" s="85">
        <f t="shared" si="4"/>
        <v>7.1056021139469759E-4</v>
      </c>
      <c r="R218" s="85">
        <f>P218/'סכום נכסי הקרן'!$C$42</f>
        <v>6.8630194501532568E-5</v>
      </c>
    </row>
    <row r="219" spans="2:18" s="122" customFormat="1">
      <c r="B219" s="77" t="s">
        <v>3443</v>
      </c>
      <c r="C219" s="87" t="s">
        <v>2972</v>
      </c>
      <c r="D219" s="74" t="s">
        <v>3120</v>
      </c>
      <c r="E219" s="74"/>
      <c r="F219" s="74" t="s">
        <v>678</v>
      </c>
      <c r="G219" s="97">
        <v>43552</v>
      </c>
      <c r="H219" s="74" t="s">
        <v>163</v>
      </c>
      <c r="I219" s="84">
        <v>6.37</v>
      </c>
      <c r="J219" s="87" t="s">
        <v>492</v>
      </c>
      <c r="K219" s="87" t="s">
        <v>165</v>
      </c>
      <c r="L219" s="88">
        <v>3.5500999999999998E-2</v>
      </c>
      <c r="M219" s="88">
        <v>5.0700000000000002E-2</v>
      </c>
      <c r="N219" s="84">
        <v>45552989.240000002</v>
      </c>
      <c r="O219" s="86">
        <v>90.32</v>
      </c>
      <c r="P219" s="84">
        <v>41143.459880000002</v>
      </c>
      <c r="Q219" s="85">
        <f t="shared" si="4"/>
        <v>8.1775509871859168E-3</v>
      </c>
      <c r="R219" s="85">
        <f>P219/'סכום נכסי הקרן'!$C$42</f>
        <v>7.8983723799449037E-4</v>
      </c>
    </row>
    <row r="220" spans="2:18" s="122" customFormat="1">
      <c r="B220" s="77" t="s">
        <v>3444</v>
      </c>
      <c r="C220" s="87" t="s">
        <v>2972</v>
      </c>
      <c r="D220" s="74" t="s">
        <v>3121</v>
      </c>
      <c r="E220" s="74"/>
      <c r="F220" s="74" t="s">
        <v>678</v>
      </c>
      <c r="G220" s="97">
        <v>43779</v>
      </c>
      <c r="H220" s="74" t="s">
        <v>163</v>
      </c>
      <c r="I220" s="84">
        <v>8.09</v>
      </c>
      <c r="J220" s="87" t="s">
        <v>492</v>
      </c>
      <c r="K220" s="87" t="s">
        <v>165</v>
      </c>
      <c r="L220" s="88">
        <v>2.7243E-2</v>
      </c>
      <c r="M220" s="88">
        <v>5.1599999999999993E-2</v>
      </c>
      <c r="N220" s="84">
        <v>4516593.72</v>
      </c>
      <c r="O220" s="86">
        <v>81.11</v>
      </c>
      <c r="P220" s="84">
        <v>3663.4091800000001</v>
      </c>
      <c r="Q220" s="85">
        <f t="shared" si="4"/>
        <v>7.2812824793418781E-4</v>
      </c>
      <c r="R220" s="85">
        <f>P220/'סכום נכסי הקרן'!$C$42</f>
        <v>7.032702151968025E-5</v>
      </c>
    </row>
    <row r="221" spans="2:18" s="122" customFormat="1">
      <c r="B221" s="77" t="s">
        <v>3444</v>
      </c>
      <c r="C221" s="87" t="s">
        <v>2972</v>
      </c>
      <c r="D221" s="74" t="s">
        <v>3122</v>
      </c>
      <c r="E221" s="74"/>
      <c r="F221" s="74" t="s">
        <v>678</v>
      </c>
      <c r="G221" s="97">
        <v>43835</v>
      </c>
      <c r="H221" s="74" t="s">
        <v>163</v>
      </c>
      <c r="I221" s="84">
        <v>8.0399999999999991</v>
      </c>
      <c r="J221" s="87" t="s">
        <v>492</v>
      </c>
      <c r="K221" s="87" t="s">
        <v>165</v>
      </c>
      <c r="L221" s="88">
        <v>2.7243E-2</v>
      </c>
      <c r="M221" s="88">
        <v>5.3299999999999993E-2</v>
      </c>
      <c r="N221" s="84">
        <v>2515106.9</v>
      </c>
      <c r="O221" s="86">
        <v>80.06</v>
      </c>
      <c r="P221" s="84">
        <v>2013.5945900000002</v>
      </c>
      <c r="Q221" s="85">
        <f t="shared" si="4"/>
        <v>4.0021603616401357E-4</v>
      </c>
      <c r="R221" s="85">
        <f>P221/'סכום נכסי הקרן'!$C$42</f>
        <v>3.8655280670242176E-5</v>
      </c>
    </row>
    <row r="222" spans="2:18" s="122" customFormat="1">
      <c r="B222" s="77" t="s">
        <v>3444</v>
      </c>
      <c r="C222" s="87" t="s">
        <v>2972</v>
      </c>
      <c r="D222" s="74" t="s">
        <v>3123</v>
      </c>
      <c r="E222" s="74"/>
      <c r="F222" s="74" t="s">
        <v>678</v>
      </c>
      <c r="G222" s="97">
        <v>43227</v>
      </c>
      <c r="H222" s="74" t="s">
        <v>163</v>
      </c>
      <c r="I222" s="84">
        <v>8.42</v>
      </c>
      <c r="J222" s="87" t="s">
        <v>492</v>
      </c>
      <c r="K222" s="87" t="s">
        <v>165</v>
      </c>
      <c r="L222" s="88">
        <v>2.9805999999999999E-2</v>
      </c>
      <c r="M222" s="88">
        <v>3.6799999999999999E-2</v>
      </c>
      <c r="N222" s="84">
        <v>1485601.62</v>
      </c>
      <c r="O222" s="86">
        <v>94.27</v>
      </c>
      <c r="P222" s="84">
        <v>1400.4767199999999</v>
      </c>
      <c r="Q222" s="85">
        <f t="shared" si="4"/>
        <v>2.7835456273170609E-4</v>
      </c>
      <c r="R222" s="85">
        <f>P222/'סכום נכסי הקרן'!$C$42</f>
        <v>2.6885163951369253E-5</v>
      </c>
    </row>
    <row r="223" spans="2:18" s="122" customFormat="1">
      <c r="B223" s="77" t="s">
        <v>3444</v>
      </c>
      <c r="C223" s="87" t="s">
        <v>2972</v>
      </c>
      <c r="D223" s="74" t="s">
        <v>3124</v>
      </c>
      <c r="E223" s="74"/>
      <c r="F223" s="74" t="s">
        <v>678</v>
      </c>
      <c r="G223" s="97">
        <v>43279</v>
      </c>
      <c r="H223" s="74" t="s">
        <v>163</v>
      </c>
      <c r="I223" s="84">
        <v>8.4599999999999991</v>
      </c>
      <c r="J223" s="87" t="s">
        <v>492</v>
      </c>
      <c r="K223" s="87" t="s">
        <v>165</v>
      </c>
      <c r="L223" s="88">
        <v>2.9796999999999997E-2</v>
      </c>
      <c r="M223" s="88">
        <v>3.5099999999999999E-2</v>
      </c>
      <c r="N223" s="84">
        <v>1737456.81</v>
      </c>
      <c r="O223" s="86">
        <v>94.7</v>
      </c>
      <c r="P223" s="84">
        <v>1645.3717300000001</v>
      </c>
      <c r="Q223" s="85">
        <f t="shared" si="4"/>
        <v>3.2702916220932318E-4</v>
      </c>
      <c r="R223" s="85">
        <f>P223/'סכום נכסי הקרן'!$C$42</f>
        <v>3.1586450592336926E-5</v>
      </c>
    </row>
    <row r="224" spans="2:18" s="122" customFormat="1">
      <c r="B224" s="77" t="s">
        <v>3444</v>
      </c>
      <c r="C224" s="87" t="s">
        <v>2972</v>
      </c>
      <c r="D224" s="74" t="s">
        <v>3125</v>
      </c>
      <c r="E224" s="74"/>
      <c r="F224" s="74" t="s">
        <v>678</v>
      </c>
      <c r="G224" s="97">
        <v>43321</v>
      </c>
      <c r="H224" s="74" t="s">
        <v>163</v>
      </c>
      <c r="I224" s="84">
        <v>8.4700000000000006</v>
      </c>
      <c r="J224" s="87" t="s">
        <v>492</v>
      </c>
      <c r="K224" s="87" t="s">
        <v>165</v>
      </c>
      <c r="L224" s="88">
        <v>3.0529000000000001E-2</v>
      </c>
      <c r="M224" s="88">
        <v>3.4500000000000003E-2</v>
      </c>
      <c r="N224" s="84">
        <v>9732983.5500000007</v>
      </c>
      <c r="O224" s="86">
        <v>95.68</v>
      </c>
      <c r="P224" s="84">
        <v>9312.5191099999993</v>
      </c>
      <c r="Q224" s="85">
        <f t="shared" si="4"/>
        <v>1.8509284358505487E-3</v>
      </c>
      <c r="R224" s="85">
        <f>P224/'סכום נכסי הקרן'!$C$42</f>
        <v>1.7877384143351509E-4</v>
      </c>
    </row>
    <row r="225" spans="2:18" s="122" customFormat="1">
      <c r="B225" s="77" t="s">
        <v>3444</v>
      </c>
      <c r="C225" s="87" t="s">
        <v>2972</v>
      </c>
      <c r="D225" s="74" t="s">
        <v>3126</v>
      </c>
      <c r="E225" s="74"/>
      <c r="F225" s="74" t="s">
        <v>678</v>
      </c>
      <c r="G225" s="97">
        <v>43138</v>
      </c>
      <c r="H225" s="74" t="s">
        <v>163</v>
      </c>
      <c r="I225" s="84">
        <v>8.35</v>
      </c>
      <c r="J225" s="87" t="s">
        <v>492</v>
      </c>
      <c r="K225" s="87" t="s">
        <v>165</v>
      </c>
      <c r="L225" s="88">
        <v>2.8243000000000001E-2</v>
      </c>
      <c r="M225" s="88">
        <v>4.07E-2</v>
      </c>
      <c r="N225" s="84">
        <v>9314946.8300000001</v>
      </c>
      <c r="O225" s="86">
        <v>89.97</v>
      </c>
      <c r="P225" s="84">
        <v>8380.6575300000004</v>
      </c>
      <c r="Q225" s="85">
        <f t="shared" si="4"/>
        <v>1.6657144162791442E-3</v>
      </c>
      <c r="R225" s="85">
        <f>P225/'סכום נכסי הקרן'!$C$42</f>
        <v>1.6088475338192507E-4</v>
      </c>
    </row>
    <row r="226" spans="2:18" s="122" customFormat="1">
      <c r="B226" s="77" t="s">
        <v>3444</v>
      </c>
      <c r="C226" s="87" t="s">
        <v>2972</v>
      </c>
      <c r="D226" s="74" t="s">
        <v>3127</v>
      </c>
      <c r="E226" s="74"/>
      <c r="F226" s="74" t="s">
        <v>678</v>
      </c>
      <c r="G226" s="97">
        <v>43417</v>
      </c>
      <c r="H226" s="74" t="s">
        <v>163</v>
      </c>
      <c r="I226" s="84">
        <v>8.3699999999999992</v>
      </c>
      <c r="J226" s="87" t="s">
        <v>492</v>
      </c>
      <c r="K226" s="87" t="s">
        <v>165</v>
      </c>
      <c r="L226" s="88">
        <v>3.2797E-2</v>
      </c>
      <c r="M226" s="88">
        <v>3.6500000000000005E-2</v>
      </c>
      <c r="N226" s="84">
        <v>11081443.359999999</v>
      </c>
      <c r="O226" s="86">
        <v>95.97</v>
      </c>
      <c r="P226" s="84">
        <v>10634.861500000001</v>
      </c>
      <c r="Q226" s="85">
        <f t="shared" si="4"/>
        <v>2.1137532529243016E-3</v>
      </c>
      <c r="R226" s="85">
        <f>P226/'סכום נכסי הקרן'!$C$42</f>
        <v>2.041590488041849E-4</v>
      </c>
    </row>
    <row r="227" spans="2:18" s="122" customFormat="1">
      <c r="B227" s="77" t="s">
        <v>3444</v>
      </c>
      <c r="C227" s="87" t="s">
        <v>2972</v>
      </c>
      <c r="D227" s="74" t="s">
        <v>3128</v>
      </c>
      <c r="E227" s="74"/>
      <c r="F227" s="74" t="s">
        <v>678</v>
      </c>
      <c r="G227" s="97">
        <v>43496</v>
      </c>
      <c r="H227" s="74" t="s">
        <v>163</v>
      </c>
      <c r="I227" s="84">
        <v>8.4700000000000006</v>
      </c>
      <c r="J227" s="87" t="s">
        <v>492</v>
      </c>
      <c r="K227" s="87" t="s">
        <v>165</v>
      </c>
      <c r="L227" s="88">
        <v>3.2190999999999997E-2</v>
      </c>
      <c r="M227" s="88">
        <v>3.2899999999999999E-2</v>
      </c>
      <c r="N227" s="84">
        <v>14003602.800000001</v>
      </c>
      <c r="O227" s="86">
        <v>98.42</v>
      </c>
      <c r="P227" s="84">
        <v>13782.34484</v>
      </c>
      <c r="Q227" s="85">
        <f t="shared" si="4"/>
        <v>2.7393376245167331E-3</v>
      </c>
      <c r="R227" s="85">
        <f>P227/'סכום נכסי הקרן'!$C$42</f>
        <v>2.6458176374235485E-4</v>
      </c>
    </row>
    <row r="228" spans="2:18" s="122" customFormat="1">
      <c r="B228" s="77" t="s">
        <v>3444</v>
      </c>
      <c r="C228" s="87" t="s">
        <v>2972</v>
      </c>
      <c r="D228" s="74" t="s">
        <v>3129</v>
      </c>
      <c r="E228" s="74"/>
      <c r="F228" s="74" t="s">
        <v>678</v>
      </c>
      <c r="G228" s="97">
        <v>43613</v>
      </c>
      <c r="H228" s="74" t="s">
        <v>163</v>
      </c>
      <c r="I228" s="84">
        <v>8.5</v>
      </c>
      <c r="J228" s="87" t="s">
        <v>492</v>
      </c>
      <c r="K228" s="87" t="s">
        <v>165</v>
      </c>
      <c r="L228" s="88">
        <v>2.7243E-2</v>
      </c>
      <c r="M228" s="88">
        <v>3.5799999999999998E-2</v>
      </c>
      <c r="N228" s="84">
        <v>3696035.08</v>
      </c>
      <c r="O228" s="86">
        <v>91.96</v>
      </c>
      <c r="P228" s="84">
        <v>3398.8738699999999</v>
      </c>
      <c r="Q228" s="85">
        <f t="shared" si="4"/>
        <v>6.7555000119107428E-4</v>
      </c>
      <c r="R228" s="85">
        <f>P228/'סכום נכסי הקרן'!$C$42</f>
        <v>6.5248697061508391E-5</v>
      </c>
    </row>
    <row r="229" spans="2:18" s="122" customFormat="1">
      <c r="B229" s="77" t="s">
        <v>3444</v>
      </c>
      <c r="C229" s="87" t="s">
        <v>2972</v>
      </c>
      <c r="D229" s="74" t="s">
        <v>3130</v>
      </c>
      <c r="E229" s="74"/>
      <c r="F229" s="74" t="s">
        <v>678</v>
      </c>
      <c r="G229" s="97">
        <v>43677</v>
      </c>
      <c r="H229" s="74" t="s">
        <v>163</v>
      </c>
      <c r="I229" s="84">
        <v>8.35</v>
      </c>
      <c r="J229" s="87" t="s">
        <v>492</v>
      </c>
      <c r="K229" s="87" t="s">
        <v>165</v>
      </c>
      <c r="L229" s="88">
        <v>2.7243E-2</v>
      </c>
      <c r="M229" s="88">
        <v>4.1499999999999995E-2</v>
      </c>
      <c r="N229" s="84">
        <v>3646525.9</v>
      </c>
      <c r="O229" s="86">
        <v>87.82</v>
      </c>
      <c r="P229" s="84">
        <v>3202.3790600000002</v>
      </c>
      <c r="Q229" s="85">
        <f t="shared" ref="Q229:Q241" si="5">P229/$P$10</f>
        <v>6.3649528065519868E-4</v>
      </c>
      <c r="R229" s="85">
        <f>P229/'סכום נכסי הקרן'!$C$42</f>
        <v>6.1476556398975185E-5</v>
      </c>
    </row>
    <row r="230" spans="2:18" s="122" customFormat="1">
      <c r="B230" s="77" t="s">
        <v>3444</v>
      </c>
      <c r="C230" s="87" t="s">
        <v>2972</v>
      </c>
      <c r="D230" s="74" t="s">
        <v>3131</v>
      </c>
      <c r="E230" s="74"/>
      <c r="F230" s="74" t="s">
        <v>678</v>
      </c>
      <c r="G230" s="97">
        <v>43541</v>
      </c>
      <c r="H230" s="74" t="s">
        <v>163</v>
      </c>
      <c r="I230" s="84">
        <v>8.4799999999999986</v>
      </c>
      <c r="J230" s="87" t="s">
        <v>492</v>
      </c>
      <c r="K230" s="87" t="s">
        <v>165</v>
      </c>
      <c r="L230" s="88">
        <v>2.9270999999999998E-2</v>
      </c>
      <c r="M230" s="88">
        <v>3.5200000000000002E-2</v>
      </c>
      <c r="N230" s="84">
        <v>1202555.43</v>
      </c>
      <c r="O230" s="86">
        <v>94.19</v>
      </c>
      <c r="P230" s="84">
        <v>1132.68704</v>
      </c>
      <c r="Q230" s="85">
        <f t="shared" si="5"/>
        <v>2.2512948714425651E-4</v>
      </c>
      <c r="R230" s="85">
        <f>P230/'סכום נכסי הקרן'!$C$42</f>
        <v>2.1744364858839742E-5</v>
      </c>
    </row>
    <row r="231" spans="2:18" s="122" customFormat="1">
      <c r="B231" s="77" t="s">
        <v>3445</v>
      </c>
      <c r="C231" s="87" t="s">
        <v>2967</v>
      </c>
      <c r="D231" s="74">
        <v>7561</v>
      </c>
      <c r="E231" s="74"/>
      <c r="F231" s="74" t="s">
        <v>988</v>
      </c>
      <c r="G231" s="97">
        <v>43920</v>
      </c>
      <c r="H231" s="74" t="s">
        <v>2923</v>
      </c>
      <c r="I231" s="84">
        <v>7.07</v>
      </c>
      <c r="J231" s="87" t="s">
        <v>2986</v>
      </c>
      <c r="K231" s="87" t="s">
        <v>165</v>
      </c>
      <c r="L231" s="88">
        <v>5.5918000000000002E-2</v>
      </c>
      <c r="M231" s="88">
        <v>5.79E-2</v>
      </c>
      <c r="N231" s="84">
        <v>13704400.73</v>
      </c>
      <c r="O231" s="86">
        <v>99.5</v>
      </c>
      <c r="P231" s="84">
        <v>13635.878220000001</v>
      </c>
      <c r="Q231" s="85">
        <f t="shared" si="5"/>
        <v>2.7102263573441586E-3</v>
      </c>
      <c r="R231" s="85">
        <f>P231/'סכום נכסי הקרן'!$C$42</f>
        <v>2.6177002182914199E-4</v>
      </c>
    </row>
    <row r="232" spans="2:18" s="122" customFormat="1">
      <c r="B232" s="77" t="s">
        <v>3446</v>
      </c>
      <c r="C232" s="87" t="s">
        <v>2967</v>
      </c>
      <c r="D232" s="74" t="s">
        <v>3132</v>
      </c>
      <c r="E232" s="74"/>
      <c r="F232" s="74" t="s">
        <v>3133</v>
      </c>
      <c r="G232" s="97">
        <v>42372</v>
      </c>
      <c r="H232" s="74" t="s">
        <v>163</v>
      </c>
      <c r="I232" s="84">
        <v>8.2900000000000009</v>
      </c>
      <c r="J232" s="87" t="s">
        <v>159</v>
      </c>
      <c r="K232" s="87" t="s">
        <v>165</v>
      </c>
      <c r="L232" s="88">
        <v>6.7000000000000004E-2</v>
      </c>
      <c r="M232" s="88">
        <v>3.95E-2</v>
      </c>
      <c r="N232" s="84">
        <v>21804703.719999999</v>
      </c>
      <c r="O232" s="86">
        <v>124.74</v>
      </c>
      <c r="P232" s="84">
        <v>27199.187899999997</v>
      </c>
      <c r="Q232" s="85">
        <f t="shared" si="5"/>
        <v>5.4060292087982804E-3</v>
      </c>
      <c r="R232" s="85">
        <f>P232/'סכום נכסי הקרן'!$C$42</f>
        <v>5.2214693439216816E-4</v>
      </c>
    </row>
    <row r="233" spans="2:18" s="122" customFormat="1">
      <c r="B233" s="77" t="s">
        <v>3447</v>
      </c>
      <c r="C233" s="87" t="s">
        <v>2972</v>
      </c>
      <c r="D233" s="74" t="s">
        <v>3134</v>
      </c>
      <c r="E233" s="74"/>
      <c r="F233" s="74" t="s">
        <v>3135</v>
      </c>
      <c r="G233" s="97">
        <v>41529</v>
      </c>
      <c r="H233" s="74" t="s">
        <v>2923</v>
      </c>
      <c r="I233" s="84">
        <v>2.2400000000000002</v>
      </c>
      <c r="J233" s="87" t="s">
        <v>886</v>
      </c>
      <c r="K233" s="87" t="s">
        <v>165</v>
      </c>
      <c r="L233" s="88">
        <v>7.6999999999999999E-2</v>
      </c>
      <c r="M233" s="88">
        <v>0</v>
      </c>
      <c r="N233" s="84">
        <v>30918998.09</v>
      </c>
      <c r="O233" s="86">
        <v>0</v>
      </c>
      <c r="P233" s="86">
        <v>0</v>
      </c>
      <c r="Q233" s="85">
        <f t="shared" si="5"/>
        <v>0</v>
      </c>
      <c r="R233" s="85">
        <f>P233/'סכום נכסי הקרן'!$C$42</f>
        <v>0</v>
      </c>
    </row>
    <row r="234" spans="2:18" s="122" customFormat="1">
      <c r="B234" s="77" t="s">
        <v>3448</v>
      </c>
      <c r="C234" s="87" t="s">
        <v>2972</v>
      </c>
      <c r="D234" s="74" t="s">
        <v>3136</v>
      </c>
      <c r="E234" s="74"/>
      <c r="F234" s="74" t="s">
        <v>725</v>
      </c>
      <c r="G234" s="97">
        <v>43803</v>
      </c>
      <c r="H234" s="74"/>
      <c r="I234" s="84">
        <v>6.4700000000000006</v>
      </c>
      <c r="J234" s="87" t="s">
        <v>492</v>
      </c>
      <c r="K234" s="87" t="s">
        <v>166</v>
      </c>
      <c r="L234" s="88">
        <v>2.3629999999999998E-2</v>
      </c>
      <c r="M234" s="88">
        <v>4.6199999999999998E-2</v>
      </c>
      <c r="N234" s="84">
        <v>25291970.989999998</v>
      </c>
      <c r="O234" s="86">
        <v>86.87</v>
      </c>
      <c r="P234" s="84">
        <v>85694.022469999996</v>
      </c>
      <c r="Q234" s="85">
        <f t="shared" si="5"/>
        <v>1.7032287515181151E-2</v>
      </c>
      <c r="R234" s="85">
        <f>P234/'סכום נכסי הקרן'!$C$42</f>
        <v>1.6450811433397271E-3</v>
      </c>
    </row>
    <row r="235" spans="2:18" s="122" customFormat="1">
      <c r="B235" s="77" t="s">
        <v>3449</v>
      </c>
      <c r="C235" s="87" t="s">
        <v>2967</v>
      </c>
      <c r="D235" s="74">
        <v>7202</v>
      </c>
      <c r="E235" s="74"/>
      <c r="F235" s="74" t="s">
        <v>725</v>
      </c>
      <c r="G235" s="137">
        <v>43734</v>
      </c>
      <c r="H235" s="74"/>
      <c r="I235" s="84">
        <v>2.0300000000000002</v>
      </c>
      <c r="J235" s="87" t="s">
        <v>682</v>
      </c>
      <c r="K235" s="87" t="s">
        <v>165</v>
      </c>
      <c r="L235" s="88">
        <v>2.2499999999999999E-2</v>
      </c>
      <c r="M235" s="88">
        <v>4.2700000000000002E-2</v>
      </c>
      <c r="N235" s="84">
        <v>12087718.6</v>
      </c>
      <c r="O235" s="86">
        <v>96.13</v>
      </c>
      <c r="P235" s="84">
        <v>11619.9236</v>
      </c>
      <c r="Q235" s="85">
        <f t="shared" si="5"/>
        <v>2.3095412486784017E-3</v>
      </c>
      <c r="R235" s="85">
        <f>P235/'סכום נכסי הקרן'!$C$42</f>
        <v>2.2306943530513301E-4</v>
      </c>
    </row>
    <row r="236" spans="2:18" s="122" customFormat="1">
      <c r="B236" s="77" t="s">
        <v>3449</v>
      </c>
      <c r="C236" s="87" t="s">
        <v>2967</v>
      </c>
      <c r="D236" s="74">
        <v>7203</v>
      </c>
      <c r="E236" s="74"/>
      <c r="F236" s="74" t="s">
        <v>725</v>
      </c>
      <c r="G236" s="137">
        <v>43734</v>
      </c>
      <c r="H236" s="74"/>
      <c r="I236" s="84">
        <v>0.17</v>
      </c>
      <c r="J236" s="87" t="s">
        <v>682</v>
      </c>
      <c r="K236" s="87" t="s">
        <v>165</v>
      </c>
      <c r="L236" s="88">
        <v>0.02</v>
      </c>
      <c r="M236" s="88">
        <v>1.1000000000000001E-2</v>
      </c>
      <c r="N236" s="84">
        <v>98424.45</v>
      </c>
      <c r="O236" s="86">
        <v>100.15</v>
      </c>
      <c r="P236" s="84">
        <v>98.572090000000003</v>
      </c>
      <c r="Q236" s="85">
        <f t="shared" si="5"/>
        <v>1.9591893687101335E-5</v>
      </c>
      <c r="R236" s="85">
        <f>P236/'סכום נכסי הקרן'!$C$42</f>
        <v>1.8923033584443488E-6</v>
      </c>
    </row>
    <row r="237" spans="2:18" s="122" customFormat="1">
      <c r="B237" s="77" t="s">
        <v>3449</v>
      </c>
      <c r="C237" s="87" t="s">
        <v>2967</v>
      </c>
      <c r="D237" s="74">
        <v>7372</v>
      </c>
      <c r="E237" s="74"/>
      <c r="F237" s="74" t="s">
        <v>725</v>
      </c>
      <c r="G237" s="97">
        <v>43853</v>
      </c>
      <c r="H237" s="74"/>
      <c r="I237" s="84">
        <v>2.0300000000000002</v>
      </c>
      <c r="J237" s="87" t="s">
        <v>682</v>
      </c>
      <c r="K237" s="87" t="s">
        <v>165</v>
      </c>
      <c r="L237" s="88">
        <v>2.2499999999999999E-2</v>
      </c>
      <c r="M237" s="88">
        <v>5.0100000000000006E-2</v>
      </c>
      <c r="N237" s="84">
        <v>875266.48</v>
      </c>
      <c r="O237" s="86">
        <v>94.77</v>
      </c>
      <c r="P237" s="84">
        <v>829.49002000000007</v>
      </c>
      <c r="Q237" s="85">
        <f t="shared" si="5"/>
        <v>1.6486695459487122E-4</v>
      </c>
      <c r="R237" s="85">
        <f>P237/'סכום נכסי הקרן'!$C$42</f>
        <v>1.5923845691433247E-5</v>
      </c>
    </row>
    <row r="238" spans="2:18" s="122" customFormat="1">
      <c r="B238" s="77" t="s">
        <v>3449</v>
      </c>
      <c r="C238" s="87" t="s">
        <v>2967</v>
      </c>
      <c r="D238" s="74">
        <v>7250</v>
      </c>
      <c r="E238" s="74"/>
      <c r="F238" s="74" t="s">
        <v>725</v>
      </c>
      <c r="G238" s="97">
        <v>43768</v>
      </c>
      <c r="H238" s="74"/>
      <c r="I238" s="84">
        <v>2.0299999999999998</v>
      </c>
      <c r="J238" s="87" t="s">
        <v>682</v>
      </c>
      <c r="K238" s="87" t="s">
        <v>165</v>
      </c>
      <c r="L238" s="88">
        <v>2.2499999999999999E-2</v>
      </c>
      <c r="M238" s="88">
        <v>4.6399999999999997E-2</v>
      </c>
      <c r="N238" s="84">
        <v>6447169.6299999999</v>
      </c>
      <c r="O238" s="86">
        <v>95.45</v>
      </c>
      <c r="P238" s="84">
        <v>6153.8232500000004</v>
      </c>
      <c r="Q238" s="85">
        <f t="shared" si="5"/>
        <v>1.2231154973300496E-3</v>
      </c>
      <c r="R238" s="85">
        <f>P238/'סכום נכסי הקרן'!$C$42</f>
        <v>1.1813587804872473E-4</v>
      </c>
    </row>
    <row r="239" spans="2:18" s="122" customFormat="1">
      <c r="B239" s="77" t="s">
        <v>3449</v>
      </c>
      <c r="C239" s="87" t="s">
        <v>2967</v>
      </c>
      <c r="D239" s="74">
        <v>7375</v>
      </c>
      <c r="E239" s="74"/>
      <c r="F239" s="74" t="s">
        <v>725</v>
      </c>
      <c r="G239" s="97">
        <v>43853</v>
      </c>
      <c r="H239" s="74"/>
      <c r="I239" s="84">
        <v>0.17</v>
      </c>
      <c r="J239" s="87" t="s">
        <v>682</v>
      </c>
      <c r="K239" s="87" t="s">
        <v>165</v>
      </c>
      <c r="L239" s="88">
        <v>0.02</v>
      </c>
      <c r="M239" s="88">
        <v>4.300000000000001E-2</v>
      </c>
      <c r="N239" s="84">
        <v>1695216.12</v>
      </c>
      <c r="O239" s="86">
        <v>99.63</v>
      </c>
      <c r="P239" s="84">
        <v>1688.94389</v>
      </c>
      <c r="Q239" s="85">
        <f t="shared" si="5"/>
        <v>3.3568943436584707E-4</v>
      </c>
      <c r="R239" s="85">
        <f>P239/'סכום נכסי הקרן'!$C$42</f>
        <v>3.2422911954804481E-5</v>
      </c>
    </row>
    <row r="240" spans="2:18" s="122" customFormat="1">
      <c r="B240" s="77" t="s">
        <v>3449</v>
      </c>
      <c r="C240" s="87" t="s">
        <v>2967</v>
      </c>
      <c r="D240" s="74">
        <v>7251</v>
      </c>
      <c r="E240" s="74"/>
      <c r="F240" s="74" t="s">
        <v>725</v>
      </c>
      <c r="G240" s="97">
        <v>43768</v>
      </c>
      <c r="H240" s="74"/>
      <c r="I240" s="84">
        <v>0.16999999999999998</v>
      </c>
      <c r="J240" s="87" t="s">
        <v>682</v>
      </c>
      <c r="K240" s="87" t="s">
        <v>165</v>
      </c>
      <c r="L240" s="88">
        <v>0.02</v>
      </c>
      <c r="M240" s="88">
        <v>2.4399999999999998E-2</v>
      </c>
      <c r="N240" s="84">
        <v>75173.59</v>
      </c>
      <c r="O240" s="86">
        <v>99.93</v>
      </c>
      <c r="P240" s="84">
        <v>75.12097</v>
      </c>
      <c r="Q240" s="85">
        <f t="shared" si="5"/>
        <v>1.4930819240131042E-5</v>
      </c>
      <c r="R240" s="85">
        <f>P240/'סכום נכסי הקרן'!$C$42</f>
        <v>1.4421086518566987E-6</v>
      </c>
    </row>
    <row r="241" spans="2:18" s="122" customFormat="1">
      <c r="B241" s="77" t="s">
        <v>3450</v>
      </c>
      <c r="C241" s="87" t="s">
        <v>2967</v>
      </c>
      <c r="D241" s="74">
        <v>6718</v>
      </c>
      <c r="E241" s="74"/>
      <c r="F241" s="74" t="s">
        <v>725</v>
      </c>
      <c r="G241" s="97">
        <v>43482</v>
      </c>
      <c r="H241" s="74"/>
      <c r="I241" s="84">
        <v>3.36</v>
      </c>
      <c r="J241" s="87" t="s">
        <v>2986</v>
      </c>
      <c r="K241" s="87" t="s">
        <v>165</v>
      </c>
      <c r="L241" s="88">
        <v>4.1299999999999996E-2</v>
      </c>
      <c r="M241" s="88">
        <v>3.8399999999999997E-2</v>
      </c>
      <c r="N241" s="84">
        <v>64205895.450000003</v>
      </c>
      <c r="O241" s="86">
        <v>102.1</v>
      </c>
      <c r="P241" s="84">
        <v>65554.222259999995</v>
      </c>
      <c r="Q241" s="85">
        <f t="shared" si="5"/>
        <v>1.302936108241726E-2</v>
      </c>
      <c r="R241" s="85">
        <f>P241/'סכום נכסי הקרן'!$C$42</f>
        <v>1.2584543448637975E-3</v>
      </c>
    </row>
    <row r="242" spans="2:18" s="122" customFormat="1">
      <c r="B242" s="73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84"/>
      <c r="O242" s="86"/>
      <c r="P242" s="74"/>
      <c r="Q242" s="85"/>
      <c r="R242" s="74"/>
    </row>
    <row r="243" spans="2:18" s="122" customFormat="1">
      <c r="B243" s="71" t="s">
        <v>40</v>
      </c>
      <c r="C243" s="72"/>
      <c r="D243" s="72"/>
      <c r="E243" s="72"/>
      <c r="F243" s="72"/>
      <c r="G243" s="72"/>
      <c r="H243" s="72"/>
      <c r="I243" s="81">
        <v>4.1626699984311042</v>
      </c>
      <c r="J243" s="72"/>
      <c r="K243" s="72"/>
      <c r="L243" s="72"/>
      <c r="M243" s="94">
        <v>4.2230193082743187E-2</v>
      </c>
      <c r="N243" s="81"/>
      <c r="O243" s="83"/>
      <c r="P243" s="81">
        <f>P244</f>
        <v>2173351.1959400009</v>
      </c>
      <c r="Q243" s="82">
        <f t="shared" ref="Q243:Q299" si="6">P243/$P$10</f>
        <v>0.43196878117924697</v>
      </c>
      <c r="R243" s="82">
        <f>P243/'סכום נכסי הקרן'!$C$42</f>
        <v>4.1722152458736603E-2</v>
      </c>
    </row>
    <row r="244" spans="2:18" s="122" customFormat="1">
      <c r="B244" s="92" t="s">
        <v>38</v>
      </c>
      <c r="C244" s="72"/>
      <c r="D244" s="72"/>
      <c r="E244" s="72"/>
      <c r="F244" s="72"/>
      <c r="G244" s="72"/>
      <c r="H244" s="72"/>
      <c r="I244" s="81">
        <v>4.1626699984311042</v>
      </c>
      <c r="J244" s="72"/>
      <c r="K244" s="72"/>
      <c r="L244" s="72"/>
      <c r="M244" s="94">
        <v>4.2230193082743173E-2</v>
      </c>
      <c r="N244" s="81"/>
      <c r="O244" s="83"/>
      <c r="P244" s="81">
        <f>SUM(P245:P394)</f>
        <v>2173351.1959400009</v>
      </c>
      <c r="Q244" s="82">
        <f t="shared" si="6"/>
        <v>0.43196878117924697</v>
      </c>
      <c r="R244" s="82">
        <f>P244/'סכום נכסי הקרן'!$C$42</f>
        <v>4.1722152458736603E-2</v>
      </c>
    </row>
    <row r="245" spans="2:18" s="122" customFormat="1">
      <c r="B245" s="77" t="s">
        <v>3453</v>
      </c>
      <c r="C245" s="87" t="s">
        <v>2972</v>
      </c>
      <c r="D245" s="74">
        <v>6828</v>
      </c>
      <c r="E245" s="74"/>
      <c r="F245" s="74" t="s">
        <v>930</v>
      </c>
      <c r="G245" s="97">
        <v>43551</v>
      </c>
      <c r="H245" s="74" t="s">
        <v>931</v>
      </c>
      <c r="I245" s="84">
        <v>7.1499999999999995</v>
      </c>
      <c r="J245" s="87" t="s">
        <v>1025</v>
      </c>
      <c r="K245" s="87" t="s">
        <v>164</v>
      </c>
      <c r="L245" s="88">
        <v>4.8499999999999995E-2</v>
      </c>
      <c r="M245" s="88">
        <v>5.16E-2</v>
      </c>
      <c r="N245" s="84">
        <v>18838235.960000001</v>
      </c>
      <c r="O245" s="86">
        <v>98.74</v>
      </c>
      <c r="P245" s="84">
        <v>66312.117989999999</v>
      </c>
      <c r="Q245" s="85">
        <f t="shared" si="6"/>
        <v>1.3179998170137203E-2</v>
      </c>
      <c r="R245" s="85">
        <f>P245/'סכום נכסי הקרן'!$C$42</f>
        <v>1.2730037841140926E-3</v>
      </c>
    </row>
    <row r="246" spans="2:18" s="122" customFormat="1">
      <c r="B246" s="77" t="s">
        <v>3454</v>
      </c>
      <c r="C246" s="87" t="s">
        <v>2972</v>
      </c>
      <c r="D246" s="74">
        <v>6496</v>
      </c>
      <c r="E246" s="74"/>
      <c r="F246" s="74" t="s">
        <v>958</v>
      </c>
      <c r="G246" s="97">
        <v>43343</v>
      </c>
      <c r="H246" s="74" t="s">
        <v>349</v>
      </c>
      <c r="I246" s="84">
        <v>10.469999999999999</v>
      </c>
      <c r="J246" s="87" t="s">
        <v>1025</v>
      </c>
      <c r="K246" s="87" t="s">
        <v>164</v>
      </c>
      <c r="L246" s="88">
        <v>4.4999999999999998E-2</v>
      </c>
      <c r="M246" s="88">
        <v>4.4999999999999998E-2</v>
      </c>
      <c r="N246" s="84">
        <v>1497012.97</v>
      </c>
      <c r="O246" s="86">
        <v>100.89</v>
      </c>
      <c r="P246" s="84">
        <v>5384.3492300000007</v>
      </c>
      <c r="Q246" s="85">
        <f t="shared" si="6"/>
        <v>1.0701771433312001E-3</v>
      </c>
      <c r="R246" s="85">
        <f>P246/'סכום נכסי הקרן'!$C$42</f>
        <v>1.033641686096566E-4</v>
      </c>
    </row>
    <row r="247" spans="2:18" s="122" customFormat="1">
      <c r="B247" s="77" t="s">
        <v>3454</v>
      </c>
      <c r="C247" s="87" t="s">
        <v>2972</v>
      </c>
      <c r="D247" s="74" t="s">
        <v>3143</v>
      </c>
      <c r="E247" s="74"/>
      <c r="F247" s="74" t="s">
        <v>958</v>
      </c>
      <c r="G247" s="97">
        <v>43434</v>
      </c>
      <c r="H247" s="74" t="s">
        <v>349</v>
      </c>
      <c r="I247" s="84">
        <v>10.469999999999999</v>
      </c>
      <c r="J247" s="87" t="s">
        <v>1025</v>
      </c>
      <c r="K247" s="87" t="s">
        <v>164</v>
      </c>
      <c r="L247" s="88">
        <v>4.4999999999999998E-2</v>
      </c>
      <c r="M247" s="88">
        <v>4.4999999999999998E-2</v>
      </c>
      <c r="N247" s="84">
        <v>1368509.61</v>
      </c>
      <c r="O247" s="86">
        <v>100.89</v>
      </c>
      <c r="P247" s="84">
        <v>4922.1575000000003</v>
      </c>
      <c r="Q247" s="85">
        <f t="shared" si="6"/>
        <v>9.7831329792407253E-4</v>
      </c>
      <c r="R247" s="85">
        <f>P247/'סכום נכסי הקרן'!$C$42</f>
        <v>9.4491403885643897E-5</v>
      </c>
    </row>
    <row r="248" spans="2:18" s="122" customFormat="1">
      <c r="B248" s="77" t="s">
        <v>3454</v>
      </c>
      <c r="C248" s="87" t="s">
        <v>2972</v>
      </c>
      <c r="D248" s="74">
        <v>6785</v>
      </c>
      <c r="E248" s="74"/>
      <c r="F248" s="74" t="s">
        <v>958</v>
      </c>
      <c r="G248" s="97">
        <v>43524</v>
      </c>
      <c r="H248" s="74" t="s">
        <v>349</v>
      </c>
      <c r="I248" s="84">
        <v>10.469999999999999</v>
      </c>
      <c r="J248" s="87" t="s">
        <v>1025</v>
      </c>
      <c r="K248" s="87" t="s">
        <v>164</v>
      </c>
      <c r="L248" s="88">
        <v>4.4999999999999998E-2</v>
      </c>
      <c r="M248" s="88">
        <v>4.4999999999999998E-2</v>
      </c>
      <c r="N248" s="84">
        <v>1297933.43</v>
      </c>
      <c r="O248" s="86">
        <v>100.89</v>
      </c>
      <c r="P248" s="84">
        <v>4668.3141699999996</v>
      </c>
      <c r="Q248" s="85">
        <f t="shared" si="6"/>
        <v>9.2786015713604828E-4</v>
      </c>
      <c r="R248" s="85">
        <f>P248/'סכום נכסי הקרן'!$C$42</f>
        <v>8.9618334988781731E-5</v>
      </c>
    </row>
    <row r="249" spans="2:18" s="122" customFormat="1">
      <c r="B249" s="77" t="s">
        <v>3454</v>
      </c>
      <c r="C249" s="87" t="s">
        <v>2972</v>
      </c>
      <c r="D249" s="74" t="s">
        <v>3144</v>
      </c>
      <c r="E249" s="74"/>
      <c r="F249" s="74" t="s">
        <v>1046</v>
      </c>
      <c r="G249" s="97">
        <v>43811</v>
      </c>
      <c r="H249" s="74" t="s">
        <v>931</v>
      </c>
      <c r="I249" s="84">
        <v>9.9599999999999991</v>
      </c>
      <c r="J249" s="87" t="s">
        <v>1025</v>
      </c>
      <c r="K249" s="87" t="s">
        <v>164</v>
      </c>
      <c r="L249" s="88">
        <v>4.4800000000000006E-2</v>
      </c>
      <c r="M249" s="88">
        <v>3.6900000000000002E-2</v>
      </c>
      <c r="N249" s="84">
        <v>4205216.12</v>
      </c>
      <c r="O249" s="86">
        <v>108.93</v>
      </c>
      <c r="P249" s="84">
        <v>16330.345630000002</v>
      </c>
      <c r="Q249" s="85">
        <f t="shared" si="6"/>
        <v>3.245770638084065E-3</v>
      </c>
      <c r="R249" s="85">
        <f>P249/'סכום נכסי הקרן'!$C$42</f>
        <v>3.1349612126724713E-4</v>
      </c>
    </row>
    <row r="250" spans="2:18" s="122" customFormat="1">
      <c r="B250" s="77" t="s">
        <v>3454</v>
      </c>
      <c r="C250" s="87" t="s">
        <v>2972</v>
      </c>
      <c r="D250" s="74">
        <v>6484</v>
      </c>
      <c r="E250" s="74"/>
      <c r="F250" s="74" t="s">
        <v>958</v>
      </c>
      <c r="G250" s="97">
        <v>43336</v>
      </c>
      <c r="H250" s="74" t="s">
        <v>349</v>
      </c>
      <c r="I250" s="84">
        <v>10.469999999999999</v>
      </c>
      <c r="J250" s="87" t="s">
        <v>1025</v>
      </c>
      <c r="K250" s="87" t="s">
        <v>164</v>
      </c>
      <c r="L250" s="88">
        <v>4.4999999999999998E-2</v>
      </c>
      <c r="M250" s="88">
        <v>4.4999999999999998E-2</v>
      </c>
      <c r="N250" s="84">
        <v>7746160.8499999996</v>
      </c>
      <c r="O250" s="86">
        <v>100.89</v>
      </c>
      <c r="P250" s="84">
        <v>27860.837489999998</v>
      </c>
      <c r="Q250" s="85">
        <f t="shared" si="6"/>
        <v>5.5375367016940302E-3</v>
      </c>
      <c r="R250" s="85">
        <f>P250/'סכום נכסי הקרן'!$C$42</f>
        <v>5.3484872189885817E-4</v>
      </c>
    </row>
    <row r="251" spans="2:18" s="122" customFormat="1">
      <c r="B251" s="77" t="s">
        <v>3455</v>
      </c>
      <c r="C251" s="87" t="s">
        <v>2972</v>
      </c>
      <c r="D251" s="74">
        <v>7088</v>
      </c>
      <c r="E251" s="74"/>
      <c r="F251" s="74" t="s">
        <v>958</v>
      </c>
      <c r="G251" s="97">
        <v>43684</v>
      </c>
      <c r="H251" s="74" t="s">
        <v>959</v>
      </c>
      <c r="I251" s="84">
        <v>8.5</v>
      </c>
      <c r="J251" s="87" t="s">
        <v>957</v>
      </c>
      <c r="K251" s="87" t="s">
        <v>164</v>
      </c>
      <c r="L251" s="88">
        <v>4.36E-2</v>
      </c>
      <c r="M251" s="88">
        <v>4.2800000000000005E-2</v>
      </c>
      <c r="N251" s="84">
        <v>13154447.43</v>
      </c>
      <c r="O251" s="86">
        <v>102.11</v>
      </c>
      <c r="P251" s="84">
        <v>47885.102359999997</v>
      </c>
      <c r="Q251" s="85">
        <f t="shared" si="6"/>
        <v>9.5174996759537622E-3</v>
      </c>
      <c r="R251" s="85">
        <f>P251/'סכום נכסי הקרן'!$C$42</f>
        <v>9.1925757093391661E-4</v>
      </c>
    </row>
    <row r="252" spans="2:18" s="122" customFormat="1">
      <c r="B252" s="77" t="s">
        <v>3455</v>
      </c>
      <c r="C252" s="87" t="s">
        <v>2972</v>
      </c>
      <c r="D252" s="74" t="s">
        <v>3145</v>
      </c>
      <c r="E252" s="74"/>
      <c r="F252" s="74" t="s">
        <v>958</v>
      </c>
      <c r="G252" s="97">
        <v>43496</v>
      </c>
      <c r="H252" s="74" t="s">
        <v>959</v>
      </c>
      <c r="I252" s="84">
        <v>8.5900000000000016</v>
      </c>
      <c r="J252" s="87" t="s">
        <v>957</v>
      </c>
      <c r="K252" s="87" t="s">
        <v>164</v>
      </c>
      <c r="L252" s="88">
        <v>5.3899999999999997E-2</v>
      </c>
      <c r="M252" s="88">
        <v>3.0700000000000002E-2</v>
      </c>
      <c r="N252" s="84">
        <v>23380193.969999999</v>
      </c>
      <c r="O252" s="86">
        <v>124.02</v>
      </c>
      <c r="P252" s="84">
        <v>103371.15553</v>
      </c>
      <c r="Q252" s="85">
        <f t="shared" si="6"/>
        <v>2.0545741593351395E-2</v>
      </c>
      <c r="R252" s="85">
        <f>P252/'סכום נכסי הקרן'!$C$42</f>
        <v>1.9844317471171824E-3</v>
      </c>
    </row>
    <row r="253" spans="2:18" s="122" customFormat="1">
      <c r="B253" s="77" t="s">
        <v>3456</v>
      </c>
      <c r="C253" s="87" t="s">
        <v>2972</v>
      </c>
      <c r="D253" s="74" t="s">
        <v>3146</v>
      </c>
      <c r="E253" s="74"/>
      <c r="F253" s="74" t="s">
        <v>958</v>
      </c>
      <c r="G253" s="97">
        <v>43005</v>
      </c>
      <c r="H253" s="74" t="s">
        <v>959</v>
      </c>
      <c r="I253" s="84">
        <v>6.82</v>
      </c>
      <c r="J253" s="87" t="s">
        <v>957</v>
      </c>
      <c r="K253" s="87" t="s">
        <v>164</v>
      </c>
      <c r="L253" s="88">
        <v>5.3499999999999999E-2</v>
      </c>
      <c r="M253" s="88">
        <v>6.0199999999999997E-2</v>
      </c>
      <c r="N253" s="84">
        <v>14259884.43</v>
      </c>
      <c r="O253" s="86">
        <v>96.14</v>
      </c>
      <c r="P253" s="84">
        <v>48874.200130000005</v>
      </c>
      <c r="Q253" s="85">
        <f t="shared" si="6"/>
        <v>9.714089789402601E-3</v>
      </c>
      <c r="R253" s="85">
        <f>P253/'סכום נכסי הקרן'!$C$42</f>
        <v>9.382454308037928E-4</v>
      </c>
    </row>
    <row r="254" spans="2:18" s="122" customFormat="1">
      <c r="B254" s="77" t="s">
        <v>3457</v>
      </c>
      <c r="C254" s="87" t="s">
        <v>2972</v>
      </c>
      <c r="D254" s="74">
        <v>4623</v>
      </c>
      <c r="E254" s="74"/>
      <c r="F254" s="74" t="s">
        <v>958</v>
      </c>
      <c r="G254" s="97">
        <v>42354</v>
      </c>
      <c r="H254" s="74" t="s">
        <v>349</v>
      </c>
      <c r="I254" s="84">
        <v>4.5799999999999992</v>
      </c>
      <c r="J254" s="87" t="s">
        <v>957</v>
      </c>
      <c r="K254" s="87" t="s">
        <v>164</v>
      </c>
      <c r="L254" s="88">
        <v>5.0199999999999995E-2</v>
      </c>
      <c r="M254" s="88">
        <v>4.5299999999999986E-2</v>
      </c>
      <c r="N254" s="84">
        <v>5272513</v>
      </c>
      <c r="O254" s="86">
        <v>103.68</v>
      </c>
      <c r="P254" s="84">
        <v>19488.220370000003</v>
      </c>
      <c r="Q254" s="85">
        <f t="shared" si="6"/>
        <v>3.8734203732501021E-3</v>
      </c>
      <c r="R254" s="85">
        <f>P254/'סכום נכסי הקרן'!$C$42</f>
        <v>3.7411832148688919E-4</v>
      </c>
    </row>
    <row r="255" spans="2:18" s="122" customFormat="1">
      <c r="B255" s="77" t="s">
        <v>3458</v>
      </c>
      <c r="C255" s="87" t="s">
        <v>2972</v>
      </c>
      <c r="D255" s="74" t="s">
        <v>3147</v>
      </c>
      <c r="E255" s="74"/>
      <c r="F255" s="74" t="s">
        <v>958</v>
      </c>
      <c r="G255" s="97">
        <v>43185</v>
      </c>
      <c r="H255" s="74" t="s">
        <v>349</v>
      </c>
      <c r="I255" s="84">
        <v>5.43</v>
      </c>
      <c r="J255" s="87" t="s">
        <v>957</v>
      </c>
      <c r="K255" s="87" t="s">
        <v>173</v>
      </c>
      <c r="L255" s="88">
        <v>4.2199999999999994E-2</v>
      </c>
      <c r="M255" s="88">
        <v>4.2700000000000002E-2</v>
      </c>
      <c r="N255" s="84">
        <v>8029718.4100000001</v>
      </c>
      <c r="O255" s="86">
        <v>101.05</v>
      </c>
      <c r="P255" s="84">
        <v>20286.69918</v>
      </c>
      <c r="Q255" s="85">
        <f t="shared" si="6"/>
        <v>4.0321236325289011E-3</v>
      </c>
      <c r="R255" s="85">
        <f>P255/'סכום נכסי הקרן'!$C$42</f>
        <v>3.8944684027765079E-4</v>
      </c>
    </row>
    <row r="256" spans="2:18" s="122" customFormat="1">
      <c r="B256" s="77" t="s">
        <v>3459</v>
      </c>
      <c r="C256" s="87" t="s">
        <v>2972</v>
      </c>
      <c r="D256" s="74" t="s">
        <v>3148</v>
      </c>
      <c r="E256" s="74"/>
      <c r="F256" s="74" t="s">
        <v>1139</v>
      </c>
      <c r="G256" s="97">
        <v>43053</v>
      </c>
      <c r="H256" s="74" t="s">
        <v>959</v>
      </c>
      <c r="I256" s="84">
        <v>1.91</v>
      </c>
      <c r="J256" s="87" t="s">
        <v>957</v>
      </c>
      <c r="K256" s="87" t="s">
        <v>164</v>
      </c>
      <c r="L256" s="88">
        <v>4.7393999999999999E-2</v>
      </c>
      <c r="M256" s="88">
        <v>6.7900000000000002E-2</v>
      </c>
      <c r="N256" s="84">
        <v>5882460.6699999999</v>
      </c>
      <c r="O256" s="86">
        <v>96.62</v>
      </c>
      <c r="P256" s="84">
        <v>20262.154469999998</v>
      </c>
      <c r="Q256" s="85">
        <f t="shared" si="6"/>
        <v>4.0272451994054813E-3</v>
      </c>
      <c r="R256" s="85">
        <f>P256/'סכום נכסי הקרן'!$C$42</f>
        <v>3.889756517580095E-4</v>
      </c>
    </row>
    <row r="257" spans="2:18" s="122" customFormat="1">
      <c r="B257" s="77" t="s">
        <v>3459</v>
      </c>
      <c r="C257" s="87" t="s">
        <v>2972</v>
      </c>
      <c r="D257" s="74" t="s">
        <v>3149</v>
      </c>
      <c r="E257" s="74"/>
      <c r="F257" s="74" t="s">
        <v>1139</v>
      </c>
      <c r="G257" s="97">
        <v>43051</v>
      </c>
      <c r="H257" s="74" t="s">
        <v>959</v>
      </c>
      <c r="I257" s="84">
        <v>2.33</v>
      </c>
      <c r="J257" s="87" t="s">
        <v>957</v>
      </c>
      <c r="K257" s="87" t="s">
        <v>164</v>
      </c>
      <c r="L257" s="88">
        <v>7.4500999999999998E-2</v>
      </c>
      <c r="M257" s="88">
        <v>0.11130000000000001</v>
      </c>
      <c r="N257" s="84">
        <v>2138903.11</v>
      </c>
      <c r="O257" s="86">
        <v>92.94</v>
      </c>
      <c r="P257" s="84">
        <v>7086.8515599999992</v>
      </c>
      <c r="Q257" s="85">
        <f t="shared" si="6"/>
        <v>1.4085614126654739E-3</v>
      </c>
      <c r="R257" s="85">
        <f>P257/'סכום נכסי הקרן'!$C$42</f>
        <v>1.3604736399303871E-4</v>
      </c>
    </row>
    <row r="258" spans="2:18" s="122" customFormat="1">
      <c r="B258" s="77" t="s">
        <v>3460</v>
      </c>
      <c r="C258" s="87" t="s">
        <v>2972</v>
      </c>
      <c r="D258" s="74">
        <v>6812</v>
      </c>
      <c r="E258" s="74"/>
      <c r="F258" s="74" t="s">
        <v>725</v>
      </c>
      <c r="G258" s="97">
        <v>43536</v>
      </c>
      <c r="H258" s="74"/>
      <c r="I258" s="84">
        <v>5.16</v>
      </c>
      <c r="J258" s="87" t="s">
        <v>957</v>
      </c>
      <c r="K258" s="87" t="s">
        <v>164</v>
      </c>
      <c r="L258" s="88">
        <v>3.2393999999999999E-2</v>
      </c>
      <c r="M258" s="88">
        <v>3.1199999999999995E-2</v>
      </c>
      <c r="N258" s="84">
        <v>5823003.1600000001</v>
      </c>
      <c r="O258" s="86">
        <v>101.91</v>
      </c>
      <c r="P258" s="84">
        <v>21155.502920000003</v>
      </c>
      <c r="Q258" s="85">
        <f t="shared" si="6"/>
        <v>4.2048044644868729E-3</v>
      </c>
      <c r="R258" s="85">
        <f>P258/'סכום נכסי הקרן'!$C$42</f>
        <v>4.0612539741315449E-4</v>
      </c>
    </row>
    <row r="259" spans="2:18" s="122" customFormat="1">
      <c r="B259" s="77" t="s">
        <v>3460</v>
      </c>
      <c r="C259" s="87" t="s">
        <v>2972</v>
      </c>
      <c r="D259" s="74">
        <v>6872</v>
      </c>
      <c r="E259" s="74"/>
      <c r="F259" s="74" t="s">
        <v>725</v>
      </c>
      <c r="G259" s="97">
        <v>43570</v>
      </c>
      <c r="H259" s="74"/>
      <c r="I259" s="84">
        <v>5.1899999999999995</v>
      </c>
      <c r="J259" s="87" t="s">
        <v>957</v>
      </c>
      <c r="K259" s="87" t="s">
        <v>164</v>
      </c>
      <c r="L259" s="88">
        <v>3.2393999999999999E-2</v>
      </c>
      <c r="M259" s="88">
        <v>3.1200000000000006E-2</v>
      </c>
      <c r="N259" s="84">
        <v>4698404.2300000004</v>
      </c>
      <c r="O259" s="86">
        <v>101.91</v>
      </c>
      <c r="P259" s="84">
        <v>17069.732190000002</v>
      </c>
      <c r="Q259" s="85">
        <f t="shared" si="6"/>
        <v>3.3927288985530434E-3</v>
      </c>
      <c r="R259" s="85">
        <f>P259/'סכום נכסי הקרן'!$C$42</f>
        <v>3.2769023717446404E-4</v>
      </c>
    </row>
    <row r="260" spans="2:18" s="122" customFormat="1">
      <c r="B260" s="77" t="s">
        <v>3460</v>
      </c>
      <c r="C260" s="87" t="s">
        <v>2972</v>
      </c>
      <c r="D260" s="74">
        <v>7258</v>
      </c>
      <c r="E260" s="74"/>
      <c r="F260" s="74" t="s">
        <v>725</v>
      </c>
      <c r="G260" s="97">
        <v>43774</v>
      </c>
      <c r="H260" s="74"/>
      <c r="I260" s="84">
        <v>5.2</v>
      </c>
      <c r="J260" s="87" t="s">
        <v>957</v>
      </c>
      <c r="K260" s="87" t="s">
        <v>164</v>
      </c>
      <c r="L260" s="88">
        <v>3.2393999999999999E-2</v>
      </c>
      <c r="M260" s="88">
        <v>3.1200000000000002E-2</v>
      </c>
      <c r="N260" s="84">
        <v>3379736.66</v>
      </c>
      <c r="O260" s="86">
        <v>101.91</v>
      </c>
      <c r="P260" s="84">
        <v>12278.892320000001</v>
      </c>
      <c r="Q260" s="85">
        <f t="shared" si="6"/>
        <v>2.4405158998739404E-3</v>
      </c>
      <c r="R260" s="85">
        <f>P260/'סכום נכסי הקרן'!$C$42</f>
        <v>2.3571975774392654E-4</v>
      </c>
    </row>
    <row r="261" spans="2:18" s="122" customFormat="1">
      <c r="B261" s="77" t="s">
        <v>3461</v>
      </c>
      <c r="C261" s="87" t="s">
        <v>2972</v>
      </c>
      <c r="D261" s="74">
        <v>7030</v>
      </c>
      <c r="E261" s="74"/>
      <c r="F261" s="74" t="s">
        <v>725</v>
      </c>
      <c r="G261" s="97">
        <v>43649</v>
      </c>
      <c r="H261" s="74"/>
      <c r="I261" s="84">
        <v>1.1000000000000001</v>
      </c>
      <c r="J261" s="87" t="s">
        <v>1025</v>
      </c>
      <c r="K261" s="87" t="s">
        <v>164</v>
      </c>
      <c r="L261" s="88">
        <v>3.2729000000000001E-2</v>
      </c>
      <c r="M261" s="88">
        <v>6.4399999999999999E-2</v>
      </c>
      <c r="N261" s="84">
        <v>1245969.8799999999</v>
      </c>
      <c r="O261" s="86">
        <v>97.13</v>
      </c>
      <c r="P261" s="84">
        <v>4314.4003899999998</v>
      </c>
      <c r="Q261" s="85">
        <f t="shared" si="6"/>
        <v>8.5751731311031884E-4</v>
      </c>
      <c r="R261" s="85">
        <f>P261/'סכום נכסי הקרן'!$C$42</f>
        <v>8.2824198489355437E-5</v>
      </c>
    </row>
    <row r="262" spans="2:18" s="122" customFormat="1">
      <c r="B262" s="77" t="s">
        <v>3461</v>
      </c>
      <c r="C262" s="87" t="s">
        <v>2972</v>
      </c>
      <c r="D262" s="74">
        <v>7059</v>
      </c>
      <c r="E262" s="74"/>
      <c r="F262" s="74" t="s">
        <v>725</v>
      </c>
      <c r="G262" s="97">
        <v>43668</v>
      </c>
      <c r="H262" s="74"/>
      <c r="I262" s="84">
        <v>1.1000000000000001</v>
      </c>
      <c r="J262" s="87" t="s">
        <v>1025</v>
      </c>
      <c r="K262" s="87" t="s">
        <v>164</v>
      </c>
      <c r="L262" s="88">
        <v>3.2729000000000001E-2</v>
      </c>
      <c r="M262" s="88">
        <v>6.4399999999999999E-2</v>
      </c>
      <c r="N262" s="84">
        <v>279081.69</v>
      </c>
      <c r="O262" s="86">
        <v>97.13</v>
      </c>
      <c r="P262" s="84">
        <v>966.37181999999996</v>
      </c>
      <c r="Q262" s="85">
        <f t="shared" si="6"/>
        <v>1.9207317162140547E-4</v>
      </c>
      <c r="R262" s="85">
        <f>P262/'סכום נכסי הקרן'!$C$42</f>
        <v>1.8551586361737664E-5</v>
      </c>
    </row>
    <row r="263" spans="2:18" s="122" customFormat="1">
      <c r="B263" s="77" t="s">
        <v>3461</v>
      </c>
      <c r="C263" s="87" t="s">
        <v>2972</v>
      </c>
      <c r="D263" s="74">
        <v>7107</v>
      </c>
      <c r="E263" s="74"/>
      <c r="F263" s="74" t="s">
        <v>725</v>
      </c>
      <c r="G263" s="97">
        <v>43697</v>
      </c>
      <c r="H263" s="74"/>
      <c r="I263" s="84">
        <v>1.1000000000000001</v>
      </c>
      <c r="J263" s="87" t="s">
        <v>1025</v>
      </c>
      <c r="K263" s="87" t="s">
        <v>164</v>
      </c>
      <c r="L263" s="88">
        <v>3.2729000000000001E-2</v>
      </c>
      <c r="M263" s="88">
        <v>6.4399999999999999E-2</v>
      </c>
      <c r="N263" s="84">
        <v>429482.08</v>
      </c>
      <c r="O263" s="86">
        <v>97.13</v>
      </c>
      <c r="P263" s="84">
        <v>1487.1608899999999</v>
      </c>
      <c r="Q263" s="85">
        <f t="shared" si="6"/>
        <v>2.9558364900749285E-4</v>
      </c>
      <c r="R263" s="85">
        <f>P263/'סכום נכסי הקרן'!$C$42</f>
        <v>2.8549253106980755E-5</v>
      </c>
    </row>
    <row r="264" spans="2:18" s="122" customFormat="1">
      <c r="B264" s="77" t="s">
        <v>3461</v>
      </c>
      <c r="C264" s="87" t="s">
        <v>2972</v>
      </c>
      <c r="D264" s="74">
        <v>7182</v>
      </c>
      <c r="E264" s="74"/>
      <c r="F264" s="74" t="s">
        <v>725</v>
      </c>
      <c r="G264" s="97">
        <v>43728</v>
      </c>
      <c r="H264" s="74"/>
      <c r="I264" s="84">
        <v>1.0999999999999999</v>
      </c>
      <c r="J264" s="87" t="s">
        <v>1025</v>
      </c>
      <c r="K264" s="87" t="s">
        <v>164</v>
      </c>
      <c r="L264" s="88">
        <v>3.2729000000000001E-2</v>
      </c>
      <c r="M264" s="88">
        <v>6.4399999999999999E-2</v>
      </c>
      <c r="N264" s="84">
        <v>611443.97</v>
      </c>
      <c r="O264" s="86">
        <v>97.13</v>
      </c>
      <c r="P264" s="84">
        <v>2117.2374599999998</v>
      </c>
      <c r="Q264" s="85">
        <f t="shared" si="6"/>
        <v>4.2081578291247005E-4</v>
      </c>
      <c r="R264" s="85">
        <f>P264/'סכום נכסי הקרן'!$C$42</f>
        <v>4.0644928561240634E-5</v>
      </c>
    </row>
    <row r="265" spans="2:18" s="122" customFormat="1">
      <c r="B265" s="77" t="s">
        <v>3461</v>
      </c>
      <c r="C265" s="87" t="s">
        <v>2972</v>
      </c>
      <c r="D265" s="74">
        <v>7223</v>
      </c>
      <c r="E265" s="74"/>
      <c r="F265" s="74" t="s">
        <v>725</v>
      </c>
      <c r="G265" s="97">
        <v>43759</v>
      </c>
      <c r="H265" s="74"/>
      <c r="I265" s="84">
        <v>1.1000000000000001</v>
      </c>
      <c r="J265" s="87" t="s">
        <v>1025</v>
      </c>
      <c r="K265" s="87" t="s">
        <v>164</v>
      </c>
      <c r="L265" s="88">
        <v>3.2729000000000001E-2</v>
      </c>
      <c r="M265" s="88">
        <v>6.4399999999999999E-2</v>
      </c>
      <c r="N265" s="84">
        <v>765716.08</v>
      </c>
      <c r="O265" s="86">
        <v>97.13</v>
      </c>
      <c r="P265" s="84">
        <v>2651.43309</v>
      </c>
      <c r="Q265" s="85">
        <f t="shared" si="6"/>
        <v>5.2699090805259966E-4</v>
      </c>
      <c r="R265" s="85">
        <f>P265/'סכום נכסי הקרן'!$C$42</f>
        <v>5.0899963071671479E-5</v>
      </c>
    </row>
    <row r="266" spans="2:18" s="122" customFormat="1">
      <c r="B266" s="77" t="s">
        <v>3461</v>
      </c>
      <c r="C266" s="87" t="s">
        <v>2972</v>
      </c>
      <c r="D266" s="74">
        <v>7503</v>
      </c>
      <c r="E266" s="74"/>
      <c r="F266" s="74" t="s">
        <v>725</v>
      </c>
      <c r="G266" s="97">
        <v>43910</v>
      </c>
      <c r="H266" s="74"/>
      <c r="I266" s="84">
        <v>1.0999999999999999</v>
      </c>
      <c r="J266" s="87" t="s">
        <v>1025</v>
      </c>
      <c r="K266" s="87" t="s">
        <v>164</v>
      </c>
      <c r="L266" s="88">
        <v>3.2729000000000001E-2</v>
      </c>
      <c r="M266" s="88">
        <v>6.430000000000001E-2</v>
      </c>
      <c r="N266" s="84">
        <v>470507.97</v>
      </c>
      <c r="O266" s="86">
        <v>97.14</v>
      </c>
      <c r="P266" s="84">
        <v>1629.3883500000002</v>
      </c>
      <c r="Q266" s="85">
        <f t="shared" si="6"/>
        <v>3.2385235342175927E-4</v>
      </c>
      <c r="R266" s="85">
        <f>P266/'סכום נכסי הקרן'!$C$42</f>
        <v>3.1279615222879988E-5</v>
      </c>
    </row>
    <row r="267" spans="2:18" s="122" customFormat="1">
      <c r="B267" s="77" t="s">
        <v>3461</v>
      </c>
      <c r="C267" s="87" t="s">
        <v>2972</v>
      </c>
      <c r="D267" s="74">
        <v>7363</v>
      </c>
      <c r="E267" s="74"/>
      <c r="F267" s="74" t="s">
        <v>725</v>
      </c>
      <c r="G267" s="97">
        <v>43851</v>
      </c>
      <c r="H267" s="74"/>
      <c r="I267" s="84">
        <v>1.0999999999999999</v>
      </c>
      <c r="J267" s="87" t="s">
        <v>1025</v>
      </c>
      <c r="K267" s="87" t="s">
        <v>164</v>
      </c>
      <c r="L267" s="88">
        <v>3.2729000000000001E-2</v>
      </c>
      <c r="M267" s="88">
        <v>6.4399999999999999E-2</v>
      </c>
      <c r="N267" s="84">
        <v>863824.58</v>
      </c>
      <c r="O267" s="86">
        <v>97.13</v>
      </c>
      <c r="P267" s="84">
        <v>2991.1518700000001</v>
      </c>
      <c r="Q267" s="85">
        <f t="shared" si="6"/>
        <v>5.9451239634884833E-4</v>
      </c>
      <c r="R267" s="85">
        <f>P267/'סכום נכסי הקרן'!$C$42</f>
        <v>5.7421596003677053E-5</v>
      </c>
    </row>
    <row r="268" spans="2:18" s="122" customFormat="1">
      <c r="B268" s="77" t="s">
        <v>3461</v>
      </c>
      <c r="C268" s="87" t="s">
        <v>2972</v>
      </c>
      <c r="D268" s="74">
        <v>7443</v>
      </c>
      <c r="E268" s="74"/>
      <c r="F268" s="74" t="s">
        <v>725</v>
      </c>
      <c r="G268" s="97">
        <v>43881</v>
      </c>
      <c r="H268" s="74"/>
      <c r="I268" s="84">
        <v>1.0999999999999999</v>
      </c>
      <c r="J268" s="87" t="s">
        <v>1025</v>
      </c>
      <c r="K268" s="87" t="s">
        <v>164</v>
      </c>
      <c r="L268" s="88">
        <v>3.2729000000000001E-2</v>
      </c>
      <c r="M268" s="88">
        <v>6.4399999999999985E-2</v>
      </c>
      <c r="N268" s="84">
        <v>655895.25</v>
      </c>
      <c r="O268" s="86">
        <v>97.13</v>
      </c>
      <c r="P268" s="84">
        <v>2271.1582200000003</v>
      </c>
      <c r="Q268" s="85">
        <f t="shared" si="6"/>
        <v>4.5140861264914142E-4</v>
      </c>
      <c r="R268" s="85">
        <f>P268/'סכום נכסי הקרן'!$C$42</f>
        <v>4.3599768730322041E-5</v>
      </c>
    </row>
    <row r="269" spans="2:18" s="122" customFormat="1">
      <c r="B269" s="77" t="s">
        <v>3461</v>
      </c>
      <c r="C269" s="87" t="s">
        <v>2972</v>
      </c>
      <c r="D269" s="74">
        <v>7272</v>
      </c>
      <c r="E269" s="74"/>
      <c r="F269" s="74" t="s">
        <v>725</v>
      </c>
      <c r="G269" s="97">
        <v>43799</v>
      </c>
      <c r="H269" s="74"/>
      <c r="I269" s="84">
        <v>1.1000000000000001</v>
      </c>
      <c r="J269" s="87" t="s">
        <v>1025</v>
      </c>
      <c r="K269" s="87" t="s">
        <v>164</v>
      </c>
      <c r="L269" s="88">
        <v>3.2729000000000001E-2</v>
      </c>
      <c r="M269" s="88">
        <v>6.4399999999999999E-2</v>
      </c>
      <c r="N269" s="84">
        <v>1015469.75</v>
      </c>
      <c r="O269" s="86">
        <v>97.13</v>
      </c>
      <c r="P269" s="84">
        <v>3516.2512299999999</v>
      </c>
      <c r="Q269" s="85">
        <f t="shared" si="6"/>
        <v>6.9887957407922764E-4</v>
      </c>
      <c r="R269" s="85">
        <f>P269/'סכום נכסי הקרן'!$C$42</f>
        <v>6.7502008039629392E-5</v>
      </c>
    </row>
    <row r="270" spans="2:18" s="122" customFormat="1">
      <c r="B270" s="77" t="s">
        <v>3461</v>
      </c>
      <c r="C270" s="87" t="s">
        <v>2972</v>
      </c>
      <c r="D270" s="74">
        <v>7313</v>
      </c>
      <c r="E270" s="74"/>
      <c r="F270" s="74" t="s">
        <v>725</v>
      </c>
      <c r="G270" s="97">
        <v>43819</v>
      </c>
      <c r="H270" s="74"/>
      <c r="I270" s="84">
        <v>1.1000000000000001</v>
      </c>
      <c r="J270" s="87" t="s">
        <v>1025</v>
      </c>
      <c r="K270" s="87" t="s">
        <v>164</v>
      </c>
      <c r="L270" s="88">
        <v>3.2729000000000001E-2</v>
      </c>
      <c r="M270" s="88">
        <v>6.4399999999999999E-2</v>
      </c>
      <c r="N270" s="84">
        <v>982372.84</v>
      </c>
      <c r="O270" s="86">
        <v>97.13</v>
      </c>
      <c r="P270" s="84">
        <v>3401.64707</v>
      </c>
      <c r="Q270" s="85">
        <f t="shared" si="6"/>
        <v>6.7610119412583978E-4</v>
      </c>
      <c r="R270" s="85">
        <f>P270/'סכום נכסי הקרן'!$C$42</f>
        <v>6.530193460241513E-5</v>
      </c>
    </row>
    <row r="271" spans="2:18" s="122" customFormat="1">
      <c r="B271" s="77" t="s">
        <v>3462</v>
      </c>
      <c r="C271" s="87" t="s">
        <v>2972</v>
      </c>
      <c r="D271" s="74">
        <v>6861</v>
      </c>
      <c r="E271" s="74"/>
      <c r="F271" s="74" t="s">
        <v>725</v>
      </c>
      <c r="G271" s="97">
        <v>43563</v>
      </c>
      <c r="H271" s="74"/>
      <c r="I271" s="84">
        <v>2.59</v>
      </c>
      <c r="J271" s="87" t="s">
        <v>1032</v>
      </c>
      <c r="K271" s="87" t="s">
        <v>164</v>
      </c>
      <c r="L271" s="88">
        <v>4.2809999999999994E-2</v>
      </c>
      <c r="M271" s="88">
        <v>3.9E-2</v>
      </c>
      <c r="N271" s="84">
        <v>27532806.43</v>
      </c>
      <c r="O271" s="86">
        <v>100.08</v>
      </c>
      <c r="P271" s="84">
        <v>98232.978510000001</v>
      </c>
      <c r="Q271" s="85">
        <f t="shared" si="6"/>
        <v>1.9524492901948513E-2</v>
      </c>
      <c r="R271" s="85">
        <f>P271/'סכום נכסי הקרן'!$C$42</f>
        <v>1.885793383750558E-3</v>
      </c>
    </row>
    <row r="272" spans="2:18" s="122" customFormat="1">
      <c r="B272" s="77" t="s">
        <v>3463</v>
      </c>
      <c r="C272" s="87" t="s">
        <v>2972</v>
      </c>
      <c r="D272" s="74">
        <v>6932</v>
      </c>
      <c r="E272" s="74"/>
      <c r="F272" s="74" t="s">
        <v>725</v>
      </c>
      <c r="G272" s="97">
        <v>43613</v>
      </c>
      <c r="H272" s="74"/>
      <c r="I272" s="84">
        <v>4.2</v>
      </c>
      <c r="J272" s="87" t="s">
        <v>1025</v>
      </c>
      <c r="K272" s="87" t="s">
        <v>164</v>
      </c>
      <c r="L272" s="88">
        <v>5.2000000000000005E-2</v>
      </c>
      <c r="M272" s="88">
        <v>6.7299999999999999E-2</v>
      </c>
      <c r="N272" s="84">
        <v>12287197.140000001</v>
      </c>
      <c r="O272" s="86">
        <v>90.53</v>
      </c>
      <c r="P272" s="84">
        <v>39655.631500000003</v>
      </c>
      <c r="Q272" s="85">
        <f t="shared" si="6"/>
        <v>7.8818346698631102E-3</v>
      </c>
      <c r="R272" s="85">
        <f>P272/'סכום נכסי הקרן'!$C$42</f>
        <v>7.6127517098076661E-4</v>
      </c>
    </row>
    <row r="273" spans="2:18" s="122" customFormat="1">
      <c r="B273" s="77" t="s">
        <v>3463</v>
      </c>
      <c r="C273" s="87" t="s">
        <v>2972</v>
      </c>
      <c r="D273" s="74" t="s">
        <v>3150</v>
      </c>
      <c r="E273" s="74"/>
      <c r="F273" s="74" t="s">
        <v>725</v>
      </c>
      <c r="G273" s="97">
        <v>42817</v>
      </c>
      <c r="H273" s="74"/>
      <c r="I273" s="84">
        <v>4.08</v>
      </c>
      <c r="J273" s="87" t="s">
        <v>1025</v>
      </c>
      <c r="K273" s="87" t="s">
        <v>164</v>
      </c>
      <c r="L273" s="88">
        <v>5.7820000000000003E-2</v>
      </c>
      <c r="M273" s="88">
        <v>6.1600000000000002E-2</v>
      </c>
      <c r="N273" s="84">
        <v>2891105.21</v>
      </c>
      <c r="O273" s="86">
        <v>97.46</v>
      </c>
      <c r="P273" s="84">
        <v>10044.99783</v>
      </c>
      <c r="Q273" s="85">
        <f t="shared" si="6"/>
        <v>1.9965137147089362E-3</v>
      </c>
      <c r="R273" s="85">
        <f>P273/'סכום נכסי הקרן'!$C$42</f>
        <v>1.928353464888002E-4</v>
      </c>
    </row>
    <row r="274" spans="2:18" s="122" customFormat="1">
      <c r="B274" s="77" t="s">
        <v>3463</v>
      </c>
      <c r="C274" s="87" t="s">
        <v>2972</v>
      </c>
      <c r="D274" s="74">
        <v>7291</v>
      </c>
      <c r="E274" s="74"/>
      <c r="F274" s="74" t="s">
        <v>725</v>
      </c>
      <c r="G274" s="97">
        <v>43798</v>
      </c>
      <c r="H274" s="74"/>
      <c r="I274" s="84">
        <v>4.1999999999999993</v>
      </c>
      <c r="J274" s="87" t="s">
        <v>1025</v>
      </c>
      <c r="K274" s="87" t="s">
        <v>164</v>
      </c>
      <c r="L274" s="88">
        <v>5.2000000000000005E-2</v>
      </c>
      <c r="M274" s="88">
        <v>6.7399999999999988E-2</v>
      </c>
      <c r="N274" s="84">
        <v>722776.32</v>
      </c>
      <c r="O274" s="86">
        <v>90.53</v>
      </c>
      <c r="P274" s="84">
        <v>2332.68424</v>
      </c>
      <c r="Q274" s="85">
        <f t="shared" si="6"/>
        <v>4.6363734030248089E-4</v>
      </c>
      <c r="R274" s="85">
        <f>P274/'סכום נכסי הקרן'!$C$42</f>
        <v>4.4780893065594974E-5</v>
      </c>
    </row>
    <row r="275" spans="2:18" s="122" customFormat="1">
      <c r="B275" s="77" t="s">
        <v>3464</v>
      </c>
      <c r="C275" s="87" t="s">
        <v>2972</v>
      </c>
      <c r="D275" s="74" t="s">
        <v>3151</v>
      </c>
      <c r="E275" s="74"/>
      <c r="F275" s="74" t="s">
        <v>725</v>
      </c>
      <c r="G275" s="97">
        <v>43083</v>
      </c>
      <c r="H275" s="74"/>
      <c r="I275" s="84">
        <v>2.46</v>
      </c>
      <c r="J275" s="87" t="s">
        <v>957</v>
      </c>
      <c r="K275" s="87" t="s">
        <v>173</v>
      </c>
      <c r="L275" s="88">
        <v>2.8675000000000003E-2</v>
      </c>
      <c r="M275" s="88">
        <v>3.9299999999999995E-2</v>
      </c>
      <c r="N275" s="84">
        <v>2157602.9</v>
      </c>
      <c r="O275" s="86">
        <v>97.32</v>
      </c>
      <c r="P275" s="84">
        <v>5249.8675700000003</v>
      </c>
      <c r="Q275" s="85">
        <f t="shared" si="6"/>
        <v>1.0434479709500023E-3</v>
      </c>
      <c r="R275" s="85">
        <f>P275/'סכום נכסי הקרן'!$C$42</f>
        <v>1.0078250379087096E-4</v>
      </c>
    </row>
    <row r="276" spans="2:18" s="122" customFormat="1">
      <c r="B276" s="77" t="s">
        <v>3464</v>
      </c>
      <c r="C276" s="87" t="s">
        <v>2972</v>
      </c>
      <c r="D276" s="74" t="s">
        <v>3152</v>
      </c>
      <c r="E276" s="74"/>
      <c r="F276" s="74" t="s">
        <v>725</v>
      </c>
      <c r="G276" s="97">
        <v>43083</v>
      </c>
      <c r="H276" s="74"/>
      <c r="I276" s="84">
        <v>8.48</v>
      </c>
      <c r="J276" s="87" t="s">
        <v>957</v>
      </c>
      <c r="K276" s="87" t="s">
        <v>173</v>
      </c>
      <c r="L276" s="88">
        <v>3.0425000000000001E-2</v>
      </c>
      <c r="M276" s="88">
        <v>4.0500000000000001E-2</v>
      </c>
      <c r="N276" s="84">
        <v>1481872.29</v>
      </c>
      <c r="O276" s="86">
        <v>90.94</v>
      </c>
      <c r="P276" s="84">
        <v>3369.3059900000003</v>
      </c>
      <c r="Q276" s="85">
        <f t="shared" si="6"/>
        <v>6.6967317782745314E-4</v>
      </c>
      <c r="R276" s="85">
        <f>P276/'סכום נכסי הקרן'!$C$42</f>
        <v>6.468107798570226E-5</v>
      </c>
    </row>
    <row r="277" spans="2:18" s="122" customFormat="1">
      <c r="B277" s="77" t="s">
        <v>3464</v>
      </c>
      <c r="C277" s="87" t="s">
        <v>2972</v>
      </c>
      <c r="D277" s="74" t="s">
        <v>3153</v>
      </c>
      <c r="E277" s="74"/>
      <c r="F277" s="74" t="s">
        <v>725</v>
      </c>
      <c r="G277" s="97">
        <v>43083</v>
      </c>
      <c r="H277" s="74"/>
      <c r="I277" s="84">
        <v>8</v>
      </c>
      <c r="J277" s="87" t="s">
        <v>957</v>
      </c>
      <c r="K277" s="87" t="s">
        <v>173</v>
      </c>
      <c r="L277" s="88">
        <v>4.4999999999999998E-2</v>
      </c>
      <c r="M277" s="88">
        <v>4.4999999999999998E-2</v>
      </c>
      <c r="N277" s="84">
        <v>5927489.1399999997</v>
      </c>
      <c r="O277" s="86">
        <v>100.56</v>
      </c>
      <c r="P277" s="84">
        <v>14902.899660000001</v>
      </c>
      <c r="Q277" s="85">
        <f t="shared" si="6"/>
        <v>2.962055747912605E-3</v>
      </c>
      <c r="R277" s="85">
        <f>P277/'סכום נכסי הקרן'!$C$42</f>
        <v>2.86093224534218E-4</v>
      </c>
    </row>
    <row r="278" spans="2:18" s="122" customFormat="1">
      <c r="B278" s="77" t="s">
        <v>3465</v>
      </c>
      <c r="C278" s="87" t="s">
        <v>2972</v>
      </c>
      <c r="D278" s="74">
        <v>7364</v>
      </c>
      <c r="E278" s="74"/>
      <c r="F278" s="74" t="s">
        <v>725</v>
      </c>
      <c r="G278" s="97">
        <v>37551</v>
      </c>
      <c r="H278" s="74"/>
      <c r="I278" s="84">
        <v>2.8499999999999996</v>
      </c>
      <c r="J278" s="87" t="s">
        <v>1025</v>
      </c>
      <c r="K278" s="87" t="s">
        <v>166</v>
      </c>
      <c r="L278" s="88">
        <v>1.7500000000000002E-2</v>
      </c>
      <c r="M278" s="88">
        <v>3.27E-2</v>
      </c>
      <c r="N278" s="84">
        <v>15084204.140000001</v>
      </c>
      <c r="O278" s="86">
        <v>95.94</v>
      </c>
      <c r="P278" s="84">
        <v>56444.30545</v>
      </c>
      <c r="Q278" s="85">
        <f t="shared" si="6"/>
        <v>1.1218701273541774E-2</v>
      </c>
      <c r="R278" s="85">
        <f>P278/'סכום נכסי הקרן'!$C$42</f>
        <v>1.0835698905044386E-3</v>
      </c>
    </row>
    <row r="279" spans="2:18" s="122" customFormat="1">
      <c r="B279" s="77" t="s">
        <v>3466</v>
      </c>
      <c r="C279" s="87" t="s">
        <v>2972</v>
      </c>
      <c r="D279" s="74">
        <v>6922</v>
      </c>
      <c r="E279" s="74"/>
      <c r="F279" s="74" t="s">
        <v>725</v>
      </c>
      <c r="G279" s="97">
        <v>43613</v>
      </c>
      <c r="H279" s="74"/>
      <c r="I279" s="84">
        <v>3.45</v>
      </c>
      <c r="J279" s="87" t="s">
        <v>1025</v>
      </c>
      <c r="K279" s="87" t="s">
        <v>164</v>
      </c>
      <c r="L279" s="88">
        <v>5.4893999999999998E-2</v>
      </c>
      <c r="M279" s="88">
        <v>8.5900000000000004E-2</v>
      </c>
      <c r="N279" s="84">
        <v>8419023.5999999996</v>
      </c>
      <c r="O279" s="86">
        <v>90.85</v>
      </c>
      <c r="P279" s="84">
        <v>27267.554179999999</v>
      </c>
      <c r="Q279" s="85">
        <f t="shared" si="6"/>
        <v>5.4196174860636067E-3</v>
      </c>
      <c r="R279" s="85">
        <f>P279/'סכום נכסי הקרן'!$C$42</f>
        <v>5.234593722358656E-4</v>
      </c>
    </row>
    <row r="280" spans="2:18" s="122" customFormat="1">
      <c r="B280" s="77" t="s">
        <v>3467</v>
      </c>
      <c r="C280" s="87" t="s">
        <v>2972</v>
      </c>
      <c r="D280" s="74">
        <v>7384</v>
      </c>
      <c r="E280" s="74"/>
      <c r="F280" s="74" t="s">
        <v>725</v>
      </c>
      <c r="G280" s="97">
        <v>43861</v>
      </c>
      <c r="H280" s="74"/>
      <c r="I280" s="84">
        <v>6.07</v>
      </c>
      <c r="J280" s="87" t="s">
        <v>1025</v>
      </c>
      <c r="K280" s="87" t="s">
        <v>166</v>
      </c>
      <c r="L280" s="88">
        <v>2.6249999999999999E-2</v>
      </c>
      <c r="M280" s="88">
        <v>4.5499999999999999E-2</v>
      </c>
      <c r="N280" s="84">
        <v>67176.31</v>
      </c>
      <c r="O280" s="86">
        <v>89.66</v>
      </c>
      <c r="P280" s="84">
        <v>234.91615999999999</v>
      </c>
      <c r="Q280" s="85">
        <f t="shared" si="6"/>
        <v>4.6691233107688863E-5</v>
      </c>
      <c r="R280" s="85">
        <f>P280/'סכום נכסי הקרן'!$C$42</f>
        <v>4.5097211444015239E-6</v>
      </c>
    </row>
    <row r="281" spans="2:18" s="122" customFormat="1">
      <c r="B281" s="77" t="s">
        <v>3467</v>
      </c>
      <c r="C281" s="87" t="s">
        <v>2972</v>
      </c>
      <c r="D281" s="74">
        <v>7385</v>
      </c>
      <c r="E281" s="74"/>
      <c r="F281" s="74" t="s">
        <v>725</v>
      </c>
      <c r="G281" s="97">
        <v>43861</v>
      </c>
      <c r="H281" s="74"/>
      <c r="I281" s="84">
        <v>5.9099999999999993</v>
      </c>
      <c r="J281" s="87" t="s">
        <v>1025</v>
      </c>
      <c r="K281" s="87" t="s">
        <v>167</v>
      </c>
      <c r="L281" s="88">
        <v>3.4705E-2</v>
      </c>
      <c r="M281" s="88">
        <v>5.4400000000000004E-2</v>
      </c>
      <c r="N281" s="84">
        <v>219010.49</v>
      </c>
      <c r="O281" s="86">
        <v>89.87</v>
      </c>
      <c r="P281" s="84">
        <v>865.75325999999995</v>
      </c>
      <c r="Q281" s="85">
        <f t="shared" si="6"/>
        <v>1.7207452768000961E-4</v>
      </c>
      <c r="R281" s="85">
        <f>P281/'סכום נכסי הקרן'!$C$42</f>
        <v>1.661999660839233E-5</v>
      </c>
    </row>
    <row r="282" spans="2:18" s="122" customFormat="1">
      <c r="B282" s="77" t="s">
        <v>3467</v>
      </c>
      <c r="C282" s="87" t="s">
        <v>2972</v>
      </c>
      <c r="D282" s="74">
        <v>7276</v>
      </c>
      <c r="E282" s="74"/>
      <c r="F282" s="74" t="s">
        <v>725</v>
      </c>
      <c r="G282" s="97">
        <v>43798</v>
      </c>
      <c r="H282" s="74"/>
      <c r="I282" s="84">
        <v>6.07</v>
      </c>
      <c r="J282" s="87" t="s">
        <v>1025</v>
      </c>
      <c r="K282" s="87" t="s">
        <v>166</v>
      </c>
      <c r="L282" s="88">
        <v>2.6249999999999999E-2</v>
      </c>
      <c r="M282" s="88">
        <v>4.5500000000000006E-2</v>
      </c>
      <c r="N282" s="84">
        <v>2929295.22</v>
      </c>
      <c r="O282" s="86">
        <v>89.66</v>
      </c>
      <c r="P282" s="84">
        <v>10243.771869999999</v>
      </c>
      <c r="Q282" s="85">
        <f t="shared" si="6"/>
        <v>2.0360214481803035E-3</v>
      </c>
      <c r="R282" s="85">
        <f>P282/'סכום נכסי הקרן'!$C$42</f>
        <v>1.9665124187524832E-4</v>
      </c>
    </row>
    <row r="283" spans="2:18" s="122" customFormat="1">
      <c r="B283" s="77" t="s">
        <v>3467</v>
      </c>
      <c r="C283" s="87" t="s">
        <v>2972</v>
      </c>
      <c r="D283" s="74">
        <v>7275</v>
      </c>
      <c r="E283" s="74"/>
      <c r="F283" s="74" t="s">
        <v>725</v>
      </c>
      <c r="G283" s="97">
        <v>43799</v>
      </c>
      <c r="H283" s="74"/>
      <c r="I283" s="84">
        <v>5.91</v>
      </c>
      <c r="J283" s="87" t="s">
        <v>1025</v>
      </c>
      <c r="K283" s="87" t="s">
        <v>167</v>
      </c>
      <c r="L283" s="88">
        <v>3.4705E-2</v>
      </c>
      <c r="M283" s="88">
        <v>5.4400000000000004E-2</v>
      </c>
      <c r="N283" s="84">
        <v>2752651.89</v>
      </c>
      <c r="O283" s="86">
        <v>89.85</v>
      </c>
      <c r="P283" s="84">
        <v>10878.871499999999</v>
      </c>
      <c r="Q283" s="85">
        <f t="shared" si="6"/>
        <v>2.1622519504622111E-3</v>
      </c>
      <c r="R283" s="85">
        <f>P283/'סכום נכסי הקרן'!$C$42</f>
        <v>2.0884334577398643E-4</v>
      </c>
    </row>
    <row r="284" spans="2:18" s="122" customFormat="1">
      <c r="B284" s="77" t="s">
        <v>3468</v>
      </c>
      <c r="C284" s="87" t="s">
        <v>2972</v>
      </c>
      <c r="D284" s="74">
        <v>6654</v>
      </c>
      <c r="E284" s="74"/>
      <c r="F284" s="74" t="s">
        <v>725</v>
      </c>
      <c r="G284" s="97">
        <v>43451</v>
      </c>
      <c r="H284" s="74"/>
      <c r="I284" s="84">
        <v>2.83</v>
      </c>
      <c r="J284" s="87" t="s">
        <v>1025</v>
      </c>
      <c r="K284" s="87" t="s">
        <v>164</v>
      </c>
      <c r="L284" s="88">
        <v>3.8746000000000003E-2</v>
      </c>
      <c r="M284" s="88">
        <v>3.9899999999999998E-2</v>
      </c>
      <c r="N284" s="84">
        <v>14803055.66</v>
      </c>
      <c r="O284" s="86">
        <v>100</v>
      </c>
      <c r="P284" s="84">
        <v>52772.891149999996</v>
      </c>
      <c r="Q284" s="85">
        <f t="shared" si="6"/>
        <v>1.0488981951907185E-2</v>
      </c>
      <c r="R284" s="85">
        <f>P284/'סכום נכסי הקרן'!$C$42</f>
        <v>1.0130891934822834E-3</v>
      </c>
    </row>
    <row r="285" spans="2:18" s="122" customFormat="1">
      <c r="B285" s="77" t="s">
        <v>3469</v>
      </c>
      <c r="C285" s="87" t="s">
        <v>2972</v>
      </c>
      <c r="D285" s="74" t="s">
        <v>3154</v>
      </c>
      <c r="E285" s="74"/>
      <c r="F285" s="74" t="s">
        <v>725</v>
      </c>
      <c r="G285" s="97">
        <v>42870</v>
      </c>
      <c r="H285" s="74"/>
      <c r="I285" s="84">
        <v>3.4000000000000008</v>
      </c>
      <c r="J285" s="87" t="s">
        <v>957</v>
      </c>
      <c r="K285" s="87" t="s">
        <v>164</v>
      </c>
      <c r="L285" s="88">
        <v>3.4894000000000001E-2</v>
      </c>
      <c r="M285" s="88">
        <v>5.4399999999999997E-2</v>
      </c>
      <c r="N285" s="84">
        <v>7977664.2999999998</v>
      </c>
      <c r="O285" s="86">
        <v>95.74</v>
      </c>
      <c r="P285" s="84">
        <v>27228.814109999999</v>
      </c>
      <c r="Q285" s="85">
        <f t="shared" si="6"/>
        <v>5.4119176256581828E-3</v>
      </c>
      <c r="R285" s="85">
        <f>P285/'סכום נכסי הקרן'!$C$42</f>
        <v>5.2271567323782897E-4</v>
      </c>
    </row>
    <row r="286" spans="2:18" s="122" customFormat="1">
      <c r="B286" s="77" t="s">
        <v>3470</v>
      </c>
      <c r="C286" s="87" t="s">
        <v>2972</v>
      </c>
      <c r="D286" s="74" t="s">
        <v>3155</v>
      </c>
      <c r="E286" s="74"/>
      <c r="F286" s="74" t="s">
        <v>725</v>
      </c>
      <c r="G286" s="97">
        <v>43797</v>
      </c>
      <c r="H286" s="74"/>
      <c r="I286" s="84">
        <v>6</v>
      </c>
      <c r="J286" s="87" t="s">
        <v>957</v>
      </c>
      <c r="K286" s="87" t="s">
        <v>164</v>
      </c>
      <c r="L286" s="88">
        <v>4.6100000000000002E-2</v>
      </c>
      <c r="M286" s="88">
        <v>4.3999999999999997E-2</v>
      </c>
      <c r="N286" s="84">
        <v>288076.21000000002</v>
      </c>
      <c r="O286" s="86">
        <v>100.23</v>
      </c>
      <c r="P286" s="84">
        <v>1029.3537900000001</v>
      </c>
      <c r="Q286" s="85">
        <f t="shared" si="6"/>
        <v>2.0459127954063706E-4</v>
      </c>
      <c r="R286" s="85">
        <f>P286/'סכום נכסי הקרן'!$C$42</f>
        <v>1.9760660789929678E-5</v>
      </c>
    </row>
    <row r="287" spans="2:18" s="122" customFormat="1">
      <c r="B287" s="77" t="s">
        <v>3470</v>
      </c>
      <c r="C287" s="87" t="s">
        <v>2972</v>
      </c>
      <c r="D287" s="74">
        <v>7386</v>
      </c>
      <c r="E287" s="74"/>
      <c r="F287" s="74" t="s">
        <v>725</v>
      </c>
      <c r="G287" s="97">
        <v>43861</v>
      </c>
      <c r="H287" s="74"/>
      <c r="I287" s="84">
        <v>6</v>
      </c>
      <c r="J287" s="87" t="s">
        <v>957</v>
      </c>
      <c r="K287" s="87" t="s">
        <v>164</v>
      </c>
      <c r="L287" s="88">
        <v>4.6100000000000002E-2</v>
      </c>
      <c r="M287" s="88">
        <v>4.3899999999999995E-2</v>
      </c>
      <c r="N287" s="84">
        <v>774579.45</v>
      </c>
      <c r="O287" s="86">
        <v>100.23</v>
      </c>
      <c r="P287" s="84">
        <v>2767.7268899999999</v>
      </c>
      <c r="Q287" s="85">
        <f t="shared" si="6"/>
        <v>5.501051157970943E-4</v>
      </c>
      <c r="R287" s="85">
        <f>P287/'סכום נכסי הקרן'!$C$42</f>
        <v>5.3132472784169764E-5</v>
      </c>
    </row>
    <row r="288" spans="2:18" s="122" customFormat="1">
      <c r="B288" s="77" t="s">
        <v>3470</v>
      </c>
      <c r="C288" s="87" t="s">
        <v>2972</v>
      </c>
      <c r="D288" s="74">
        <v>7535</v>
      </c>
      <c r="E288" s="74"/>
      <c r="F288" s="74" t="s">
        <v>725</v>
      </c>
      <c r="G288" s="97">
        <v>37889</v>
      </c>
      <c r="H288" s="74"/>
      <c r="I288" s="84">
        <v>6</v>
      </c>
      <c r="J288" s="87" t="s">
        <v>957</v>
      </c>
      <c r="K288" s="87" t="s">
        <v>164</v>
      </c>
      <c r="L288" s="88">
        <v>3.9844999999999998E-2</v>
      </c>
      <c r="M288" s="88">
        <v>4.4300000000000006E-2</v>
      </c>
      <c r="N288" s="84">
        <v>857013.95</v>
      </c>
      <c r="O288" s="86">
        <v>100</v>
      </c>
      <c r="P288" s="84">
        <v>3055.2547300000001</v>
      </c>
      <c r="Q288" s="85">
        <f t="shared" si="6"/>
        <v>6.0725328901084974E-4</v>
      </c>
      <c r="R288" s="85">
        <f>P288/'סכום נכסי הקרן'!$C$42</f>
        <v>5.8652188327162208E-5</v>
      </c>
    </row>
    <row r="289" spans="2:18" s="122" customFormat="1">
      <c r="B289" s="77" t="s">
        <v>3470</v>
      </c>
      <c r="C289" s="87" t="s">
        <v>2972</v>
      </c>
      <c r="D289" s="74">
        <v>7125</v>
      </c>
      <c r="E289" s="74"/>
      <c r="F289" s="74" t="s">
        <v>725</v>
      </c>
      <c r="G289" s="97">
        <v>43706</v>
      </c>
      <c r="H289" s="74"/>
      <c r="I289" s="84">
        <v>6</v>
      </c>
      <c r="J289" s="87" t="s">
        <v>957</v>
      </c>
      <c r="K289" s="87" t="s">
        <v>164</v>
      </c>
      <c r="L289" s="88">
        <v>4.6100000000000002E-2</v>
      </c>
      <c r="M289" s="88">
        <v>4.4000000000000004E-2</v>
      </c>
      <c r="N289" s="84">
        <v>672607.99</v>
      </c>
      <c r="O289" s="86">
        <v>100.23</v>
      </c>
      <c r="P289" s="84">
        <v>2403.3625400000001</v>
      </c>
      <c r="Q289" s="85">
        <f t="shared" si="6"/>
        <v>4.7768514774559239E-4</v>
      </c>
      <c r="R289" s="85">
        <f>P289/'סכום נכסי הקרן'!$C$42</f>
        <v>4.6137715107809328E-5</v>
      </c>
    </row>
    <row r="290" spans="2:18" s="122" customFormat="1">
      <c r="B290" s="77" t="s">
        <v>3470</v>
      </c>
      <c r="C290" s="87" t="s">
        <v>2972</v>
      </c>
      <c r="D290" s="74">
        <v>7204</v>
      </c>
      <c r="E290" s="74"/>
      <c r="F290" s="74" t="s">
        <v>725</v>
      </c>
      <c r="G290" s="97">
        <v>43738</v>
      </c>
      <c r="H290" s="74"/>
      <c r="I290" s="84">
        <v>6</v>
      </c>
      <c r="J290" s="87" t="s">
        <v>957</v>
      </c>
      <c r="K290" s="87" t="s">
        <v>164</v>
      </c>
      <c r="L290" s="88">
        <v>4.6100000000000002E-2</v>
      </c>
      <c r="M290" s="88">
        <v>4.4000000000000004E-2</v>
      </c>
      <c r="N290" s="84">
        <v>331144.76</v>
      </c>
      <c r="O290" s="86">
        <v>100.23</v>
      </c>
      <c r="P290" s="84">
        <v>1183.2462800000001</v>
      </c>
      <c r="Q290" s="85">
        <f t="shared" si="6"/>
        <v>2.3517849041669033E-4</v>
      </c>
      <c r="R290" s="85">
        <f>P290/'סכום נכסי הקרן'!$C$42</f>
        <v>2.2714958255534428E-5</v>
      </c>
    </row>
    <row r="291" spans="2:18" s="122" customFormat="1">
      <c r="B291" s="77" t="s">
        <v>3470</v>
      </c>
      <c r="C291" s="87" t="s">
        <v>2972</v>
      </c>
      <c r="D291" s="74">
        <v>7246</v>
      </c>
      <c r="E291" s="74"/>
      <c r="F291" s="74" t="s">
        <v>725</v>
      </c>
      <c r="G291" s="97">
        <v>43769</v>
      </c>
      <c r="H291" s="74"/>
      <c r="I291" s="84">
        <v>6</v>
      </c>
      <c r="J291" s="87" t="s">
        <v>957</v>
      </c>
      <c r="K291" s="87" t="s">
        <v>164</v>
      </c>
      <c r="L291" s="88">
        <v>4.6100000000000002E-2</v>
      </c>
      <c r="M291" s="88">
        <v>4.4000000000000004E-2</v>
      </c>
      <c r="N291" s="84">
        <v>626829.15</v>
      </c>
      <c r="O291" s="86">
        <v>100.23</v>
      </c>
      <c r="P291" s="84">
        <v>2239.7856099999999</v>
      </c>
      <c r="Q291" s="85">
        <f t="shared" si="6"/>
        <v>4.4517308655035525E-4</v>
      </c>
      <c r="R291" s="85">
        <f>P291/'סכום נכסי הקרן'!$C$42</f>
        <v>4.2997503979050504E-5</v>
      </c>
    </row>
    <row r="292" spans="2:18" s="122" customFormat="1">
      <c r="B292" s="77" t="s">
        <v>3470</v>
      </c>
      <c r="C292" s="87" t="s">
        <v>2972</v>
      </c>
      <c r="D292" s="74">
        <v>7280</v>
      </c>
      <c r="E292" s="74"/>
      <c r="F292" s="74" t="s">
        <v>725</v>
      </c>
      <c r="G292" s="97">
        <v>37488</v>
      </c>
      <c r="H292" s="74"/>
      <c r="I292" s="84">
        <v>6</v>
      </c>
      <c r="J292" s="87" t="s">
        <v>957</v>
      </c>
      <c r="K292" s="87" t="s">
        <v>164</v>
      </c>
      <c r="L292" s="88">
        <v>4.6100000000000002E-2</v>
      </c>
      <c r="M292" s="88">
        <v>4.3999999999999997E-2</v>
      </c>
      <c r="N292" s="84">
        <v>113295.67999999999</v>
      </c>
      <c r="O292" s="86">
        <v>100.23</v>
      </c>
      <c r="P292" s="84">
        <v>404.82807000000003</v>
      </c>
      <c r="Q292" s="85">
        <f t="shared" si="6"/>
        <v>8.0462415973876753E-5</v>
      </c>
      <c r="R292" s="85">
        <f>P292/'סכום נכסי הקרן'!$C$42</f>
        <v>7.7715458448080388E-6</v>
      </c>
    </row>
    <row r="293" spans="2:18" s="122" customFormat="1">
      <c r="B293" s="77" t="s">
        <v>3470</v>
      </c>
      <c r="C293" s="87" t="s">
        <v>2972</v>
      </c>
      <c r="D293" s="74">
        <v>7337</v>
      </c>
      <c r="E293" s="74"/>
      <c r="F293" s="74" t="s">
        <v>725</v>
      </c>
      <c r="G293" s="97">
        <v>43830</v>
      </c>
      <c r="H293" s="74"/>
      <c r="I293" s="84">
        <v>6</v>
      </c>
      <c r="J293" s="87" t="s">
        <v>957</v>
      </c>
      <c r="K293" s="87" t="s">
        <v>164</v>
      </c>
      <c r="L293" s="88">
        <v>4.6100000000000002E-2</v>
      </c>
      <c r="M293" s="88">
        <v>4.3900000000000008E-2</v>
      </c>
      <c r="N293" s="84">
        <v>760209.02</v>
      </c>
      <c r="O293" s="86">
        <v>100.23</v>
      </c>
      <c r="P293" s="84">
        <v>2716.3784799999999</v>
      </c>
      <c r="Q293" s="85">
        <f t="shared" si="6"/>
        <v>5.3989925945660598E-4</v>
      </c>
      <c r="R293" s="85">
        <f>P293/'סכום נכסי הקרן'!$C$42</f>
        <v>5.2146729571321405E-5</v>
      </c>
    </row>
    <row r="294" spans="2:18" s="122" customFormat="1">
      <c r="B294" s="77" t="s">
        <v>3471</v>
      </c>
      <c r="C294" s="87" t="s">
        <v>2972</v>
      </c>
      <c r="D294" s="74">
        <v>7472</v>
      </c>
      <c r="E294" s="74"/>
      <c r="F294" s="74" t="s">
        <v>725</v>
      </c>
      <c r="G294" s="97">
        <v>37760</v>
      </c>
      <c r="H294" s="74"/>
      <c r="I294" s="84">
        <v>0.3</v>
      </c>
      <c r="J294" s="87" t="s">
        <v>1032</v>
      </c>
      <c r="K294" s="87" t="s">
        <v>164</v>
      </c>
      <c r="L294" s="88">
        <v>2.5320999999999996E-2</v>
      </c>
      <c r="M294" s="88">
        <v>4.6000000000000008E-3</v>
      </c>
      <c r="N294" s="84">
        <v>51971.64</v>
      </c>
      <c r="O294" s="86">
        <v>100.82</v>
      </c>
      <c r="P294" s="84">
        <v>186.79816</v>
      </c>
      <c r="Q294" s="85">
        <f t="shared" si="6"/>
        <v>3.7127443393623336E-5</v>
      </c>
      <c r="R294" s="85">
        <f>P294/'סכום נכסי הקרן'!$C$42</f>
        <v>3.5859926021577185E-6</v>
      </c>
    </row>
    <row r="295" spans="2:18" s="122" customFormat="1">
      <c r="B295" s="77" t="s">
        <v>3471</v>
      </c>
      <c r="C295" s="87" t="s">
        <v>2972</v>
      </c>
      <c r="D295" s="74">
        <v>6734</v>
      </c>
      <c r="E295" s="74"/>
      <c r="F295" s="74" t="s">
        <v>725</v>
      </c>
      <c r="G295" s="97">
        <v>43489</v>
      </c>
      <c r="H295" s="74"/>
      <c r="I295" s="84">
        <v>0.30000000000000004</v>
      </c>
      <c r="J295" s="87" t="s">
        <v>1032</v>
      </c>
      <c r="K295" s="87" t="s">
        <v>164</v>
      </c>
      <c r="L295" s="88">
        <v>2.5320999999999996E-2</v>
      </c>
      <c r="M295" s="88">
        <v>6.3E-3</v>
      </c>
      <c r="N295" s="84">
        <v>147651.01999999999</v>
      </c>
      <c r="O295" s="86">
        <v>100.77</v>
      </c>
      <c r="P295" s="84">
        <v>530.42899999999997</v>
      </c>
      <c r="Q295" s="85">
        <f t="shared" si="6"/>
        <v>1.0542648103084222E-4</v>
      </c>
      <c r="R295" s="85">
        <f>P295/'סכום נכסי הקרן'!$C$42</f>
        <v>1.0182725943178007E-5</v>
      </c>
    </row>
    <row r="296" spans="2:18" s="122" customFormat="1">
      <c r="B296" s="77" t="s">
        <v>3471</v>
      </c>
      <c r="C296" s="87" t="s">
        <v>2972</v>
      </c>
      <c r="D296" s="74">
        <v>6852</v>
      </c>
      <c r="E296" s="74"/>
      <c r="F296" s="74" t="s">
        <v>725</v>
      </c>
      <c r="G296" s="97">
        <v>43560</v>
      </c>
      <c r="H296" s="74"/>
      <c r="I296" s="84">
        <v>0.3</v>
      </c>
      <c r="J296" s="87" t="s">
        <v>1032</v>
      </c>
      <c r="K296" s="87" t="s">
        <v>164</v>
      </c>
      <c r="L296" s="88">
        <v>2.5320999999999996E-2</v>
      </c>
      <c r="M296" s="88">
        <v>6.3E-3</v>
      </c>
      <c r="N296" s="84">
        <v>527995.25</v>
      </c>
      <c r="O296" s="86">
        <v>100.77</v>
      </c>
      <c r="P296" s="84">
        <v>1896.7968600000002</v>
      </c>
      <c r="Q296" s="85">
        <f t="shared" si="6"/>
        <v>3.7700166880044478E-4</v>
      </c>
      <c r="R296" s="85">
        <f>P296/'סכום נכסי הקרן'!$C$42</f>
        <v>3.6413096937121814E-5</v>
      </c>
    </row>
    <row r="297" spans="2:18" s="122" customFormat="1">
      <c r="B297" s="77" t="s">
        <v>3471</v>
      </c>
      <c r="C297" s="87" t="s">
        <v>2972</v>
      </c>
      <c r="D297" s="74">
        <v>6911</v>
      </c>
      <c r="E297" s="74"/>
      <c r="F297" s="74" t="s">
        <v>725</v>
      </c>
      <c r="G297" s="97">
        <v>43606</v>
      </c>
      <c r="H297" s="74"/>
      <c r="I297" s="84">
        <v>0.3</v>
      </c>
      <c r="J297" s="87" t="s">
        <v>1032</v>
      </c>
      <c r="K297" s="87" t="s">
        <v>164</v>
      </c>
      <c r="L297" s="88">
        <v>2.5320999999999996E-2</v>
      </c>
      <c r="M297" s="88">
        <v>6.3E-3</v>
      </c>
      <c r="N297" s="84">
        <v>231700.62</v>
      </c>
      <c r="O297" s="86">
        <v>100.77</v>
      </c>
      <c r="P297" s="84">
        <v>832.37302999999997</v>
      </c>
      <c r="Q297" s="85">
        <f t="shared" si="6"/>
        <v>1.6543997303669232E-4</v>
      </c>
      <c r="R297" s="85">
        <f>P297/'סכום נכסי הקרן'!$C$42</f>
        <v>1.5979191271560731E-5</v>
      </c>
    </row>
    <row r="298" spans="2:18" s="122" customFormat="1">
      <c r="B298" s="77" t="s">
        <v>3471</v>
      </c>
      <c r="C298" s="87" t="s">
        <v>2972</v>
      </c>
      <c r="D298" s="74">
        <v>7162</v>
      </c>
      <c r="E298" s="74"/>
      <c r="F298" s="74" t="s">
        <v>725</v>
      </c>
      <c r="G298" s="97">
        <v>43720</v>
      </c>
      <c r="H298" s="74"/>
      <c r="I298" s="84">
        <v>0.3</v>
      </c>
      <c r="J298" s="87" t="s">
        <v>1032</v>
      </c>
      <c r="K298" s="87" t="s">
        <v>164</v>
      </c>
      <c r="L298" s="88">
        <v>2.5320999999999996E-2</v>
      </c>
      <c r="M298" s="88">
        <v>6.3E-3</v>
      </c>
      <c r="N298" s="84">
        <v>129907.76</v>
      </c>
      <c r="O298" s="86">
        <v>100.77</v>
      </c>
      <c r="P298" s="84">
        <v>466.68723999999997</v>
      </c>
      <c r="Q298" s="85">
        <f t="shared" si="6"/>
        <v>9.2757359524453062E-5</v>
      </c>
      <c r="R298" s="85">
        <f>P298/'סכום נכסי הקרן'!$C$42</f>
        <v>8.9590657111472814E-6</v>
      </c>
    </row>
    <row r="299" spans="2:18" s="122" customFormat="1">
      <c r="B299" s="77" t="s">
        <v>3471</v>
      </c>
      <c r="C299" s="87" t="s">
        <v>2972</v>
      </c>
      <c r="D299" s="74">
        <v>7217</v>
      </c>
      <c r="E299" s="74"/>
      <c r="F299" s="74" t="s">
        <v>725</v>
      </c>
      <c r="G299" s="97">
        <v>43749</v>
      </c>
      <c r="H299" s="74"/>
      <c r="I299" s="84">
        <v>0.29999999999999993</v>
      </c>
      <c r="J299" s="87" t="s">
        <v>1032</v>
      </c>
      <c r="K299" s="87" t="s">
        <v>164</v>
      </c>
      <c r="L299" s="88">
        <v>2.5320999999999996E-2</v>
      </c>
      <c r="M299" s="88">
        <v>6.3E-3</v>
      </c>
      <c r="N299" s="84">
        <v>117959.89</v>
      </c>
      <c r="O299" s="86">
        <v>100.77</v>
      </c>
      <c r="P299" s="84">
        <v>423.76509000000004</v>
      </c>
      <c r="Q299" s="85">
        <f t="shared" si="6"/>
        <v>8.4226281410741406E-5</v>
      </c>
      <c r="R299" s="85">
        <f>P299/'סכום נכסי הקרן'!$C$42</f>
        <v>8.1350826892122491E-6</v>
      </c>
    </row>
    <row r="300" spans="2:18" s="122" customFormat="1">
      <c r="B300" s="77" t="s">
        <v>3471</v>
      </c>
      <c r="C300" s="87" t="s">
        <v>2972</v>
      </c>
      <c r="D300" s="74">
        <v>7380</v>
      </c>
      <c r="E300" s="74"/>
      <c r="F300" s="74" t="s">
        <v>725</v>
      </c>
      <c r="G300" s="97">
        <v>43859</v>
      </c>
      <c r="H300" s="74"/>
      <c r="I300" s="84">
        <v>0.30000000000000004</v>
      </c>
      <c r="J300" s="87" t="s">
        <v>1032</v>
      </c>
      <c r="K300" s="87" t="s">
        <v>164</v>
      </c>
      <c r="L300" s="88">
        <v>2.5320999999999996E-2</v>
      </c>
      <c r="M300" s="88">
        <v>6.3E-3</v>
      </c>
      <c r="N300" s="84">
        <v>338218.14</v>
      </c>
      <c r="O300" s="86">
        <v>100.77</v>
      </c>
      <c r="P300" s="84">
        <v>1215.03197</v>
      </c>
      <c r="Q300" s="85">
        <f t="shared" ref="Q300:Q363" si="7">P300/$P$10</f>
        <v>2.4149611906036788E-4</v>
      </c>
      <c r="R300" s="85">
        <f>P300/'סכום נכסי הקרן'!$C$42</f>
        <v>2.332515296620223E-5</v>
      </c>
    </row>
    <row r="301" spans="2:18" s="122" customFormat="1">
      <c r="B301" s="77" t="s">
        <v>3471</v>
      </c>
      <c r="C301" s="87" t="s">
        <v>2972</v>
      </c>
      <c r="D301" s="74">
        <v>7416</v>
      </c>
      <c r="E301" s="74"/>
      <c r="F301" s="74" t="s">
        <v>725</v>
      </c>
      <c r="G301" s="97">
        <v>43872</v>
      </c>
      <c r="H301" s="74"/>
      <c r="I301" s="84">
        <v>0.3</v>
      </c>
      <c r="J301" s="87" t="s">
        <v>1032</v>
      </c>
      <c r="K301" s="87" t="s">
        <v>164</v>
      </c>
      <c r="L301" s="88">
        <v>2.5326000000000001E-2</v>
      </c>
      <c r="M301" s="88">
        <v>6.3E-3</v>
      </c>
      <c r="N301" s="84">
        <v>568854.71</v>
      </c>
      <c r="O301" s="86">
        <v>100.77</v>
      </c>
      <c r="P301" s="84">
        <v>2043.58232</v>
      </c>
      <c r="Q301" s="85">
        <f t="shared" si="7"/>
        <v>4.0617630765747074E-4</v>
      </c>
      <c r="R301" s="85">
        <f>P301/'סכום נכסי הקרן'!$C$42</f>
        <v>3.9230959670161137E-5</v>
      </c>
    </row>
    <row r="302" spans="2:18" s="122" customFormat="1">
      <c r="B302" s="77" t="s">
        <v>3471</v>
      </c>
      <c r="C302" s="87" t="s">
        <v>2972</v>
      </c>
      <c r="D302" s="74">
        <v>6660</v>
      </c>
      <c r="E302" s="74"/>
      <c r="F302" s="74" t="s">
        <v>725</v>
      </c>
      <c r="G302" s="97">
        <v>43454</v>
      </c>
      <c r="H302" s="74"/>
      <c r="I302" s="84">
        <v>0.3</v>
      </c>
      <c r="J302" s="87" t="s">
        <v>1032</v>
      </c>
      <c r="K302" s="87" t="s">
        <v>164</v>
      </c>
      <c r="L302" s="88">
        <v>2.5325E-2</v>
      </c>
      <c r="M302" s="88">
        <v>6.3E-3</v>
      </c>
      <c r="N302" s="84">
        <v>27278752.579999998</v>
      </c>
      <c r="O302" s="86">
        <v>100.77</v>
      </c>
      <c r="P302" s="84">
        <v>97997.564870000002</v>
      </c>
      <c r="Q302" s="85">
        <f t="shared" si="7"/>
        <v>1.9477702791204452E-2</v>
      </c>
      <c r="R302" s="85">
        <f>P302/'סכום נכסי הקרן'!$C$42</f>
        <v>1.8812741124071626E-3</v>
      </c>
    </row>
    <row r="303" spans="2:18" s="122" customFormat="1">
      <c r="B303" s="77" t="s">
        <v>3471</v>
      </c>
      <c r="C303" s="87" t="s">
        <v>2972</v>
      </c>
      <c r="D303" s="74">
        <v>6700</v>
      </c>
      <c r="E303" s="74"/>
      <c r="F303" s="74" t="s">
        <v>725</v>
      </c>
      <c r="G303" s="97">
        <v>43475</v>
      </c>
      <c r="H303" s="74"/>
      <c r="I303" s="84">
        <v>0.3</v>
      </c>
      <c r="J303" s="87" t="s">
        <v>1032</v>
      </c>
      <c r="K303" s="87" t="s">
        <v>164</v>
      </c>
      <c r="L303" s="88">
        <v>2.5320999999999996E-2</v>
      </c>
      <c r="M303" s="88">
        <v>6.3E-3</v>
      </c>
      <c r="N303" s="84">
        <v>122814.33</v>
      </c>
      <c r="O303" s="86">
        <v>100.77</v>
      </c>
      <c r="P303" s="84">
        <v>441.20440000000002</v>
      </c>
      <c r="Q303" s="85">
        <f t="shared" si="7"/>
        <v>8.7692466489057221E-5</v>
      </c>
      <c r="R303" s="85">
        <f>P303/'סכום נכסי הקרן'!$C$42</f>
        <v>8.4698677676452211E-6</v>
      </c>
    </row>
    <row r="304" spans="2:18" s="122" customFormat="1">
      <c r="B304" s="77" t="s">
        <v>3472</v>
      </c>
      <c r="C304" s="87" t="s">
        <v>2972</v>
      </c>
      <c r="D304" s="74">
        <v>7533</v>
      </c>
      <c r="E304" s="74"/>
      <c r="F304" s="74" t="s">
        <v>725</v>
      </c>
      <c r="G304" s="97">
        <v>37886</v>
      </c>
      <c r="H304" s="74"/>
      <c r="I304" s="84">
        <v>5.67</v>
      </c>
      <c r="J304" s="87" t="s">
        <v>957</v>
      </c>
      <c r="K304" s="87" t="s">
        <v>164</v>
      </c>
      <c r="L304" s="88">
        <v>3.9893999999999999E-2</v>
      </c>
      <c r="M304" s="88">
        <v>4.1099999999999998E-2</v>
      </c>
      <c r="N304" s="84">
        <v>208655.38</v>
      </c>
      <c r="O304" s="86">
        <v>100</v>
      </c>
      <c r="P304" s="84">
        <v>743.85643000000005</v>
      </c>
      <c r="Q304" s="85">
        <f t="shared" si="7"/>
        <v>1.4784667845661726E-4</v>
      </c>
      <c r="R304" s="85">
        <f>P304/'סכום נכסי הקרן'!$C$42</f>
        <v>1.4279924679383625E-5</v>
      </c>
    </row>
    <row r="305" spans="2:18" s="122" customFormat="1">
      <c r="B305" s="77" t="s">
        <v>3472</v>
      </c>
      <c r="C305" s="87" t="s">
        <v>2972</v>
      </c>
      <c r="D305" s="74">
        <v>6954</v>
      </c>
      <c r="E305" s="74"/>
      <c r="F305" s="74" t="s">
        <v>725</v>
      </c>
      <c r="G305" s="97">
        <v>43644</v>
      </c>
      <c r="H305" s="74"/>
      <c r="I305" s="84">
        <v>5.62</v>
      </c>
      <c r="J305" s="87" t="s">
        <v>957</v>
      </c>
      <c r="K305" s="87" t="s">
        <v>164</v>
      </c>
      <c r="L305" s="88">
        <v>4.4500999999999999E-2</v>
      </c>
      <c r="M305" s="88">
        <v>4.5400000000000003E-2</v>
      </c>
      <c r="N305" s="84">
        <v>970247.61</v>
      </c>
      <c r="O305" s="86">
        <v>99.86</v>
      </c>
      <c r="P305" s="84">
        <v>3454.0902900000001</v>
      </c>
      <c r="Q305" s="85">
        <f t="shared" si="7"/>
        <v>6.8652465162632765E-4</v>
      </c>
      <c r="R305" s="85">
        <f>P305/'סכום נכסי הקרן'!$C$42</f>
        <v>6.6308695048842065E-5</v>
      </c>
    </row>
    <row r="306" spans="2:18" s="122" customFormat="1">
      <c r="B306" s="77" t="s">
        <v>3472</v>
      </c>
      <c r="C306" s="87" t="s">
        <v>2972</v>
      </c>
      <c r="D306" s="74">
        <v>7347</v>
      </c>
      <c r="E306" s="74"/>
      <c r="F306" s="74" t="s">
        <v>725</v>
      </c>
      <c r="G306" s="97">
        <v>43836</v>
      </c>
      <c r="H306" s="74"/>
      <c r="I306" s="84">
        <v>5.6700000000000008</v>
      </c>
      <c r="J306" s="87" t="s">
        <v>957</v>
      </c>
      <c r="K306" s="87" t="s">
        <v>164</v>
      </c>
      <c r="L306" s="88">
        <v>4.3799999999999999E-2</v>
      </c>
      <c r="M306" s="88">
        <v>4.1399999999999999E-2</v>
      </c>
      <c r="N306" s="84">
        <v>3703632</v>
      </c>
      <c r="O306" s="86">
        <v>99.86</v>
      </c>
      <c r="P306" s="84">
        <v>13184.963449999999</v>
      </c>
      <c r="Q306" s="85">
        <f t="shared" si="7"/>
        <v>2.6206038867666983E-3</v>
      </c>
      <c r="R306" s="85">
        <f>P306/'סכום נכסי הקרן'!$C$42</f>
        <v>2.5311374261620086E-4</v>
      </c>
    </row>
    <row r="307" spans="2:18" s="122" customFormat="1">
      <c r="B307" s="77" t="s">
        <v>3472</v>
      </c>
      <c r="C307" s="87" t="s">
        <v>2972</v>
      </c>
      <c r="D307" s="74">
        <v>7399</v>
      </c>
      <c r="E307" s="74"/>
      <c r="F307" s="74" t="s">
        <v>725</v>
      </c>
      <c r="G307" s="97">
        <v>43866</v>
      </c>
      <c r="H307" s="74"/>
      <c r="I307" s="84">
        <v>5.67</v>
      </c>
      <c r="J307" s="87" t="s">
        <v>957</v>
      </c>
      <c r="K307" s="87" t="s">
        <v>164</v>
      </c>
      <c r="L307" s="88">
        <v>4.3799999999999999E-2</v>
      </c>
      <c r="M307" s="88">
        <v>4.1399999999999999E-2</v>
      </c>
      <c r="N307" s="84">
        <v>2091770.2</v>
      </c>
      <c r="O307" s="86">
        <v>99.86</v>
      </c>
      <c r="P307" s="84">
        <v>7446.7208499999997</v>
      </c>
      <c r="Q307" s="85">
        <f t="shared" si="7"/>
        <v>1.4800879560403037E-3</v>
      </c>
      <c r="R307" s="85">
        <f>P307/'סכום נכסי הקרן'!$C$42</f>
        <v>1.4295582932098279E-4</v>
      </c>
    </row>
    <row r="308" spans="2:18" s="122" customFormat="1">
      <c r="B308" s="77" t="s">
        <v>3472</v>
      </c>
      <c r="C308" s="87" t="s">
        <v>2972</v>
      </c>
      <c r="D308" s="74">
        <v>7471</v>
      </c>
      <c r="E308" s="74"/>
      <c r="F308" s="74" t="s">
        <v>725</v>
      </c>
      <c r="G308" s="97">
        <v>37753</v>
      </c>
      <c r="H308" s="74"/>
      <c r="I308" s="84">
        <v>5.67</v>
      </c>
      <c r="J308" s="87" t="s">
        <v>957</v>
      </c>
      <c r="K308" s="87" t="s">
        <v>164</v>
      </c>
      <c r="L308" s="88">
        <v>4.3799999999999999E-2</v>
      </c>
      <c r="M308" s="88">
        <v>4.0700000000000014E-2</v>
      </c>
      <c r="N308" s="84">
        <v>829405.14</v>
      </c>
      <c r="O308" s="86">
        <v>100.22</v>
      </c>
      <c r="P308" s="84">
        <v>2963.3343799999998</v>
      </c>
      <c r="Q308" s="85">
        <f t="shared" si="7"/>
        <v>5.8898347526457374E-4</v>
      </c>
      <c r="R308" s="85">
        <f>P308/'סכום נכסי הקרן'!$C$42</f>
        <v>5.6887579430116598E-5</v>
      </c>
    </row>
    <row r="309" spans="2:18" s="122" customFormat="1">
      <c r="B309" s="77" t="s">
        <v>3472</v>
      </c>
      <c r="C309" s="87" t="s">
        <v>2972</v>
      </c>
      <c r="D309" s="74">
        <v>7020</v>
      </c>
      <c r="E309" s="74"/>
      <c r="F309" s="74" t="s">
        <v>725</v>
      </c>
      <c r="G309" s="97">
        <v>39206</v>
      </c>
      <c r="H309" s="74"/>
      <c r="I309" s="84">
        <v>5.66</v>
      </c>
      <c r="J309" s="87" t="s">
        <v>957</v>
      </c>
      <c r="K309" s="87" t="s">
        <v>164</v>
      </c>
      <c r="L309" s="88">
        <v>4.3799999999999999E-2</v>
      </c>
      <c r="M309" s="88">
        <v>4.2700000000000002E-2</v>
      </c>
      <c r="N309" s="84">
        <v>114760.46</v>
      </c>
      <c r="O309" s="86">
        <v>99.86</v>
      </c>
      <c r="P309" s="84">
        <v>408.54828999999995</v>
      </c>
      <c r="Q309" s="85">
        <f t="shared" si="7"/>
        <v>8.1201835770419842E-5</v>
      </c>
      <c r="R309" s="85">
        <f>P309/'סכום נכסי הקרן'!$C$42</f>
        <v>7.8429634722536141E-6</v>
      </c>
    </row>
    <row r="310" spans="2:18" s="122" customFormat="1">
      <c r="B310" s="77" t="s">
        <v>3472</v>
      </c>
      <c r="C310" s="87" t="s">
        <v>2972</v>
      </c>
      <c r="D310" s="74">
        <v>7301</v>
      </c>
      <c r="E310" s="74"/>
      <c r="F310" s="74" t="s">
        <v>725</v>
      </c>
      <c r="G310" s="97">
        <v>43804</v>
      </c>
      <c r="H310" s="74"/>
      <c r="I310" s="84">
        <v>5.65</v>
      </c>
      <c r="J310" s="87" t="s">
        <v>957</v>
      </c>
      <c r="K310" s="87" t="s">
        <v>164</v>
      </c>
      <c r="L310" s="88">
        <v>4.3799999999999999E-2</v>
      </c>
      <c r="M310" s="88">
        <v>4.1400000000000006E-2</v>
      </c>
      <c r="N310" s="84">
        <v>1564915.35</v>
      </c>
      <c r="O310" s="86">
        <v>99.86</v>
      </c>
      <c r="P310" s="84">
        <v>5571.1128399999998</v>
      </c>
      <c r="Q310" s="85">
        <f t="shared" si="7"/>
        <v>1.1072977196701945E-3</v>
      </c>
      <c r="R310" s="85">
        <f>P310/'סכום נכסי הקרן'!$C$42</f>
        <v>1.069494979502254E-4</v>
      </c>
    </row>
    <row r="311" spans="2:18" s="122" customFormat="1">
      <c r="B311" s="77" t="s">
        <v>3472</v>
      </c>
      <c r="C311" s="87" t="s">
        <v>2972</v>
      </c>
      <c r="D311" s="74">
        <v>7336</v>
      </c>
      <c r="E311" s="74"/>
      <c r="F311" s="74" t="s">
        <v>725</v>
      </c>
      <c r="G311" s="97">
        <v>43830</v>
      </c>
      <c r="H311" s="74"/>
      <c r="I311" s="84">
        <v>5.67</v>
      </c>
      <c r="J311" s="87" t="s">
        <v>957</v>
      </c>
      <c r="K311" s="87" t="s">
        <v>164</v>
      </c>
      <c r="L311" s="88">
        <v>4.3799999999999999E-2</v>
      </c>
      <c r="M311" s="88">
        <v>4.1399999999999999E-2</v>
      </c>
      <c r="N311" s="84">
        <v>104328.67</v>
      </c>
      <c r="O311" s="86">
        <v>99.86</v>
      </c>
      <c r="P311" s="84">
        <v>371.411</v>
      </c>
      <c r="Q311" s="85">
        <f t="shared" si="7"/>
        <v>7.3820539122382338E-5</v>
      </c>
      <c r="R311" s="85">
        <f>P311/'סכום נכסי הקרן'!$C$42</f>
        <v>7.1300332849103033E-6</v>
      </c>
    </row>
    <row r="312" spans="2:18" s="122" customFormat="1">
      <c r="B312" s="77" t="s">
        <v>3473</v>
      </c>
      <c r="C312" s="87" t="s">
        <v>2972</v>
      </c>
      <c r="D312" s="74">
        <v>7319</v>
      </c>
      <c r="E312" s="74"/>
      <c r="F312" s="74" t="s">
        <v>725</v>
      </c>
      <c r="G312" s="97">
        <v>43818</v>
      </c>
      <c r="H312" s="74"/>
      <c r="I312" s="84">
        <v>2.37</v>
      </c>
      <c r="J312" s="87" t="s">
        <v>1032</v>
      </c>
      <c r="K312" s="87" t="s">
        <v>164</v>
      </c>
      <c r="L312" s="88">
        <v>3.5819999999999998E-2</v>
      </c>
      <c r="M312" s="88">
        <v>3.4099999999999998E-2</v>
      </c>
      <c r="N312" s="84">
        <v>22060333.629999999</v>
      </c>
      <c r="O312" s="86">
        <v>99.5</v>
      </c>
      <c r="P312" s="84">
        <v>78251.863980000009</v>
      </c>
      <c r="Q312" s="85">
        <f t="shared" si="7"/>
        <v>1.5553106360164165E-2</v>
      </c>
      <c r="R312" s="85">
        <f>P312/'סכום נכסי הקרן'!$C$42</f>
        <v>1.5022128983354659E-3</v>
      </c>
    </row>
    <row r="313" spans="2:18" s="122" customFormat="1">
      <c r="B313" s="77" t="s">
        <v>3473</v>
      </c>
      <c r="C313" s="87" t="s">
        <v>2972</v>
      </c>
      <c r="D313" s="74">
        <v>7320</v>
      </c>
      <c r="E313" s="74"/>
      <c r="F313" s="74" t="s">
        <v>725</v>
      </c>
      <c r="G313" s="97">
        <v>43819</v>
      </c>
      <c r="H313" s="74"/>
      <c r="I313" s="84">
        <v>2.37</v>
      </c>
      <c r="J313" s="87" t="s">
        <v>1032</v>
      </c>
      <c r="K313" s="87" t="s">
        <v>164</v>
      </c>
      <c r="L313" s="88">
        <v>3.5819999999999998E-2</v>
      </c>
      <c r="M313" s="88">
        <v>3.4100000000000005E-2</v>
      </c>
      <c r="N313" s="84">
        <v>673395.45</v>
      </c>
      <c r="O313" s="86">
        <v>99.5</v>
      </c>
      <c r="P313" s="84">
        <v>2388.6515299999996</v>
      </c>
      <c r="Q313" s="85">
        <f t="shared" si="7"/>
        <v>4.7476123141237985E-4</v>
      </c>
      <c r="R313" s="85">
        <f>P313/'סכום נכסי הקרן'!$C$42</f>
        <v>4.5855305618174797E-5</v>
      </c>
    </row>
    <row r="314" spans="2:18" s="122" customFormat="1">
      <c r="B314" s="77" t="s">
        <v>3473</v>
      </c>
      <c r="C314" s="87" t="s">
        <v>2972</v>
      </c>
      <c r="D314" s="74">
        <v>7441</v>
      </c>
      <c r="E314" s="74"/>
      <c r="F314" s="74" t="s">
        <v>725</v>
      </c>
      <c r="G314" s="97">
        <v>43885</v>
      </c>
      <c r="H314" s="74"/>
      <c r="I314" s="84">
        <v>2.37</v>
      </c>
      <c r="J314" s="87" t="s">
        <v>1032</v>
      </c>
      <c r="K314" s="87" t="s">
        <v>164</v>
      </c>
      <c r="L314" s="88">
        <v>3.5819999999999998E-2</v>
      </c>
      <c r="M314" s="88">
        <v>3.44E-2</v>
      </c>
      <c r="N314" s="84">
        <v>187647.63</v>
      </c>
      <c r="O314" s="86">
        <v>99.5</v>
      </c>
      <c r="P314" s="84">
        <v>665.61897999999997</v>
      </c>
      <c r="Q314" s="85">
        <f t="shared" si="7"/>
        <v>1.3229643697599218E-4</v>
      </c>
      <c r="R314" s="85">
        <f>P314/'סכום נכסי הקרן'!$C$42</f>
        <v>1.2777988488407843E-5</v>
      </c>
    </row>
    <row r="315" spans="2:18" s="122" customFormat="1">
      <c r="B315" s="77" t="s">
        <v>3474</v>
      </c>
      <c r="C315" s="87" t="s">
        <v>2972</v>
      </c>
      <c r="D315" s="74" t="s">
        <v>3156</v>
      </c>
      <c r="E315" s="74"/>
      <c r="F315" s="74" t="s">
        <v>725</v>
      </c>
      <c r="G315" s="97">
        <v>42921</v>
      </c>
      <c r="H315" s="74"/>
      <c r="I315" s="84">
        <v>3.6199999999999997</v>
      </c>
      <c r="J315" s="87" t="s">
        <v>957</v>
      </c>
      <c r="K315" s="87" t="s">
        <v>164</v>
      </c>
      <c r="L315" s="88">
        <v>3.7393999999999997E-2</v>
      </c>
      <c r="M315" s="88">
        <v>8.0399999999999985E-2</v>
      </c>
      <c r="N315" s="84">
        <v>6156378.7599999998</v>
      </c>
      <c r="O315" s="86">
        <v>89.98</v>
      </c>
      <c r="P315" s="84">
        <v>19748.351119999999</v>
      </c>
      <c r="Q315" s="85">
        <f t="shared" si="7"/>
        <v>3.9251231828257727E-3</v>
      </c>
      <c r="R315" s="85">
        <f>P315/'סכום נכסי הקרן'!$C$42</f>
        <v>3.7911209093886736E-4</v>
      </c>
    </row>
    <row r="316" spans="2:18" s="122" customFormat="1">
      <c r="B316" s="77" t="s">
        <v>3474</v>
      </c>
      <c r="C316" s="87" t="s">
        <v>2972</v>
      </c>
      <c r="D316" s="74">
        <v>6497</v>
      </c>
      <c r="E316" s="74"/>
      <c r="F316" s="74" t="s">
        <v>725</v>
      </c>
      <c r="G316" s="97">
        <v>43342</v>
      </c>
      <c r="H316" s="74"/>
      <c r="I316" s="84">
        <v>4.87</v>
      </c>
      <c r="J316" s="87" t="s">
        <v>957</v>
      </c>
      <c r="K316" s="87" t="s">
        <v>164</v>
      </c>
      <c r="L316" s="88">
        <v>3.7393999999999997E-2</v>
      </c>
      <c r="M316" s="88">
        <v>6.25E-2</v>
      </c>
      <c r="N316" s="84">
        <v>1168497.23</v>
      </c>
      <c r="O316" s="86">
        <v>89.98</v>
      </c>
      <c r="P316" s="84">
        <v>3748.29009</v>
      </c>
      <c r="Q316" s="85">
        <f t="shared" si="7"/>
        <v>7.4499892364761149E-4</v>
      </c>
      <c r="R316" s="85">
        <f>P316/'סכום נכסי הקרן'!$C$42</f>
        <v>7.1956493219639257E-5</v>
      </c>
    </row>
    <row r="317" spans="2:18" s="122" customFormat="1">
      <c r="B317" s="77" t="s">
        <v>3475</v>
      </c>
      <c r="C317" s="87" t="s">
        <v>2972</v>
      </c>
      <c r="D317" s="74" t="s">
        <v>3157</v>
      </c>
      <c r="E317" s="74"/>
      <c r="F317" s="74" t="s">
        <v>725</v>
      </c>
      <c r="G317" s="97">
        <v>43079</v>
      </c>
      <c r="H317" s="74"/>
      <c r="I317" s="84">
        <v>3.0999999999999996</v>
      </c>
      <c r="J317" s="87" t="s">
        <v>957</v>
      </c>
      <c r="K317" s="87" t="s">
        <v>164</v>
      </c>
      <c r="L317" s="88">
        <v>3.7393999999999997E-2</v>
      </c>
      <c r="M317" s="88">
        <v>5.2899999999999989E-2</v>
      </c>
      <c r="N317" s="84">
        <v>12755116.890000001</v>
      </c>
      <c r="O317" s="86">
        <v>95.82</v>
      </c>
      <c r="P317" s="84">
        <v>43571.261200000001</v>
      </c>
      <c r="Q317" s="85">
        <f t="shared" si="7"/>
        <v>8.6600935137250649E-3</v>
      </c>
      <c r="R317" s="85">
        <f>P317/'סכום נכסי הקרן'!$C$42</f>
        <v>8.3644410806766852E-4</v>
      </c>
    </row>
    <row r="318" spans="2:18" s="122" customFormat="1">
      <c r="B318" s="77" t="s">
        <v>3475</v>
      </c>
      <c r="C318" s="87" t="s">
        <v>2972</v>
      </c>
      <c r="D318" s="74">
        <v>6864</v>
      </c>
      <c r="E318" s="74"/>
      <c r="F318" s="74" t="s">
        <v>725</v>
      </c>
      <c r="G318" s="97">
        <v>43565</v>
      </c>
      <c r="H318" s="74"/>
      <c r="I318" s="84">
        <v>1.7899999999999998</v>
      </c>
      <c r="J318" s="87" t="s">
        <v>957</v>
      </c>
      <c r="K318" s="87" t="s">
        <v>164</v>
      </c>
      <c r="L318" s="88">
        <v>3.7393999999999997E-2</v>
      </c>
      <c r="M318" s="88">
        <v>7.22E-2</v>
      </c>
      <c r="N318" s="84">
        <v>5399686.1500000004</v>
      </c>
      <c r="O318" s="86">
        <v>94.47</v>
      </c>
      <c r="P318" s="84">
        <v>18185.362140000001</v>
      </c>
      <c r="Q318" s="85">
        <f t="shared" si="7"/>
        <v>3.6144681695226065E-3</v>
      </c>
      <c r="R318" s="85">
        <f>P318/'סכום נכסי הקרן'!$C$42</f>
        <v>3.4910715449016771E-4</v>
      </c>
    </row>
    <row r="319" spans="2:18" s="122" customFormat="1">
      <c r="B319" s="77" t="s">
        <v>3475</v>
      </c>
      <c r="C319" s="87" t="s">
        <v>2972</v>
      </c>
      <c r="D319" s="74">
        <v>6800</v>
      </c>
      <c r="E319" s="74"/>
      <c r="F319" s="74" t="s">
        <v>725</v>
      </c>
      <c r="G319" s="97">
        <v>37833</v>
      </c>
      <c r="H319" s="74"/>
      <c r="I319" s="84">
        <v>3.06</v>
      </c>
      <c r="J319" s="87" t="s">
        <v>957</v>
      </c>
      <c r="K319" s="87" t="s">
        <v>164</v>
      </c>
      <c r="L319" s="88">
        <v>3.7393999999999997E-2</v>
      </c>
      <c r="M319" s="88">
        <v>5.7399999999999993E-2</v>
      </c>
      <c r="N319" s="84">
        <v>49581.26</v>
      </c>
      <c r="O319" s="86">
        <v>95.82</v>
      </c>
      <c r="P319" s="84">
        <v>169.36873</v>
      </c>
      <c r="Q319" s="85">
        <f t="shared" si="7"/>
        <v>3.3663222034547208E-5</v>
      </c>
      <c r="R319" s="85">
        <f>P319/'סכום נכסי הקרן'!$C$42</f>
        <v>3.2513971915828722E-6</v>
      </c>
    </row>
    <row r="320" spans="2:18" s="122" customFormat="1">
      <c r="B320" s="77" t="s">
        <v>3475</v>
      </c>
      <c r="C320" s="87" t="s">
        <v>2972</v>
      </c>
      <c r="D320" s="74">
        <v>6783</v>
      </c>
      <c r="E320" s="74"/>
      <c r="F320" s="74" t="s">
        <v>725</v>
      </c>
      <c r="G320" s="97">
        <v>43521</v>
      </c>
      <c r="H320" s="74"/>
      <c r="I320" s="84">
        <v>3.0599999999999996</v>
      </c>
      <c r="J320" s="87" t="s">
        <v>957</v>
      </c>
      <c r="K320" s="87" t="s">
        <v>164</v>
      </c>
      <c r="L320" s="88">
        <v>3.7393999999999997E-2</v>
      </c>
      <c r="M320" s="88">
        <v>5.7399999999999993E-2</v>
      </c>
      <c r="N320" s="84">
        <v>396092.99</v>
      </c>
      <c r="O320" s="86">
        <v>95.82</v>
      </c>
      <c r="P320" s="84">
        <v>1353.0468700000001</v>
      </c>
      <c r="Q320" s="85">
        <f t="shared" si="7"/>
        <v>2.6892754765274045E-4</v>
      </c>
      <c r="R320" s="85">
        <f>P320/'סכום נכסי הקרן'!$C$42</f>
        <v>2.597464592902123E-5</v>
      </c>
    </row>
    <row r="321" spans="2:18" s="122" customFormat="1">
      <c r="B321" s="77" t="s">
        <v>3476</v>
      </c>
      <c r="C321" s="87" t="s">
        <v>2972</v>
      </c>
      <c r="D321" s="74">
        <v>7407</v>
      </c>
      <c r="E321" s="74"/>
      <c r="F321" s="74" t="s">
        <v>725</v>
      </c>
      <c r="G321" s="97">
        <v>43866</v>
      </c>
      <c r="H321" s="74"/>
      <c r="I321" s="84">
        <v>4.26</v>
      </c>
      <c r="J321" s="87" t="s">
        <v>1032</v>
      </c>
      <c r="K321" s="87" t="s">
        <v>164</v>
      </c>
      <c r="L321" s="88">
        <v>3.1200000000000002E-2</v>
      </c>
      <c r="M321" s="88">
        <v>3.9699999999999999E-2</v>
      </c>
      <c r="N321" s="84">
        <v>19395212.059999999</v>
      </c>
      <c r="O321" s="86">
        <v>97.56</v>
      </c>
      <c r="P321" s="84">
        <v>67456.821370000005</v>
      </c>
      <c r="Q321" s="85">
        <f t="shared" si="7"/>
        <v>1.3407515989067751E-2</v>
      </c>
      <c r="R321" s="85">
        <f>P321/'סכום נכסי הקרן'!$C$42</f>
        <v>1.294978828473978E-3</v>
      </c>
    </row>
    <row r="322" spans="2:18" s="122" customFormat="1">
      <c r="B322" s="77" t="s">
        <v>3476</v>
      </c>
      <c r="C322" s="87" t="s">
        <v>2972</v>
      </c>
      <c r="D322" s="74">
        <v>7489</v>
      </c>
      <c r="E322" s="74"/>
      <c r="F322" s="74" t="s">
        <v>725</v>
      </c>
      <c r="G322" s="97">
        <v>37808</v>
      </c>
      <c r="H322" s="74"/>
      <c r="I322" s="84">
        <v>4.2699999999999996</v>
      </c>
      <c r="J322" s="87" t="s">
        <v>1032</v>
      </c>
      <c r="K322" s="87" t="s">
        <v>164</v>
      </c>
      <c r="L322" s="88">
        <v>3.1200000000000002E-2</v>
      </c>
      <c r="M322" s="88">
        <v>3.9799999999999995E-2</v>
      </c>
      <c r="N322" s="84">
        <v>174626.19</v>
      </c>
      <c r="O322" s="86">
        <v>97.49</v>
      </c>
      <c r="P322" s="84">
        <v>606.91655000000003</v>
      </c>
      <c r="Q322" s="85">
        <f t="shared" si="7"/>
        <v>1.2062891762305458E-4</v>
      </c>
      <c r="R322" s="85">
        <f>P322/'סכום נכסי הקרן'!$C$42</f>
        <v>1.1651069038512399E-5</v>
      </c>
    </row>
    <row r="323" spans="2:18" s="122" customFormat="1">
      <c r="B323" s="77" t="s">
        <v>3477</v>
      </c>
      <c r="C323" s="87" t="s">
        <v>2972</v>
      </c>
      <c r="D323" s="74">
        <v>6438</v>
      </c>
      <c r="E323" s="74"/>
      <c r="F323" s="74" t="s">
        <v>725</v>
      </c>
      <c r="G323" s="97">
        <v>43304</v>
      </c>
      <c r="H323" s="74"/>
      <c r="I323" s="84">
        <v>4.38</v>
      </c>
      <c r="J323" s="87" t="s">
        <v>1025</v>
      </c>
      <c r="K323" s="87" t="s">
        <v>166</v>
      </c>
      <c r="L323" s="88">
        <v>1.8970000000000001E-2</v>
      </c>
      <c r="M323" s="88">
        <v>2.8300000000000002E-2</v>
      </c>
      <c r="N323" s="84">
        <v>20999505.100000001</v>
      </c>
      <c r="O323" s="86">
        <v>96.92</v>
      </c>
      <c r="P323" s="84">
        <v>79381.71471</v>
      </c>
      <c r="Q323" s="85">
        <f t="shared" si="7"/>
        <v>1.5777672110818874E-2</v>
      </c>
      <c r="R323" s="85">
        <f>P323/'סכום נכסי הקרן'!$C$42</f>
        <v>1.5239028141211591E-3</v>
      </c>
    </row>
    <row r="324" spans="2:18" s="122" customFormat="1">
      <c r="B324" s="77" t="s">
        <v>3478</v>
      </c>
      <c r="C324" s="87" t="s">
        <v>2972</v>
      </c>
      <c r="D324" s="74">
        <v>7323</v>
      </c>
      <c r="E324" s="74"/>
      <c r="F324" s="74" t="s">
        <v>725</v>
      </c>
      <c r="G324" s="97">
        <v>43822</v>
      </c>
      <c r="H324" s="74"/>
      <c r="I324" s="84">
        <v>3.6</v>
      </c>
      <c r="J324" s="87" t="s">
        <v>957</v>
      </c>
      <c r="K324" s="87" t="s">
        <v>164</v>
      </c>
      <c r="L324" s="88">
        <v>5.4501000000000001E-2</v>
      </c>
      <c r="M324" s="88">
        <v>5.7299999999999997E-2</v>
      </c>
      <c r="N324" s="84">
        <v>1962552.99</v>
      </c>
      <c r="O324" s="86">
        <v>99.5</v>
      </c>
      <c r="P324" s="84">
        <v>6961.5188399999997</v>
      </c>
      <c r="Q324" s="85">
        <f t="shared" si="7"/>
        <v>1.3836506562256415E-3</v>
      </c>
      <c r="R324" s="85">
        <f>P324/'סכום נכסי הקרן'!$C$42</f>
        <v>1.3364133276270806E-4</v>
      </c>
    </row>
    <row r="325" spans="2:18" s="122" customFormat="1">
      <c r="B325" s="77" t="s">
        <v>3478</v>
      </c>
      <c r="C325" s="87" t="s">
        <v>2972</v>
      </c>
      <c r="D325" s="74">
        <v>7324</v>
      </c>
      <c r="E325" s="74"/>
      <c r="F325" s="74" t="s">
        <v>725</v>
      </c>
      <c r="G325" s="97">
        <v>43822</v>
      </c>
      <c r="H325" s="74"/>
      <c r="I325" s="84">
        <v>3.5899999999999994</v>
      </c>
      <c r="J325" s="87" t="s">
        <v>957</v>
      </c>
      <c r="K325" s="87" t="s">
        <v>164</v>
      </c>
      <c r="L325" s="88">
        <v>5.6132000000000001E-2</v>
      </c>
      <c r="M325" s="88">
        <v>5.7000000000000002E-2</v>
      </c>
      <c r="N325" s="84">
        <v>1996900.32</v>
      </c>
      <c r="O325" s="86">
        <v>100.13</v>
      </c>
      <c r="P325" s="84">
        <v>7128.2041300000001</v>
      </c>
      <c r="Q325" s="85">
        <f t="shared" si="7"/>
        <v>1.4167805257544672E-3</v>
      </c>
      <c r="R325" s="85">
        <f>P325/'סכום נכסי הקרן'!$C$42</f>
        <v>1.368412155497147E-4</v>
      </c>
    </row>
    <row r="326" spans="2:18" s="122" customFormat="1">
      <c r="B326" s="77" t="s">
        <v>3478</v>
      </c>
      <c r="C326" s="87" t="s">
        <v>2972</v>
      </c>
      <c r="D326" s="74">
        <v>7325</v>
      </c>
      <c r="E326" s="74"/>
      <c r="F326" s="74" t="s">
        <v>725</v>
      </c>
      <c r="G326" s="97">
        <v>37530</v>
      </c>
      <c r="H326" s="74"/>
      <c r="I326" s="84">
        <v>3.57</v>
      </c>
      <c r="J326" s="87" t="s">
        <v>957</v>
      </c>
      <c r="K326" s="87" t="s">
        <v>164</v>
      </c>
      <c r="L326" s="88">
        <v>5.7770999999999996E-2</v>
      </c>
      <c r="M326" s="88">
        <v>5.7099999999999998E-2</v>
      </c>
      <c r="N326" s="84">
        <v>1996900.32</v>
      </c>
      <c r="O326" s="86">
        <v>100.57</v>
      </c>
      <c r="P326" s="84">
        <v>7159.5278200000002</v>
      </c>
      <c r="Q326" s="85">
        <f t="shared" si="7"/>
        <v>1.4230063286604189E-3</v>
      </c>
      <c r="R326" s="85">
        <f>P326/'סכום נכסי הקרן'!$C$42</f>
        <v>1.3744254117632838E-4</v>
      </c>
    </row>
    <row r="327" spans="2:18" s="122" customFormat="1">
      <c r="B327" s="77" t="s">
        <v>3478</v>
      </c>
      <c r="C327" s="87" t="s">
        <v>2972</v>
      </c>
      <c r="D327" s="74">
        <v>7552</v>
      </c>
      <c r="E327" s="74"/>
      <c r="F327" s="74" t="s">
        <v>725</v>
      </c>
      <c r="G327" s="97">
        <v>43921</v>
      </c>
      <c r="H327" s="74"/>
      <c r="I327" s="84">
        <v>3.5999999999999992</v>
      </c>
      <c r="J327" s="87" t="s">
        <v>957</v>
      </c>
      <c r="K327" s="87" t="s">
        <v>164</v>
      </c>
      <c r="L327" s="88">
        <v>5.4501000000000001E-2</v>
      </c>
      <c r="M327" s="88">
        <v>5.5899999999999991E-2</v>
      </c>
      <c r="N327" s="84">
        <v>43944.99</v>
      </c>
      <c r="O327" s="86">
        <v>100</v>
      </c>
      <c r="P327" s="84">
        <v>156.66389000000001</v>
      </c>
      <c r="Q327" s="85">
        <f t="shared" si="7"/>
        <v>3.1138046048204291E-5</v>
      </c>
      <c r="R327" s="85">
        <f>P327/'סכום נכסי הקרן'!$C$42</f>
        <v>3.0075004516385528E-6</v>
      </c>
    </row>
    <row r="328" spans="2:18" s="122" customFormat="1">
      <c r="B328" s="77" t="s">
        <v>3479</v>
      </c>
      <c r="C328" s="87" t="s">
        <v>2972</v>
      </c>
      <c r="D328" s="74">
        <v>7056</v>
      </c>
      <c r="E328" s="74"/>
      <c r="F328" s="74" t="s">
        <v>725</v>
      </c>
      <c r="G328" s="97">
        <v>43664</v>
      </c>
      <c r="H328" s="74"/>
      <c r="I328" s="84">
        <v>0.9</v>
      </c>
      <c r="J328" s="87" t="s">
        <v>1032</v>
      </c>
      <c r="K328" s="87" t="s">
        <v>164</v>
      </c>
      <c r="L328" s="88">
        <v>3.5569999999999997E-2</v>
      </c>
      <c r="M328" s="88">
        <v>2.41E-2</v>
      </c>
      <c r="N328" s="84">
        <v>14969945.24</v>
      </c>
      <c r="O328" s="86">
        <v>100.86</v>
      </c>
      <c r="P328" s="84">
        <v>53826.816869999995</v>
      </c>
      <c r="Q328" s="85">
        <f t="shared" si="7"/>
        <v>1.0698457074737001E-2</v>
      </c>
      <c r="R328" s="85">
        <f>P328/'סכום נכסי הקרן'!$C$42</f>
        <v>1.0333215653383218E-3</v>
      </c>
    </row>
    <row r="329" spans="2:18" s="122" customFormat="1">
      <c r="B329" s="77" t="s">
        <v>3479</v>
      </c>
      <c r="C329" s="87" t="s">
        <v>2972</v>
      </c>
      <c r="D329" s="74">
        <v>7504</v>
      </c>
      <c r="E329" s="74"/>
      <c r="F329" s="74" t="s">
        <v>725</v>
      </c>
      <c r="G329" s="97">
        <v>37832</v>
      </c>
      <c r="H329" s="74"/>
      <c r="I329" s="84">
        <v>0.91</v>
      </c>
      <c r="J329" s="87" t="s">
        <v>1032</v>
      </c>
      <c r="K329" s="87" t="s">
        <v>164</v>
      </c>
      <c r="L329" s="88">
        <v>3.5560999999999995E-2</v>
      </c>
      <c r="M329" s="88">
        <v>2.4099999999999996E-2</v>
      </c>
      <c r="N329" s="84">
        <v>14882.93</v>
      </c>
      <c r="O329" s="86">
        <v>100.62</v>
      </c>
      <c r="P329" s="84">
        <v>53.386580000000002</v>
      </c>
      <c r="Q329" s="85">
        <f t="shared" si="7"/>
        <v>1.0610956911615959E-5</v>
      </c>
      <c r="R329" s="85">
        <f>P329/'סכום נכסי הקרן'!$C$42</f>
        <v>1.0248702713907953E-6</v>
      </c>
    </row>
    <row r="330" spans="2:18" s="122" customFormat="1">
      <c r="B330" s="77" t="s">
        <v>3479</v>
      </c>
      <c r="C330" s="87" t="s">
        <v>2972</v>
      </c>
      <c r="D330" s="74">
        <v>7296</v>
      </c>
      <c r="E330" s="74"/>
      <c r="F330" s="74" t="s">
        <v>725</v>
      </c>
      <c r="G330" s="97">
        <v>43801</v>
      </c>
      <c r="H330" s="74"/>
      <c r="I330" s="84">
        <v>0.9</v>
      </c>
      <c r="J330" s="87" t="s">
        <v>1032</v>
      </c>
      <c r="K330" s="87" t="s">
        <v>164</v>
      </c>
      <c r="L330" s="88">
        <v>3.5560999999999995E-2</v>
      </c>
      <c r="M330" s="88">
        <v>2.4E-2</v>
      </c>
      <c r="N330" s="84">
        <v>63930.87</v>
      </c>
      <c r="O330" s="86">
        <v>100.86</v>
      </c>
      <c r="P330" s="84">
        <v>229.87361999999999</v>
      </c>
      <c r="Q330" s="85">
        <f t="shared" si="7"/>
        <v>4.5688992944241424E-5</v>
      </c>
      <c r="R330" s="85">
        <f>P330/'סכום נכסי הקרן'!$C$42</f>
        <v>4.4129187394095023E-6</v>
      </c>
    </row>
    <row r="331" spans="2:18" s="122" customFormat="1">
      <c r="B331" s="77" t="s">
        <v>3480</v>
      </c>
      <c r="C331" s="87" t="s">
        <v>2972</v>
      </c>
      <c r="D331" s="74">
        <v>6588</v>
      </c>
      <c r="E331" s="74"/>
      <c r="F331" s="74" t="s">
        <v>725</v>
      </c>
      <c r="G331" s="97">
        <v>43397</v>
      </c>
      <c r="H331" s="74"/>
      <c r="I331" s="84">
        <v>0.27</v>
      </c>
      <c r="J331" s="87" t="s">
        <v>1032</v>
      </c>
      <c r="K331" s="87" t="s">
        <v>164</v>
      </c>
      <c r="L331" s="88">
        <v>2.8060000000000002E-2</v>
      </c>
      <c r="M331" s="88">
        <v>2.41E-2</v>
      </c>
      <c r="N331" s="84">
        <v>18291541.399999999</v>
      </c>
      <c r="O331" s="86">
        <v>100.29</v>
      </c>
      <c r="P331" s="84">
        <v>65398.455000000002</v>
      </c>
      <c r="Q331" s="85">
        <f t="shared" si="7"/>
        <v>1.2998401247865199E-2</v>
      </c>
      <c r="R331" s="85">
        <f>P331/'סכום נכסי הקרן'!$C$42</f>
        <v>1.2554640571542271E-3</v>
      </c>
    </row>
    <row r="332" spans="2:18" s="122" customFormat="1">
      <c r="B332" s="77" t="s">
        <v>3481</v>
      </c>
      <c r="C332" s="87" t="s">
        <v>2972</v>
      </c>
      <c r="D332" s="74" t="s">
        <v>3158</v>
      </c>
      <c r="E332" s="74"/>
      <c r="F332" s="74" t="s">
        <v>725</v>
      </c>
      <c r="G332" s="97">
        <v>43051</v>
      </c>
      <c r="H332" s="74"/>
      <c r="I332" s="84">
        <v>2.16</v>
      </c>
      <c r="J332" s="87" t="s">
        <v>957</v>
      </c>
      <c r="K332" s="87" t="s">
        <v>164</v>
      </c>
      <c r="L332" s="88">
        <v>3.6908999999999997E-2</v>
      </c>
      <c r="M332" s="88">
        <v>6.5599999999999992E-2</v>
      </c>
      <c r="N332" s="84">
        <v>11203575.82</v>
      </c>
      <c r="O332" s="86">
        <v>94.58</v>
      </c>
      <c r="P332" s="84">
        <v>37775.960220000001</v>
      </c>
      <c r="Q332" s="85">
        <f t="shared" si="7"/>
        <v>7.5082368301048414E-3</v>
      </c>
      <c r="R332" s="85">
        <f>P332/'סכום נכסי הקרן'!$C$42</f>
        <v>7.2519083639969615E-4</v>
      </c>
    </row>
    <row r="333" spans="2:18" s="122" customFormat="1">
      <c r="B333" s="77" t="s">
        <v>3482</v>
      </c>
      <c r="C333" s="87" t="s">
        <v>2972</v>
      </c>
      <c r="D333" s="74">
        <v>6524</v>
      </c>
      <c r="E333" s="74"/>
      <c r="F333" s="74" t="s">
        <v>725</v>
      </c>
      <c r="G333" s="97">
        <v>43357</v>
      </c>
      <c r="H333" s="74"/>
      <c r="I333" s="84">
        <v>7.1099999999999994</v>
      </c>
      <c r="J333" s="87" t="s">
        <v>957</v>
      </c>
      <c r="K333" s="87" t="s">
        <v>167</v>
      </c>
      <c r="L333" s="88">
        <v>2.7250999999999997E-2</v>
      </c>
      <c r="M333" s="88">
        <v>4.1100000000000005E-2</v>
      </c>
      <c r="N333" s="84">
        <v>2712652.89</v>
      </c>
      <c r="O333" s="86">
        <v>92.79</v>
      </c>
      <c r="P333" s="84">
        <v>11071.586300000001</v>
      </c>
      <c r="Q333" s="85">
        <f t="shared" si="7"/>
        <v>2.2005553675200316E-3</v>
      </c>
      <c r="R333" s="85">
        <f>P333/'סכום נכסי הקרן'!$C$42</f>
        <v>2.12542921011378E-4</v>
      </c>
    </row>
    <row r="334" spans="2:18" s="122" customFormat="1">
      <c r="B334" s="77" t="s">
        <v>3482</v>
      </c>
      <c r="C334" s="87" t="s">
        <v>2972</v>
      </c>
      <c r="D334" s="74" t="s">
        <v>3159</v>
      </c>
      <c r="E334" s="74"/>
      <c r="F334" s="74" t="s">
        <v>725</v>
      </c>
      <c r="G334" s="97">
        <v>42891</v>
      </c>
      <c r="H334" s="74"/>
      <c r="I334" s="84">
        <v>7.11</v>
      </c>
      <c r="J334" s="87" t="s">
        <v>957</v>
      </c>
      <c r="K334" s="87" t="s">
        <v>167</v>
      </c>
      <c r="L334" s="88">
        <v>2.7250999999999997E-2</v>
      </c>
      <c r="M334" s="88">
        <v>4.1100000000000005E-2</v>
      </c>
      <c r="N334" s="84">
        <v>7816173.2599999998</v>
      </c>
      <c r="O334" s="86">
        <v>92.79</v>
      </c>
      <c r="P334" s="84">
        <v>31901.40438</v>
      </c>
      <c r="Q334" s="85">
        <f t="shared" si="7"/>
        <v>6.3406276876364171E-3</v>
      </c>
      <c r="R334" s="85">
        <f>P334/'סכום נכסי הקרן'!$C$42</f>
        <v>6.1241609716670574E-4</v>
      </c>
    </row>
    <row r="335" spans="2:18" s="122" customFormat="1">
      <c r="B335" s="77" t="s">
        <v>3483</v>
      </c>
      <c r="C335" s="87" t="s">
        <v>2972</v>
      </c>
      <c r="D335" s="74">
        <v>6781</v>
      </c>
      <c r="E335" s="74"/>
      <c r="F335" s="74" t="s">
        <v>725</v>
      </c>
      <c r="G335" s="97">
        <v>43517</v>
      </c>
      <c r="H335" s="74"/>
      <c r="I335" s="84">
        <v>0.44</v>
      </c>
      <c r="J335" s="87" t="s">
        <v>1032</v>
      </c>
      <c r="K335" s="87" t="s">
        <v>164</v>
      </c>
      <c r="L335" s="88">
        <v>3.3059999999999999E-2</v>
      </c>
      <c r="M335" s="88">
        <v>1.7500000000000002E-2</v>
      </c>
      <c r="N335" s="84">
        <v>19766203.280000001</v>
      </c>
      <c r="O335" s="86">
        <v>100.91</v>
      </c>
      <c r="P335" s="84">
        <v>71107.759090000007</v>
      </c>
      <c r="Q335" s="85">
        <f t="shared" si="7"/>
        <v>1.413316544692614E-2</v>
      </c>
      <c r="R335" s="85">
        <f>P335/'סכום נכסי הקרן'!$C$42</f>
        <v>1.365066433484962E-3</v>
      </c>
    </row>
    <row r="336" spans="2:18" s="122" customFormat="1">
      <c r="B336" s="77" t="s">
        <v>3483</v>
      </c>
      <c r="C336" s="87" t="s">
        <v>2972</v>
      </c>
      <c r="D336" s="74" t="s">
        <v>3160</v>
      </c>
      <c r="E336" s="74"/>
      <c r="F336" s="74" t="s">
        <v>725</v>
      </c>
      <c r="G336" s="97">
        <v>43865</v>
      </c>
      <c r="H336" s="74"/>
      <c r="I336" s="84">
        <v>0.43999999999999995</v>
      </c>
      <c r="J336" s="87" t="s">
        <v>1032</v>
      </c>
      <c r="K336" s="87" t="s">
        <v>164</v>
      </c>
      <c r="L336" s="88">
        <v>3.3059999999999999E-2</v>
      </c>
      <c r="M336" s="88">
        <v>1.7500000000000002E-2</v>
      </c>
      <c r="N336" s="84">
        <v>79442.570000000007</v>
      </c>
      <c r="O336" s="86">
        <v>100.91</v>
      </c>
      <c r="P336" s="84">
        <v>285.79001</v>
      </c>
      <c r="Q336" s="85">
        <f t="shared" si="7"/>
        <v>5.6802767322429977E-5</v>
      </c>
      <c r="R336" s="85">
        <f>P336/'סכום נכסי הקרן'!$C$42</f>
        <v>5.4863541569712485E-6</v>
      </c>
    </row>
    <row r="337" spans="2:18" s="122" customFormat="1">
      <c r="B337" s="77" t="s">
        <v>3483</v>
      </c>
      <c r="C337" s="87" t="s">
        <v>2972</v>
      </c>
      <c r="D337" s="74" t="s">
        <v>3161</v>
      </c>
      <c r="E337" s="74"/>
      <c r="F337" s="74" t="s">
        <v>725</v>
      </c>
      <c r="G337" s="97">
        <v>43888</v>
      </c>
      <c r="H337" s="74"/>
      <c r="I337" s="84">
        <v>0.44</v>
      </c>
      <c r="J337" s="87" t="s">
        <v>1032</v>
      </c>
      <c r="K337" s="87" t="s">
        <v>164</v>
      </c>
      <c r="L337" s="88">
        <v>3.3059999999999999E-2</v>
      </c>
      <c r="M337" s="88">
        <v>1.7499999999999998E-2</v>
      </c>
      <c r="N337" s="84">
        <v>174245.86</v>
      </c>
      <c r="O337" s="86">
        <v>100.91</v>
      </c>
      <c r="P337" s="84">
        <v>626.83930000000009</v>
      </c>
      <c r="Q337" s="85">
        <f t="shared" si="7"/>
        <v>1.2458870380547903E-4</v>
      </c>
      <c r="R337" s="85">
        <f>P337/'סכום נכסי הקרן'!$C$42</f>
        <v>1.2033529091195133E-5</v>
      </c>
    </row>
    <row r="338" spans="2:18" s="122" customFormat="1">
      <c r="B338" s="77" t="s">
        <v>3483</v>
      </c>
      <c r="C338" s="87" t="s">
        <v>2972</v>
      </c>
      <c r="D338" s="74">
        <v>6888</v>
      </c>
      <c r="E338" s="74"/>
      <c r="F338" s="74" t="s">
        <v>725</v>
      </c>
      <c r="G338" s="97">
        <v>43584</v>
      </c>
      <c r="H338" s="74"/>
      <c r="I338" s="84">
        <v>0.44</v>
      </c>
      <c r="J338" s="87" t="s">
        <v>1032</v>
      </c>
      <c r="K338" s="87" t="s">
        <v>164</v>
      </c>
      <c r="L338" s="88">
        <v>3.3059999999999999E-2</v>
      </c>
      <c r="M338" s="88">
        <v>1.7500000000000002E-2</v>
      </c>
      <c r="N338" s="84">
        <v>26723.19</v>
      </c>
      <c r="O338" s="86">
        <v>100.91</v>
      </c>
      <c r="P338" s="84">
        <v>96.135109999999997</v>
      </c>
      <c r="Q338" s="85">
        <f t="shared" si="7"/>
        <v>1.9107526833587401E-5</v>
      </c>
      <c r="R338" s="85">
        <f>P338/'סכום נכסי הקרן'!$C$42</f>
        <v>1.845520283859426E-6</v>
      </c>
    </row>
    <row r="339" spans="2:18" s="122" customFormat="1">
      <c r="B339" s="77" t="s">
        <v>3483</v>
      </c>
      <c r="C339" s="87" t="s">
        <v>2972</v>
      </c>
      <c r="D339" s="74">
        <v>6952</v>
      </c>
      <c r="E339" s="74"/>
      <c r="F339" s="74" t="s">
        <v>725</v>
      </c>
      <c r="G339" s="97">
        <v>43627</v>
      </c>
      <c r="H339" s="74"/>
      <c r="I339" s="84">
        <v>0.44</v>
      </c>
      <c r="J339" s="87" t="s">
        <v>1032</v>
      </c>
      <c r="K339" s="87" t="s">
        <v>164</v>
      </c>
      <c r="L339" s="88">
        <v>3.3059999999999999E-2</v>
      </c>
      <c r="M339" s="88">
        <v>1.7500000000000002E-2</v>
      </c>
      <c r="N339" s="84">
        <v>30077.55</v>
      </c>
      <c r="O339" s="86">
        <v>100.91</v>
      </c>
      <c r="P339" s="84">
        <v>108.20219999999999</v>
      </c>
      <c r="Q339" s="85">
        <f t="shared" si="7"/>
        <v>2.1505945538036941E-5</v>
      </c>
      <c r="R339" s="85">
        <f>P339/'סכום נכסי הקרן'!$C$42</f>
        <v>2.0771740403502359E-6</v>
      </c>
    </row>
    <row r="340" spans="2:18" s="122" customFormat="1">
      <c r="B340" s="77" t="s">
        <v>3483</v>
      </c>
      <c r="C340" s="87" t="s">
        <v>2972</v>
      </c>
      <c r="D340" s="74">
        <v>7033</v>
      </c>
      <c r="E340" s="74"/>
      <c r="F340" s="74" t="s">
        <v>725</v>
      </c>
      <c r="G340" s="97">
        <v>43658</v>
      </c>
      <c r="H340" s="74"/>
      <c r="I340" s="84">
        <v>0.43999999999999995</v>
      </c>
      <c r="J340" s="87" t="s">
        <v>1032</v>
      </c>
      <c r="K340" s="87" t="s">
        <v>164</v>
      </c>
      <c r="L340" s="88">
        <v>3.3059999999999999E-2</v>
      </c>
      <c r="M340" s="88">
        <v>1.7499999999999998E-2</v>
      </c>
      <c r="N340" s="84">
        <v>52027.98</v>
      </c>
      <c r="O340" s="86">
        <v>100.91</v>
      </c>
      <c r="P340" s="84">
        <v>187.16764000000001</v>
      </c>
      <c r="Q340" s="85">
        <f t="shared" si="7"/>
        <v>3.7200880132963143E-5</v>
      </c>
      <c r="R340" s="85">
        <f>P340/'סכום נכסי הקרן'!$C$42</f>
        <v>3.5930855657428267E-6</v>
      </c>
    </row>
    <row r="341" spans="2:18" s="122" customFormat="1">
      <c r="B341" s="77" t="s">
        <v>3483</v>
      </c>
      <c r="C341" s="87" t="s">
        <v>2972</v>
      </c>
      <c r="D341" s="74">
        <v>7083</v>
      </c>
      <c r="E341" s="74"/>
      <c r="F341" s="74" t="s">
        <v>725</v>
      </c>
      <c r="G341" s="97">
        <v>43682</v>
      </c>
      <c r="H341" s="74"/>
      <c r="I341" s="84">
        <v>0.44000000000000006</v>
      </c>
      <c r="J341" s="87" t="s">
        <v>1032</v>
      </c>
      <c r="K341" s="87" t="s">
        <v>164</v>
      </c>
      <c r="L341" s="88">
        <v>3.3059999999999999E-2</v>
      </c>
      <c r="M341" s="88">
        <v>1.7500000000000002E-2</v>
      </c>
      <c r="N341" s="84">
        <v>22830.1</v>
      </c>
      <c r="O341" s="86">
        <v>100.91</v>
      </c>
      <c r="P341" s="84">
        <v>82.12997</v>
      </c>
      <c r="Q341" s="85">
        <f t="shared" si="7"/>
        <v>1.6323907109657733E-5</v>
      </c>
      <c r="R341" s="85">
        <f>P341/'סכום נכסי הקרן'!$C$42</f>
        <v>1.576661487647605E-6</v>
      </c>
    </row>
    <row r="342" spans="2:18" s="122" customFormat="1">
      <c r="B342" s="77" t="s">
        <v>3483</v>
      </c>
      <c r="C342" s="87" t="s">
        <v>2972</v>
      </c>
      <c r="D342" s="74" t="s">
        <v>3162</v>
      </c>
      <c r="E342" s="74"/>
      <c r="F342" s="74" t="s">
        <v>725</v>
      </c>
      <c r="G342" s="97">
        <v>43721</v>
      </c>
      <c r="H342" s="74"/>
      <c r="I342" s="84">
        <v>0.44000000000000006</v>
      </c>
      <c r="J342" s="87" t="s">
        <v>1032</v>
      </c>
      <c r="K342" s="87" t="s">
        <v>164</v>
      </c>
      <c r="L342" s="88">
        <v>3.3059999999999999E-2</v>
      </c>
      <c r="M342" s="88">
        <v>1.7500000000000002E-2</v>
      </c>
      <c r="N342" s="84">
        <v>34427.919999999998</v>
      </c>
      <c r="O342" s="86">
        <v>100.91</v>
      </c>
      <c r="P342" s="84">
        <v>123.85242</v>
      </c>
      <c r="Q342" s="85">
        <f t="shared" si="7"/>
        <v>2.4616536440793969E-5</v>
      </c>
      <c r="R342" s="85">
        <f>P342/'סכום נכסי הקרן'!$C$42</f>
        <v>2.3776136867693484E-6</v>
      </c>
    </row>
    <row r="343" spans="2:18" s="122" customFormat="1">
      <c r="B343" s="77" t="s">
        <v>3483</v>
      </c>
      <c r="C343" s="87" t="s">
        <v>2972</v>
      </c>
      <c r="D343" s="74" t="s">
        <v>3163</v>
      </c>
      <c r="E343" s="74"/>
      <c r="F343" s="74" t="s">
        <v>725</v>
      </c>
      <c r="G343" s="97">
        <v>43749</v>
      </c>
      <c r="H343" s="74"/>
      <c r="I343" s="84">
        <v>0.44000000000000006</v>
      </c>
      <c r="J343" s="87" t="s">
        <v>1032</v>
      </c>
      <c r="K343" s="87" t="s">
        <v>164</v>
      </c>
      <c r="L343" s="88">
        <v>3.3059999999999999E-2</v>
      </c>
      <c r="M343" s="88">
        <v>1.7500000000000002E-2</v>
      </c>
      <c r="N343" s="84">
        <v>108796.83</v>
      </c>
      <c r="O343" s="86">
        <v>100.91</v>
      </c>
      <c r="P343" s="84">
        <v>391.39022999999997</v>
      </c>
      <c r="Q343" s="85">
        <f t="shared" si="7"/>
        <v>7.7791551100622278E-5</v>
      </c>
      <c r="R343" s="85">
        <f>P343/'סכום נכסי הקרן'!$C$42</f>
        <v>7.5135775927172298E-6</v>
      </c>
    </row>
    <row r="344" spans="2:18" s="122" customFormat="1">
      <c r="B344" s="77" t="s">
        <v>3483</v>
      </c>
      <c r="C344" s="87" t="s">
        <v>2972</v>
      </c>
      <c r="D344" s="74" t="s">
        <v>3164</v>
      </c>
      <c r="E344" s="74"/>
      <c r="F344" s="74" t="s">
        <v>725</v>
      </c>
      <c r="G344" s="97">
        <v>43784</v>
      </c>
      <c r="H344" s="74"/>
      <c r="I344" s="84">
        <v>0.44000000000000006</v>
      </c>
      <c r="J344" s="87" t="s">
        <v>1032</v>
      </c>
      <c r="K344" s="87" t="s">
        <v>164</v>
      </c>
      <c r="L344" s="88">
        <v>3.3059999999999999E-2</v>
      </c>
      <c r="M344" s="88">
        <v>1.7500000000000002E-2</v>
      </c>
      <c r="N344" s="84">
        <v>88991.87</v>
      </c>
      <c r="O344" s="86">
        <v>100.91</v>
      </c>
      <c r="P344" s="84">
        <v>320.14305000000002</v>
      </c>
      <c r="Q344" s="85">
        <f t="shared" si="7"/>
        <v>6.3630674770762864E-5</v>
      </c>
      <c r="R344" s="85">
        <f>P344/'סכום נכסי הקרן'!$C$42</f>
        <v>6.1458346748822829E-6</v>
      </c>
    </row>
    <row r="345" spans="2:18" s="122" customFormat="1">
      <c r="B345" s="77" t="s">
        <v>3483</v>
      </c>
      <c r="C345" s="87" t="s">
        <v>2972</v>
      </c>
      <c r="D345" s="74" t="s">
        <v>3165</v>
      </c>
      <c r="E345" s="74"/>
      <c r="F345" s="74" t="s">
        <v>725</v>
      </c>
      <c r="G345" s="97">
        <v>43836</v>
      </c>
      <c r="H345" s="74"/>
      <c r="I345" s="84">
        <v>0.44000000000000006</v>
      </c>
      <c r="J345" s="87" t="s">
        <v>1032</v>
      </c>
      <c r="K345" s="87" t="s">
        <v>164</v>
      </c>
      <c r="L345" s="88">
        <v>3.3059999999999999E-2</v>
      </c>
      <c r="M345" s="88">
        <v>1.7500000000000002E-2</v>
      </c>
      <c r="N345" s="84">
        <v>71076.009999999995</v>
      </c>
      <c r="O345" s="86">
        <v>100.91</v>
      </c>
      <c r="P345" s="84">
        <v>255.69181</v>
      </c>
      <c r="Q345" s="85">
        <f t="shared" si="7"/>
        <v>5.0820539142291837E-5</v>
      </c>
      <c r="R345" s="85">
        <f>P345/'סכום נכסי הקרן'!$C$42</f>
        <v>4.9085544477114597E-6</v>
      </c>
    </row>
    <row r="346" spans="2:18" s="122" customFormat="1">
      <c r="B346" s="77" t="s">
        <v>3484</v>
      </c>
      <c r="C346" s="87" t="s">
        <v>2972</v>
      </c>
      <c r="D346" s="74">
        <v>7334</v>
      </c>
      <c r="E346" s="74"/>
      <c r="F346" s="74" t="s">
        <v>725</v>
      </c>
      <c r="G346" s="97">
        <v>37537</v>
      </c>
      <c r="H346" s="74"/>
      <c r="I346" s="84">
        <v>2.99</v>
      </c>
      <c r="J346" s="87" t="s">
        <v>957</v>
      </c>
      <c r="K346" s="87" t="s">
        <v>164</v>
      </c>
      <c r="L346" s="88">
        <v>4.3311000000000002E-2</v>
      </c>
      <c r="M346" s="88">
        <v>3.4099999999999998E-2</v>
      </c>
      <c r="N346" s="84">
        <v>1124025.96</v>
      </c>
      <c r="O346" s="86">
        <v>101.72</v>
      </c>
      <c r="P346" s="84">
        <v>4076.07548</v>
      </c>
      <c r="Q346" s="85">
        <f t="shared" si="7"/>
        <v>8.1014856705138882E-4</v>
      </c>
      <c r="R346" s="85">
        <f>P346/'סכום נכסי הקרן'!$C$42</f>
        <v>7.8249039054327252E-5</v>
      </c>
    </row>
    <row r="347" spans="2:18" s="122" customFormat="1">
      <c r="B347" s="77" t="s">
        <v>3484</v>
      </c>
      <c r="C347" s="87" t="s">
        <v>2972</v>
      </c>
      <c r="D347" s="74">
        <v>7442</v>
      </c>
      <c r="E347" s="74"/>
      <c r="F347" s="74" t="s">
        <v>725</v>
      </c>
      <c r="G347" s="97">
        <v>43881</v>
      </c>
      <c r="H347" s="74"/>
      <c r="I347" s="84">
        <v>2.9899999999999998</v>
      </c>
      <c r="J347" s="87" t="s">
        <v>957</v>
      </c>
      <c r="K347" s="87" t="s">
        <v>164</v>
      </c>
      <c r="L347" s="88">
        <v>4.3311000000000002E-2</v>
      </c>
      <c r="M347" s="88">
        <v>3.4699999999999995E-2</v>
      </c>
      <c r="N347" s="84">
        <v>442239.72</v>
      </c>
      <c r="O347" s="86">
        <v>101.56</v>
      </c>
      <c r="P347" s="84">
        <v>1601.1792499999999</v>
      </c>
      <c r="Q347" s="85">
        <f t="shared" si="7"/>
        <v>3.1824559710555639E-4</v>
      </c>
      <c r="R347" s="85">
        <f>P347/'סכום נכסי הקרן'!$C$42</f>
        <v>3.0738080852768805E-5</v>
      </c>
    </row>
    <row r="348" spans="2:18" s="122" customFormat="1">
      <c r="B348" s="77" t="s">
        <v>3484</v>
      </c>
      <c r="C348" s="87" t="s">
        <v>2972</v>
      </c>
      <c r="D348" s="74">
        <v>7502</v>
      </c>
      <c r="E348" s="74"/>
      <c r="F348" s="74" t="s">
        <v>725</v>
      </c>
      <c r="G348" s="97">
        <v>43909</v>
      </c>
      <c r="H348" s="74"/>
      <c r="I348" s="84">
        <v>3</v>
      </c>
      <c r="J348" s="87" t="s">
        <v>957</v>
      </c>
      <c r="K348" s="87" t="s">
        <v>164</v>
      </c>
      <c r="L348" s="88">
        <v>3.5000000000000003E-2</v>
      </c>
      <c r="M348" s="88">
        <v>3.39E-2</v>
      </c>
      <c r="N348" s="84">
        <v>322466.46000000002</v>
      </c>
      <c r="O348" s="86">
        <v>101.56</v>
      </c>
      <c r="P348" s="84">
        <v>1167.52656</v>
      </c>
      <c r="Q348" s="85">
        <f t="shared" si="7"/>
        <v>2.3205408590187281E-4</v>
      </c>
      <c r="R348" s="85">
        <f>P348/'סכום נכסי הקרן'!$C$42</f>
        <v>2.2413184407076866E-5</v>
      </c>
    </row>
    <row r="349" spans="2:18" s="122" customFormat="1">
      <c r="B349" s="77" t="s">
        <v>3484</v>
      </c>
      <c r="C349" s="87" t="s">
        <v>2972</v>
      </c>
      <c r="D349" s="74">
        <v>6989</v>
      </c>
      <c r="E349" s="74"/>
      <c r="F349" s="74" t="s">
        <v>725</v>
      </c>
      <c r="G349" s="97">
        <v>43636</v>
      </c>
      <c r="H349" s="74"/>
      <c r="I349" s="84">
        <v>2.9899999999999998</v>
      </c>
      <c r="J349" s="87" t="s">
        <v>957</v>
      </c>
      <c r="K349" s="87" t="s">
        <v>164</v>
      </c>
      <c r="L349" s="88">
        <v>4.3311000000000002E-2</v>
      </c>
      <c r="M349" s="88">
        <v>3.4699999999999995E-2</v>
      </c>
      <c r="N349" s="84">
        <v>589652.96</v>
      </c>
      <c r="O349" s="86">
        <v>101.56</v>
      </c>
      <c r="P349" s="84">
        <v>2134.9057000000003</v>
      </c>
      <c r="Q349" s="85">
        <f t="shared" si="7"/>
        <v>4.2432746943264223E-4</v>
      </c>
      <c r="R349" s="85">
        <f>P349/'סכום נכסי הקרן'!$C$42</f>
        <v>4.0984108443596801E-5</v>
      </c>
    </row>
    <row r="350" spans="2:18" s="122" customFormat="1">
      <c r="B350" s="77" t="s">
        <v>3484</v>
      </c>
      <c r="C350" s="87" t="s">
        <v>2972</v>
      </c>
      <c r="D350" s="74">
        <v>7051</v>
      </c>
      <c r="E350" s="74"/>
      <c r="F350" s="74" t="s">
        <v>725</v>
      </c>
      <c r="G350" s="97">
        <v>43669</v>
      </c>
      <c r="H350" s="74"/>
      <c r="I350" s="84">
        <v>2.99</v>
      </c>
      <c r="J350" s="87" t="s">
        <v>957</v>
      </c>
      <c r="K350" s="87" t="s">
        <v>164</v>
      </c>
      <c r="L350" s="88">
        <v>4.3311000000000002E-2</v>
      </c>
      <c r="M350" s="88">
        <v>3.4700000000000002E-2</v>
      </c>
      <c r="N350" s="84">
        <v>386959.76</v>
      </c>
      <c r="O350" s="86">
        <v>101.56</v>
      </c>
      <c r="P350" s="84">
        <v>1401.03188</v>
      </c>
      <c r="Q350" s="85">
        <f t="shared" si="7"/>
        <v>2.784649046723034E-4</v>
      </c>
      <c r="R350" s="85">
        <f>P350/'סכום נכסי הקרן'!$C$42</f>
        <v>2.6895821442069455E-5</v>
      </c>
    </row>
    <row r="351" spans="2:18" s="122" customFormat="1">
      <c r="B351" s="77" t="s">
        <v>3484</v>
      </c>
      <c r="C351" s="87" t="s">
        <v>2972</v>
      </c>
      <c r="D351" s="74">
        <v>7132</v>
      </c>
      <c r="E351" s="74"/>
      <c r="F351" s="74" t="s">
        <v>725</v>
      </c>
      <c r="G351" s="97">
        <v>43706</v>
      </c>
      <c r="H351" s="74"/>
      <c r="I351" s="84">
        <v>2.99</v>
      </c>
      <c r="J351" s="87" t="s">
        <v>957</v>
      </c>
      <c r="K351" s="87" t="s">
        <v>164</v>
      </c>
      <c r="L351" s="88">
        <v>4.3311000000000002E-2</v>
      </c>
      <c r="M351" s="88">
        <v>3.4700000000000002E-2</v>
      </c>
      <c r="N351" s="84">
        <v>866052.79</v>
      </c>
      <c r="O351" s="86">
        <v>101.56</v>
      </c>
      <c r="P351" s="84">
        <v>3135.6427699999999</v>
      </c>
      <c r="Q351" s="85">
        <f t="shared" si="7"/>
        <v>6.2323097532544899E-4</v>
      </c>
      <c r="R351" s="85">
        <f>P351/'סכום נכסי הקרן'!$C$42</f>
        <v>6.0195409720466927E-5</v>
      </c>
    </row>
    <row r="352" spans="2:18" s="122" customFormat="1">
      <c r="B352" s="77" t="s">
        <v>3484</v>
      </c>
      <c r="C352" s="87" t="s">
        <v>2972</v>
      </c>
      <c r="D352" s="74">
        <v>7238</v>
      </c>
      <c r="E352" s="74"/>
      <c r="F352" s="74" t="s">
        <v>725</v>
      </c>
      <c r="G352" s="97">
        <v>43769</v>
      </c>
      <c r="H352" s="74"/>
      <c r="I352" s="84">
        <v>2.99</v>
      </c>
      <c r="J352" s="87" t="s">
        <v>957</v>
      </c>
      <c r="K352" s="87" t="s">
        <v>164</v>
      </c>
      <c r="L352" s="88">
        <v>4.3311000000000002E-2</v>
      </c>
      <c r="M352" s="88">
        <v>3.4699999999999995E-2</v>
      </c>
      <c r="N352" s="84">
        <v>515946.34</v>
      </c>
      <c r="O352" s="86">
        <v>101.56</v>
      </c>
      <c r="P352" s="84">
        <v>1868.0425</v>
      </c>
      <c r="Q352" s="85">
        <f t="shared" si="7"/>
        <v>3.7128653823802449E-4</v>
      </c>
      <c r="R352" s="85">
        <f>P352/'סכום נכסי הקרן'!$C$42</f>
        <v>3.5861095128111593E-5</v>
      </c>
    </row>
    <row r="353" spans="2:18" s="122" customFormat="1">
      <c r="B353" s="77" t="s">
        <v>3484</v>
      </c>
      <c r="C353" s="87" t="s">
        <v>2972</v>
      </c>
      <c r="D353" s="74">
        <v>6556</v>
      </c>
      <c r="E353" s="74"/>
      <c r="F353" s="74" t="s">
        <v>725</v>
      </c>
      <c r="G353" s="97">
        <v>43383</v>
      </c>
      <c r="H353" s="74"/>
      <c r="I353" s="84">
        <v>2.99</v>
      </c>
      <c r="J353" s="87" t="s">
        <v>957</v>
      </c>
      <c r="K353" s="87" t="s">
        <v>164</v>
      </c>
      <c r="L353" s="88">
        <v>4.3311000000000002E-2</v>
      </c>
      <c r="M353" s="88">
        <v>3.4700000000000002E-2</v>
      </c>
      <c r="N353" s="84">
        <v>5431455.96</v>
      </c>
      <c r="O353" s="86">
        <v>101.56</v>
      </c>
      <c r="P353" s="84">
        <v>19665.205020000001</v>
      </c>
      <c r="Q353" s="85">
        <f t="shared" si="7"/>
        <v>3.9085973127575106E-3</v>
      </c>
      <c r="R353" s="85">
        <f>P353/'סכום נכסי הקרן'!$C$42</f>
        <v>3.7751592264953163E-4</v>
      </c>
    </row>
    <row r="354" spans="2:18" s="122" customFormat="1">
      <c r="B354" s="77" t="s">
        <v>3484</v>
      </c>
      <c r="C354" s="87" t="s">
        <v>2972</v>
      </c>
      <c r="D354" s="74">
        <v>6708</v>
      </c>
      <c r="E354" s="74"/>
      <c r="F354" s="74" t="s">
        <v>725</v>
      </c>
      <c r="G354" s="97">
        <v>43480</v>
      </c>
      <c r="H354" s="74"/>
      <c r="I354" s="84">
        <v>2.9899999999999998</v>
      </c>
      <c r="J354" s="87" t="s">
        <v>957</v>
      </c>
      <c r="K354" s="87" t="s">
        <v>164</v>
      </c>
      <c r="L354" s="88">
        <v>4.3311000000000002E-2</v>
      </c>
      <c r="M354" s="88">
        <v>3.4699999999999995E-2</v>
      </c>
      <c r="N354" s="84">
        <v>368533.1</v>
      </c>
      <c r="O354" s="86">
        <v>101.56</v>
      </c>
      <c r="P354" s="84">
        <v>1334.3160800000001</v>
      </c>
      <c r="Q354" s="85">
        <f t="shared" si="7"/>
        <v>2.6520467187364901E-4</v>
      </c>
      <c r="R354" s="85">
        <f>P354/'סכום נכסי הקרן'!$C$42</f>
        <v>2.5615068113198154E-5</v>
      </c>
    </row>
    <row r="355" spans="2:18" s="122" customFormat="1">
      <c r="B355" s="77" t="s">
        <v>3484</v>
      </c>
      <c r="C355" s="87" t="s">
        <v>2972</v>
      </c>
      <c r="D355" s="74">
        <v>6793</v>
      </c>
      <c r="E355" s="74"/>
      <c r="F355" s="74" t="s">
        <v>725</v>
      </c>
      <c r="G355" s="97">
        <v>43529</v>
      </c>
      <c r="H355" s="74"/>
      <c r="I355" s="84">
        <v>2.9800000000000004</v>
      </c>
      <c r="J355" s="87" t="s">
        <v>957</v>
      </c>
      <c r="K355" s="87" t="s">
        <v>164</v>
      </c>
      <c r="L355" s="88">
        <v>4.3311000000000002E-2</v>
      </c>
      <c r="M355" s="88">
        <v>3.6799999999999999E-2</v>
      </c>
      <c r="N355" s="84">
        <v>571226.31000000006</v>
      </c>
      <c r="O355" s="86">
        <v>101.56</v>
      </c>
      <c r="P355" s="84">
        <v>2068.1899100000001</v>
      </c>
      <c r="Q355" s="85">
        <f t="shared" si="7"/>
        <v>4.1106723862155783E-4</v>
      </c>
      <c r="R355" s="85">
        <f>P355/'סכום נכסי הקרן'!$C$42</f>
        <v>3.9703355306697017E-5</v>
      </c>
    </row>
    <row r="356" spans="2:18" s="122" customFormat="1">
      <c r="B356" s="77" t="s">
        <v>3484</v>
      </c>
      <c r="C356" s="87" t="s">
        <v>2972</v>
      </c>
      <c r="D356" s="74">
        <v>6871</v>
      </c>
      <c r="E356" s="74"/>
      <c r="F356" s="74" t="s">
        <v>725</v>
      </c>
      <c r="G356" s="97">
        <v>43570</v>
      </c>
      <c r="H356" s="74"/>
      <c r="I356" s="84">
        <v>2.9899999999999998</v>
      </c>
      <c r="J356" s="87" t="s">
        <v>957</v>
      </c>
      <c r="K356" s="87" t="s">
        <v>164</v>
      </c>
      <c r="L356" s="88">
        <v>4.3311000000000002E-2</v>
      </c>
      <c r="M356" s="88">
        <v>3.4699999999999995E-2</v>
      </c>
      <c r="N356" s="84">
        <v>423813.07</v>
      </c>
      <c r="O356" s="86">
        <v>101.56</v>
      </c>
      <c r="P356" s="84">
        <v>1534.46353</v>
      </c>
      <c r="Q356" s="85">
        <f t="shared" si="7"/>
        <v>3.0498538020746265E-4</v>
      </c>
      <c r="R356" s="85">
        <f>P356/'סכום נכסי הקרן'!$C$42</f>
        <v>2.9457329059669635E-5</v>
      </c>
    </row>
    <row r="357" spans="2:18" s="122" customFormat="1">
      <c r="B357" s="77" t="s">
        <v>3484</v>
      </c>
      <c r="C357" s="87" t="s">
        <v>2972</v>
      </c>
      <c r="D357" s="74">
        <v>6915</v>
      </c>
      <c r="E357" s="74"/>
      <c r="F357" s="74" t="s">
        <v>725</v>
      </c>
      <c r="G357" s="97">
        <v>43608</v>
      </c>
      <c r="H357" s="74"/>
      <c r="I357" s="84">
        <v>2.99</v>
      </c>
      <c r="J357" s="87" t="s">
        <v>957</v>
      </c>
      <c r="K357" s="87" t="s">
        <v>164</v>
      </c>
      <c r="L357" s="88">
        <v>4.3311000000000002E-2</v>
      </c>
      <c r="M357" s="88">
        <v>3.4699999999999995E-2</v>
      </c>
      <c r="N357" s="84">
        <v>571226.31000000006</v>
      </c>
      <c r="O357" s="86">
        <v>101.56</v>
      </c>
      <c r="P357" s="84">
        <v>2068.1899100000001</v>
      </c>
      <c r="Q357" s="85">
        <f t="shared" si="7"/>
        <v>4.1106723862155783E-4</v>
      </c>
      <c r="R357" s="85">
        <f>P357/'סכום נכסי הקרן'!$C$42</f>
        <v>3.9703355306697017E-5</v>
      </c>
    </row>
    <row r="358" spans="2:18" s="122" customFormat="1">
      <c r="B358" s="77" t="s">
        <v>3485</v>
      </c>
      <c r="C358" s="87" t="s">
        <v>2972</v>
      </c>
      <c r="D358" s="74">
        <v>6826</v>
      </c>
      <c r="E358" s="74"/>
      <c r="F358" s="74" t="s">
        <v>725</v>
      </c>
      <c r="G358" s="97">
        <v>43550</v>
      </c>
      <c r="H358" s="74"/>
      <c r="I358" s="84">
        <v>4.42</v>
      </c>
      <c r="J358" s="87" t="s">
        <v>957</v>
      </c>
      <c r="K358" s="87" t="s">
        <v>164</v>
      </c>
      <c r="L358" s="88">
        <v>3.7393999999999997E-2</v>
      </c>
      <c r="M358" s="88">
        <v>3.6099999999999993E-2</v>
      </c>
      <c r="N358" s="84">
        <v>11507475.390000001</v>
      </c>
      <c r="O358" s="86">
        <v>101.47</v>
      </c>
      <c r="P358" s="84">
        <v>41627.203590000005</v>
      </c>
      <c r="Q358" s="85">
        <f t="shared" si="7"/>
        <v>8.2736984396557193E-3</v>
      </c>
      <c r="R358" s="85">
        <f>P358/'סכום נכסי הקרן'!$C$42</f>
        <v>7.9912373934653983E-4</v>
      </c>
    </row>
    <row r="359" spans="2:18" s="122" customFormat="1">
      <c r="B359" s="77" t="s">
        <v>3486</v>
      </c>
      <c r="C359" s="87" t="s">
        <v>2972</v>
      </c>
      <c r="D359" s="74" t="s">
        <v>3166</v>
      </c>
      <c r="E359" s="74"/>
      <c r="F359" s="74" t="s">
        <v>725</v>
      </c>
      <c r="G359" s="97">
        <v>43301</v>
      </c>
      <c r="H359" s="74"/>
      <c r="I359" s="84">
        <v>2.79</v>
      </c>
      <c r="J359" s="87" t="s">
        <v>1025</v>
      </c>
      <c r="K359" s="87" t="s">
        <v>164</v>
      </c>
      <c r="L359" s="88">
        <v>3.4894000000000001E-2</v>
      </c>
      <c r="M359" s="88">
        <v>6.3700000000000007E-2</v>
      </c>
      <c r="N359" s="84">
        <v>5977659.3700000001</v>
      </c>
      <c r="O359" s="86">
        <v>92.66</v>
      </c>
      <c r="P359" s="84">
        <v>19746.176149999999</v>
      </c>
      <c r="Q359" s="85">
        <f t="shared" si="7"/>
        <v>3.9246908922959418E-3</v>
      </c>
      <c r="R359" s="85">
        <f>P359/'סכום נכסי הקרן'!$C$42</f>
        <v>3.7907033770998163E-4</v>
      </c>
    </row>
    <row r="360" spans="2:18" s="122" customFormat="1">
      <c r="B360" s="77" t="s">
        <v>3486</v>
      </c>
      <c r="C360" s="87" t="s">
        <v>2972</v>
      </c>
      <c r="D360" s="74">
        <v>7373</v>
      </c>
      <c r="E360" s="74"/>
      <c r="F360" s="74" t="s">
        <v>725</v>
      </c>
      <c r="G360" s="97">
        <v>43857</v>
      </c>
      <c r="H360" s="74"/>
      <c r="I360" s="84">
        <v>2.77</v>
      </c>
      <c r="J360" s="87" t="s">
        <v>1025</v>
      </c>
      <c r="K360" s="87" t="s">
        <v>164</v>
      </c>
      <c r="L360" s="88">
        <v>3.4894000000000001E-2</v>
      </c>
      <c r="M360" s="88">
        <v>6.8699999999999997E-2</v>
      </c>
      <c r="N360" s="84">
        <v>1820236.76</v>
      </c>
      <c r="O360" s="86">
        <v>91.57</v>
      </c>
      <c r="P360" s="84">
        <v>5942.1093799999999</v>
      </c>
      <c r="Q360" s="85">
        <f t="shared" si="7"/>
        <v>1.1810358819630143E-3</v>
      </c>
      <c r="R360" s="85">
        <f>P360/'סכום נכסי הקרן'!$C$42</f>
        <v>1.1407157478367018E-4</v>
      </c>
    </row>
    <row r="361" spans="2:18" s="122" customFormat="1">
      <c r="B361" s="77" t="s">
        <v>3487</v>
      </c>
      <c r="C361" s="87" t="s">
        <v>2972</v>
      </c>
      <c r="D361" s="74">
        <v>7197</v>
      </c>
      <c r="E361" s="74"/>
      <c r="F361" s="74" t="s">
        <v>725</v>
      </c>
      <c r="G361" s="97">
        <v>43735</v>
      </c>
      <c r="H361" s="74"/>
      <c r="I361" s="84">
        <v>10.489999999999998</v>
      </c>
      <c r="J361" s="87" t="s">
        <v>957</v>
      </c>
      <c r="K361" s="87" t="s">
        <v>167</v>
      </c>
      <c r="L361" s="88">
        <v>3.6074000000000002E-2</v>
      </c>
      <c r="M361" s="88">
        <v>5.0300000000000004E-2</v>
      </c>
      <c r="N361" s="84">
        <v>337317.05</v>
      </c>
      <c r="O361" s="86">
        <v>85.29</v>
      </c>
      <c r="P361" s="84">
        <v>1265.4671499999999</v>
      </c>
      <c r="Q361" s="85">
        <f t="shared" si="7"/>
        <v>2.5152046453838115E-4</v>
      </c>
      <c r="R361" s="85">
        <f>P361/'סכום נכסי הקרן'!$C$42</f>
        <v>2.4293364764265406E-5</v>
      </c>
    </row>
    <row r="362" spans="2:18" s="122" customFormat="1">
      <c r="B362" s="77" t="s">
        <v>3487</v>
      </c>
      <c r="C362" s="87" t="s">
        <v>2972</v>
      </c>
      <c r="D362" s="74">
        <v>7247</v>
      </c>
      <c r="E362" s="74"/>
      <c r="F362" s="74" t="s">
        <v>725</v>
      </c>
      <c r="G362" s="97">
        <v>43769</v>
      </c>
      <c r="H362" s="74"/>
      <c r="I362" s="84">
        <v>10.459999999999999</v>
      </c>
      <c r="J362" s="87" t="s">
        <v>957</v>
      </c>
      <c r="K362" s="87" t="s">
        <v>167</v>
      </c>
      <c r="L362" s="88">
        <v>3.6074000000000002E-2</v>
      </c>
      <c r="M362" s="88">
        <v>5.0800000000000012E-2</v>
      </c>
      <c r="N362" s="84">
        <v>325456.74</v>
      </c>
      <c r="O362" s="86">
        <v>85.29</v>
      </c>
      <c r="P362" s="84">
        <v>1220.9723999999999</v>
      </c>
      <c r="Q362" s="85">
        <f t="shared" si="7"/>
        <v>2.4267682115378664E-4</v>
      </c>
      <c r="R362" s="85">
        <f>P362/'סכום נכסי הקרן'!$C$42</f>
        <v>2.3439192301673392E-5</v>
      </c>
    </row>
    <row r="363" spans="2:18" s="122" customFormat="1">
      <c r="B363" s="77" t="s">
        <v>3487</v>
      </c>
      <c r="C363" s="87" t="s">
        <v>2972</v>
      </c>
      <c r="D363" s="74">
        <v>7387</v>
      </c>
      <c r="E363" s="74"/>
      <c r="F363" s="74" t="s">
        <v>725</v>
      </c>
      <c r="G363" s="97">
        <v>43861</v>
      </c>
      <c r="H363" s="74"/>
      <c r="I363" s="84">
        <v>10.450000000000001</v>
      </c>
      <c r="J363" s="87" t="s">
        <v>957</v>
      </c>
      <c r="K363" s="87" t="s">
        <v>167</v>
      </c>
      <c r="L363" s="88">
        <v>3.6074000000000002E-2</v>
      </c>
      <c r="M363" s="88">
        <v>5.0900000000000001E-2</v>
      </c>
      <c r="N363" s="84">
        <v>741980.74</v>
      </c>
      <c r="O363" s="86">
        <v>85.29</v>
      </c>
      <c r="P363" s="84">
        <v>2783.5896600000001</v>
      </c>
      <c r="Q363" s="85">
        <f t="shared" si="7"/>
        <v>5.5325795250191559E-4</v>
      </c>
      <c r="R363" s="85">
        <f>P363/'סכום נכסי הקרן'!$C$42</f>
        <v>5.3436992785168332E-5</v>
      </c>
    </row>
    <row r="364" spans="2:18" s="122" customFormat="1">
      <c r="B364" s="77" t="s">
        <v>3487</v>
      </c>
      <c r="C364" s="87" t="s">
        <v>2972</v>
      </c>
      <c r="D364" s="74">
        <v>7436</v>
      </c>
      <c r="E364" s="74"/>
      <c r="F364" s="74" t="s">
        <v>725</v>
      </c>
      <c r="G364" s="97">
        <v>43889</v>
      </c>
      <c r="H364" s="74"/>
      <c r="I364" s="84">
        <v>10.450000000000001</v>
      </c>
      <c r="J364" s="87" t="s">
        <v>957</v>
      </c>
      <c r="K364" s="87" t="s">
        <v>167</v>
      </c>
      <c r="L364" s="88">
        <v>3.6074000000000002E-2</v>
      </c>
      <c r="M364" s="88">
        <v>5.0799999999999998E-2</v>
      </c>
      <c r="N364" s="84">
        <v>479856.9</v>
      </c>
      <c r="O364" s="86">
        <v>85.3</v>
      </c>
      <c r="P364" s="84">
        <v>1800.42589</v>
      </c>
      <c r="Q364" s="85">
        <f t="shared" ref="Q364:Q387" si="8">P364/$P$10</f>
        <v>3.5784726313893518E-4</v>
      </c>
      <c r="R364" s="85">
        <f>P364/'סכום נכסי הקרן'!$C$42</f>
        <v>3.4563048813078384E-5</v>
      </c>
    </row>
    <row r="365" spans="2:18" s="122" customFormat="1">
      <c r="B365" s="77" t="s">
        <v>3487</v>
      </c>
      <c r="C365" s="87" t="s">
        <v>2972</v>
      </c>
      <c r="D365" s="74">
        <v>7455</v>
      </c>
      <c r="E365" s="74"/>
      <c r="F365" s="74" t="s">
        <v>725</v>
      </c>
      <c r="G365" s="97">
        <v>37635</v>
      </c>
      <c r="H365" s="74"/>
      <c r="I365" s="84">
        <v>10.45</v>
      </c>
      <c r="J365" s="87" t="s">
        <v>957</v>
      </c>
      <c r="K365" s="87" t="s">
        <v>167</v>
      </c>
      <c r="L365" s="88">
        <v>3.6074000000000002E-2</v>
      </c>
      <c r="M365" s="88">
        <v>5.0800000000000012E-2</v>
      </c>
      <c r="N365" s="84">
        <v>1912331.56</v>
      </c>
      <c r="O365" s="86">
        <v>85.32</v>
      </c>
      <c r="P365" s="84">
        <v>7176.7614299999996</v>
      </c>
      <c r="Q365" s="85">
        <f t="shared" si="8"/>
        <v>1.4264316294221755E-3</v>
      </c>
      <c r="R365" s="85">
        <f>P365/'סכום נכסי הקרן'!$C$42</f>
        <v>1.3777337740067058E-4</v>
      </c>
    </row>
    <row r="366" spans="2:18" s="122" customFormat="1">
      <c r="B366" s="77" t="s">
        <v>3487</v>
      </c>
      <c r="C366" s="87" t="s">
        <v>2972</v>
      </c>
      <c r="D366" s="74">
        <v>7536</v>
      </c>
      <c r="E366" s="74"/>
      <c r="F366" s="74" t="s">
        <v>725</v>
      </c>
      <c r="G366" s="97">
        <v>37895</v>
      </c>
      <c r="H366" s="74"/>
      <c r="I366" s="84">
        <v>10.97</v>
      </c>
      <c r="J366" s="87" t="s">
        <v>957</v>
      </c>
      <c r="K366" s="87" t="s">
        <v>167</v>
      </c>
      <c r="L366" s="88">
        <v>3.1446000000000002E-2</v>
      </c>
      <c r="M366" s="88">
        <v>3.5399999999999994E-2</v>
      </c>
      <c r="N366" s="84">
        <v>296124.58</v>
      </c>
      <c r="O366" s="86">
        <v>100</v>
      </c>
      <c r="P366" s="84">
        <v>1302.5335400000001</v>
      </c>
      <c r="Q366" s="85">
        <f t="shared" si="8"/>
        <v>2.5888766931454689E-4</v>
      </c>
      <c r="R366" s="85">
        <f>P366/'סכום נכסי הקרן'!$C$42</f>
        <v>2.5004933873557989E-5</v>
      </c>
    </row>
    <row r="367" spans="2:18" s="122" customFormat="1">
      <c r="B367" s="77" t="s">
        <v>3487</v>
      </c>
      <c r="C367" s="87" t="s">
        <v>2972</v>
      </c>
      <c r="D367" s="74">
        <v>7129</v>
      </c>
      <c r="E367" s="74"/>
      <c r="F367" s="74" t="s">
        <v>725</v>
      </c>
      <c r="G367" s="97">
        <v>43707</v>
      </c>
      <c r="H367" s="74"/>
      <c r="I367" s="84">
        <v>10.49</v>
      </c>
      <c r="J367" s="87" t="s">
        <v>957</v>
      </c>
      <c r="K367" s="87" t="s">
        <v>167</v>
      </c>
      <c r="L367" s="88">
        <v>3.6074000000000002E-2</v>
      </c>
      <c r="M367" s="88">
        <v>5.0300000000000004E-2</v>
      </c>
      <c r="N367" s="84">
        <v>71720.149999999994</v>
      </c>
      <c r="O367" s="86">
        <v>85.29</v>
      </c>
      <c r="P367" s="84">
        <v>269.06289000000004</v>
      </c>
      <c r="Q367" s="85">
        <f t="shared" si="8"/>
        <v>5.3478134997687899E-5</v>
      </c>
      <c r="R367" s="85">
        <f>P367/'סכום נכסי הקרן'!$C$42</f>
        <v>5.1652410979592949E-6</v>
      </c>
    </row>
    <row r="368" spans="2:18" s="122" customFormat="1">
      <c r="B368" s="77" t="s">
        <v>3487</v>
      </c>
      <c r="C368" s="87" t="s">
        <v>2972</v>
      </c>
      <c r="D368" s="74">
        <v>7281</v>
      </c>
      <c r="E368" s="74"/>
      <c r="F368" s="74" t="s">
        <v>725</v>
      </c>
      <c r="G368" s="97">
        <v>43798</v>
      </c>
      <c r="H368" s="74"/>
      <c r="I368" s="84">
        <v>10.45</v>
      </c>
      <c r="J368" s="87" t="s">
        <v>957</v>
      </c>
      <c r="K368" s="87" t="s">
        <v>167</v>
      </c>
      <c r="L368" s="88">
        <v>3.6074000000000002E-2</v>
      </c>
      <c r="M368" s="88">
        <v>5.0900000000000008E-2</v>
      </c>
      <c r="N368" s="84">
        <v>609513.96</v>
      </c>
      <c r="O368" s="86">
        <v>85.29</v>
      </c>
      <c r="P368" s="84">
        <v>2286.6318300000003</v>
      </c>
      <c r="Q368" s="85">
        <f t="shared" si="8"/>
        <v>4.5448410107670414E-4</v>
      </c>
      <c r="R368" s="85">
        <f>P368/'סכום נכסי הקרן'!$C$42</f>
        <v>4.3896817967791368E-5</v>
      </c>
    </row>
    <row r="369" spans="2:18" s="122" customFormat="1">
      <c r="B369" s="77" t="s">
        <v>3487</v>
      </c>
      <c r="C369" s="87" t="s">
        <v>2972</v>
      </c>
      <c r="D369" s="74">
        <v>7338</v>
      </c>
      <c r="E369" s="74"/>
      <c r="F369" s="74" t="s">
        <v>725</v>
      </c>
      <c r="G369" s="97">
        <v>43830</v>
      </c>
      <c r="H369" s="74"/>
      <c r="I369" s="84">
        <v>10.45</v>
      </c>
      <c r="J369" s="87" t="s">
        <v>957</v>
      </c>
      <c r="K369" s="87" t="s">
        <v>167</v>
      </c>
      <c r="L369" s="88">
        <v>3.6074000000000002E-2</v>
      </c>
      <c r="M369" s="88">
        <v>5.0900000000000001E-2</v>
      </c>
      <c r="N369" s="84">
        <v>221668.85</v>
      </c>
      <c r="O369" s="86">
        <v>85.29</v>
      </c>
      <c r="P369" s="84">
        <v>831.60530000000006</v>
      </c>
      <c r="Q369" s="85">
        <f t="shared" si="8"/>
        <v>1.6528738131889068E-4</v>
      </c>
      <c r="R369" s="85">
        <f>P369/'סכום נכסי הקרן'!$C$42</f>
        <v>1.5964453042338052E-5</v>
      </c>
    </row>
    <row r="370" spans="2:18" s="122" customFormat="1">
      <c r="B370" s="77" t="s">
        <v>3488</v>
      </c>
      <c r="C370" s="87" t="s">
        <v>2972</v>
      </c>
      <c r="D370" s="74" t="s">
        <v>3167</v>
      </c>
      <c r="E370" s="74"/>
      <c r="F370" s="74" t="s">
        <v>725</v>
      </c>
      <c r="G370" s="97">
        <v>42887</v>
      </c>
      <c r="H370" s="74"/>
      <c r="I370" s="84">
        <v>1.9500000000000002</v>
      </c>
      <c r="J370" s="87" t="s">
        <v>957</v>
      </c>
      <c r="K370" s="87" t="s">
        <v>164</v>
      </c>
      <c r="L370" s="88">
        <v>5.0804000000000002E-2</v>
      </c>
      <c r="M370" s="88">
        <v>8.72E-2</v>
      </c>
      <c r="N370" s="84">
        <v>5522936.6799999997</v>
      </c>
      <c r="O370" s="86">
        <v>93.93</v>
      </c>
      <c r="P370" s="84">
        <v>18494.130929999999</v>
      </c>
      <c r="Q370" s="85">
        <f t="shared" si="8"/>
        <v>3.6758381304068171E-3</v>
      </c>
      <c r="R370" s="85">
        <f>P370/'סכום נכסי הקרן'!$C$42</f>
        <v>3.5503463577112455E-4</v>
      </c>
    </row>
    <row r="371" spans="2:18" s="122" customFormat="1">
      <c r="B371" s="77" t="s">
        <v>3488</v>
      </c>
      <c r="C371" s="87" t="s">
        <v>2972</v>
      </c>
      <c r="D371" s="74" t="s">
        <v>3168</v>
      </c>
      <c r="E371" s="74"/>
      <c r="F371" s="74" t="s">
        <v>725</v>
      </c>
      <c r="G371" s="97">
        <v>42887</v>
      </c>
      <c r="H371" s="74"/>
      <c r="I371" s="84">
        <v>2.06</v>
      </c>
      <c r="J371" s="87" t="s">
        <v>957</v>
      </c>
      <c r="K371" s="87" t="s">
        <v>164</v>
      </c>
      <c r="L371" s="88">
        <v>4.4893999999999996E-2</v>
      </c>
      <c r="M371" s="88">
        <v>7.8700000000000006E-2</v>
      </c>
      <c r="N371" s="84">
        <v>3263646.85</v>
      </c>
      <c r="O371" s="86">
        <v>93.93</v>
      </c>
      <c r="P371" s="84">
        <v>10928.66258</v>
      </c>
      <c r="Q371" s="85">
        <f t="shared" si="8"/>
        <v>2.1721482765513301E-3</v>
      </c>
      <c r="R371" s="85">
        <f>P371/'סכום נכסי הקרן'!$C$42</f>
        <v>2.0979919268668325E-4</v>
      </c>
    </row>
    <row r="372" spans="2:18" s="122" customFormat="1">
      <c r="B372" s="77" t="s">
        <v>3489</v>
      </c>
      <c r="C372" s="87" t="s">
        <v>2972</v>
      </c>
      <c r="D372" s="74">
        <v>6528</v>
      </c>
      <c r="E372" s="74"/>
      <c r="F372" s="74" t="s">
        <v>725</v>
      </c>
      <c r="G372" s="97">
        <v>43373</v>
      </c>
      <c r="H372" s="74"/>
      <c r="I372" s="84">
        <v>6.8699999999999992</v>
      </c>
      <c r="J372" s="87" t="s">
        <v>957</v>
      </c>
      <c r="K372" s="87" t="s">
        <v>167</v>
      </c>
      <c r="L372" s="88">
        <v>3.032E-2</v>
      </c>
      <c r="M372" s="88">
        <v>3.7599999999999995E-2</v>
      </c>
      <c r="N372" s="84">
        <v>17947673.32</v>
      </c>
      <c r="O372" s="86">
        <v>95.47</v>
      </c>
      <c r="P372" s="84">
        <v>75368.441400000011</v>
      </c>
      <c r="Q372" s="85">
        <f t="shared" si="8"/>
        <v>1.498000591517667E-2</v>
      </c>
      <c r="R372" s="85">
        <f>P372/'סכום נכסי הקרן'!$C$42</f>
        <v>1.4468593978471606E-3</v>
      </c>
    </row>
    <row r="373" spans="2:18" s="122" customFormat="1">
      <c r="B373" s="77" t="s">
        <v>3490</v>
      </c>
      <c r="C373" s="87" t="s">
        <v>2972</v>
      </c>
      <c r="D373" s="74">
        <v>7382</v>
      </c>
      <c r="E373" s="74"/>
      <c r="F373" s="74" t="s">
        <v>725</v>
      </c>
      <c r="G373" s="97">
        <v>43860</v>
      </c>
      <c r="H373" s="74"/>
      <c r="I373" s="84">
        <v>4.76</v>
      </c>
      <c r="J373" s="87" t="s">
        <v>957</v>
      </c>
      <c r="K373" s="87" t="s">
        <v>164</v>
      </c>
      <c r="L373" s="88">
        <v>3.7393999999999997E-2</v>
      </c>
      <c r="M373" s="88">
        <v>4.4899999999999995E-2</v>
      </c>
      <c r="N373" s="84">
        <v>18456226.289999999</v>
      </c>
      <c r="O373" s="86">
        <v>99.09</v>
      </c>
      <c r="P373" s="84">
        <v>65197.697200000002</v>
      </c>
      <c r="Q373" s="85">
        <f t="shared" si="8"/>
        <v>1.2958499228191513E-2</v>
      </c>
      <c r="R373" s="85">
        <f>P373/'סכום נכסי הקרן'!$C$42</f>
        <v>1.2516100792262569E-3</v>
      </c>
    </row>
    <row r="374" spans="2:18" s="122" customFormat="1">
      <c r="B374" s="77" t="s">
        <v>3491</v>
      </c>
      <c r="C374" s="87" t="s">
        <v>2972</v>
      </c>
      <c r="D374" s="74">
        <v>6495</v>
      </c>
      <c r="E374" s="74"/>
      <c r="F374" s="74" t="s">
        <v>725</v>
      </c>
      <c r="G374" s="97">
        <v>43342</v>
      </c>
      <c r="H374" s="74"/>
      <c r="I374" s="84">
        <v>2.76</v>
      </c>
      <c r="J374" s="87" t="s">
        <v>957</v>
      </c>
      <c r="K374" s="87" t="s">
        <v>164</v>
      </c>
      <c r="L374" s="88">
        <v>4.2770999999999997E-2</v>
      </c>
      <c r="M374" s="88">
        <v>7.0199999999999999E-2</v>
      </c>
      <c r="N374" s="84">
        <v>210508.7</v>
      </c>
      <c r="O374" s="86">
        <v>92.97</v>
      </c>
      <c r="P374" s="84">
        <v>697.70590000000004</v>
      </c>
      <c r="Q374" s="85">
        <f t="shared" si="8"/>
        <v>1.386739371932091E-4</v>
      </c>
      <c r="R374" s="85">
        <f>P374/'סכום נכסי הקרן'!$C$42</f>
        <v>1.3393965957061853E-5</v>
      </c>
    </row>
    <row r="375" spans="2:18" s="122" customFormat="1">
      <c r="B375" s="77" t="s">
        <v>3491</v>
      </c>
      <c r="C375" s="87" t="s">
        <v>2972</v>
      </c>
      <c r="D375" s="74">
        <v>6614</v>
      </c>
      <c r="E375" s="74"/>
      <c r="F375" s="74" t="s">
        <v>725</v>
      </c>
      <c r="G375" s="97">
        <v>43433</v>
      </c>
      <c r="H375" s="74"/>
      <c r="I375" s="84">
        <v>2.73</v>
      </c>
      <c r="J375" s="87" t="s">
        <v>957</v>
      </c>
      <c r="K375" s="87" t="s">
        <v>164</v>
      </c>
      <c r="L375" s="88">
        <v>4.2770999999999997E-2</v>
      </c>
      <c r="M375" s="88">
        <v>7.0499999999999979E-2</v>
      </c>
      <c r="N375" s="84">
        <v>245034.01</v>
      </c>
      <c r="O375" s="86">
        <v>92.97</v>
      </c>
      <c r="P375" s="84">
        <v>812.13592000000006</v>
      </c>
      <c r="Q375" s="85">
        <f t="shared" si="8"/>
        <v>1.6141770560121262E-4</v>
      </c>
      <c r="R375" s="85">
        <f>P375/'סכום נכסי הקרן'!$C$42</f>
        <v>1.5590696402290863E-5</v>
      </c>
    </row>
    <row r="376" spans="2:18" s="122" customFormat="1">
      <c r="B376" s="77" t="s">
        <v>3491</v>
      </c>
      <c r="C376" s="87" t="s">
        <v>2972</v>
      </c>
      <c r="D376" s="74">
        <v>6739</v>
      </c>
      <c r="E376" s="74"/>
      <c r="F376" s="74" t="s">
        <v>725</v>
      </c>
      <c r="G376" s="97">
        <v>43495</v>
      </c>
      <c r="H376" s="74"/>
      <c r="I376" s="84">
        <v>2.73</v>
      </c>
      <c r="J376" s="87" t="s">
        <v>957</v>
      </c>
      <c r="K376" s="87" t="s">
        <v>164</v>
      </c>
      <c r="L376" s="88">
        <v>4.2770999999999997E-2</v>
      </c>
      <c r="M376" s="88">
        <v>7.0499999999999979E-2</v>
      </c>
      <c r="N376" s="84">
        <v>490228.31</v>
      </c>
      <c r="O376" s="86">
        <v>92.97</v>
      </c>
      <c r="P376" s="84">
        <v>1624.8030800000001</v>
      </c>
      <c r="Q376" s="85">
        <f t="shared" si="8"/>
        <v>3.2294099887538965E-4</v>
      </c>
      <c r="R376" s="85">
        <f>P376/'סכום נכסי הקרן'!$C$42</f>
        <v>3.1191591099414878E-5</v>
      </c>
    </row>
    <row r="377" spans="2:18" s="122" customFormat="1">
      <c r="B377" s="77" t="s">
        <v>3491</v>
      </c>
      <c r="C377" s="87" t="s">
        <v>2972</v>
      </c>
      <c r="D377" s="74">
        <v>6830</v>
      </c>
      <c r="E377" s="74"/>
      <c r="F377" s="74" t="s">
        <v>725</v>
      </c>
      <c r="G377" s="97">
        <v>43552</v>
      </c>
      <c r="H377" s="74"/>
      <c r="I377" s="84">
        <v>2.7299999999999995</v>
      </c>
      <c r="J377" s="87" t="s">
        <v>957</v>
      </c>
      <c r="K377" s="87" t="s">
        <v>164</v>
      </c>
      <c r="L377" s="88">
        <v>4.2770999999999997E-2</v>
      </c>
      <c r="M377" s="88">
        <v>7.0499999999999993E-2</v>
      </c>
      <c r="N377" s="84">
        <v>264177.52</v>
      </c>
      <c r="O377" s="86">
        <v>92.97</v>
      </c>
      <c r="P377" s="84">
        <v>875.58478000000002</v>
      </c>
      <c r="Q377" s="85">
        <f t="shared" si="8"/>
        <v>1.7402861117993959E-4</v>
      </c>
      <c r="R377" s="85">
        <f>P377/'סכום נכסי הקרן'!$C$42</f>
        <v>1.6808733788608485E-5</v>
      </c>
    </row>
    <row r="378" spans="2:18" s="122" customFormat="1">
      <c r="B378" s="77" t="s">
        <v>3491</v>
      </c>
      <c r="C378" s="87" t="s">
        <v>2972</v>
      </c>
      <c r="D378" s="74">
        <v>6931</v>
      </c>
      <c r="E378" s="74"/>
      <c r="F378" s="74" t="s">
        <v>725</v>
      </c>
      <c r="G378" s="97">
        <v>43615</v>
      </c>
      <c r="H378" s="74"/>
      <c r="I378" s="84">
        <v>2.73</v>
      </c>
      <c r="J378" s="87" t="s">
        <v>957</v>
      </c>
      <c r="K378" s="87" t="s">
        <v>164</v>
      </c>
      <c r="L378" s="88">
        <v>4.2770999999999997E-2</v>
      </c>
      <c r="M378" s="88">
        <v>7.0500000000000007E-2</v>
      </c>
      <c r="N378" s="84">
        <v>589805.93000000005</v>
      </c>
      <c r="O378" s="86">
        <v>92.97</v>
      </c>
      <c r="P378" s="84">
        <v>1954.84115</v>
      </c>
      <c r="Q378" s="85">
        <f t="shared" si="8"/>
        <v>3.8853837821609452E-4</v>
      </c>
      <c r="R378" s="85">
        <f>P378/'סכום נכסי הקרן'!$C$42</f>
        <v>3.7527381973641961E-5</v>
      </c>
    </row>
    <row r="379" spans="2:18" s="122" customFormat="1">
      <c r="B379" s="77" t="s">
        <v>3491</v>
      </c>
      <c r="C379" s="87" t="s">
        <v>2972</v>
      </c>
      <c r="D379" s="74">
        <v>7015</v>
      </c>
      <c r="E379" s="74"/>
      <c r="F379" s="74" t="s">
        <v>725</v>
      </c>
      <c r="G379" s="97">
        <v>43643</v>
      </c>
      <c r="H379" s="74"/>
      <c r="I379" s="84">
        <v>2.6900000000000004</v>
      </c>
      <c r="J379" s="87" t="s">
        <v>957</v>
      </c>
      <c r="K379" s="87" t="s">
        <v>164</v>
      </c>
      <c r="L379" s="88">
        <v>4.2770999999999997E-2</v>
      </c>
      <c r="M379" s="88">
        <v>7.0900000000000005E-2</v>
      </c>
      <c r="N379" s="84">
        <v>478738.58</v>
      </c>
      <c r="O379" s="86">
        <v>92.97</v>
      </c>
      <c r="P379" s="84">
        <v>1586.7217499999999</v>
      </c>
      <c r="Q379" s="85">
        <f t="shared" si="8"/>
        <v>3.1537206766145854E-4</v>
      </c>
      <c r="R379" s="85">
        <f>P379/'סכום נכסי הקרן'!$C$42</f>
        <v>3.046053803304459E-5</v>
      </c>
    </row>
    <row r="380" spans="2:18" s="122" customFormat="1">
      <c r="B380" s="77" t="s">
        <v>3491</v>
      </c>
      <c r="C380" s="87" t="s">
        <v>2972</v>
      </c>
      <c r="D380" s="74">
        <v>7279</v>
      </c>
      <c r="E380" s="74"/>
      <c r="F380" s="74" t="s">
        <v>725</v>
      </c>
      <c r="G380" s="97">
        <v>43795</v>
      </c>
      <c r="H380" s="74"/>
      <c r="I380" s="84">
        <v>2.7</v>
      </c>
      <c r="J380" s="87" t="s">
        <v>957</v>
      </c>
      <c r="K380" s="87" t="s">
        <v>164</v>
      </c>
      <c r="L380" s="88">
        <v>4.2694999999999997E-2</v>
      </c>
      <c r="M380" s="88">
        <v>7.0800000000000002E-2</v>
      </c>
      <c r="N380" s="84">
        <v>464528.49</v>
      </c>
      <c r="O380" s="86">
        <v>92.97</v>
      </c>
      <c r="P380" s="84">
        <v>1539.6242099999999</v>
      </c>
      <c r="Q380" s="85">
        <f t="shared" si="8"/>
        <v>3.0601110152384285E-4</v>
      </c>
      <c r="R380" s="85">
        <f>P380/'סכום נכסי הקרן'!$C$42</f>
        <v>2.9556399416155498E-5</v>
      </c>
    </row>
    <row r="381" spans="2:18" s="122" customFormat="1">
      <c r="B381" s="77" t="s">
        <v>3491</v>
      </c>
      <c r="C381" s="87" t="s">
        <v>2972</v>
      </c>
      <c r="D381" s="74">
        <v>7333</v>
      </c>
      <c r="E381" s="74"/>
      <c r="F381" s="74" t="s">
        <v>725</v>
      </c>
      <c r="G381" s="97">
        <v>43829</v>
      </c>
      <c r="H381" s="74"/>
      <c r="I381" s="84">
        <v>2.7</v>
      </c>
      <c r="J381" s="87" t="s">
        <v>957</v>
      </c>
      <c r="K381" s="87" t="s">
        <v>164</v>
      </c>
      <c r="L381" s="88">
        <v>4.2770999999999997E-2</v>
      </c>
      <c r="M381" s="88">
        <v>7.0800000000000002E-2</v>
      </c>
      <c r="N381" s="84">
        <v>274494.11</v>
      </c>
      <c r="O381" s="86">
        <v>92.97</v>
      </c>
      <c r="P381" s="84">
        <v>909.77791999999999</v>
      </c>
      <c r="Q381" s="85">
        <f t="shared" si="8"/>
        <v>1.8082473738268288E-4</v>
      </c>
      <c r="R381" s="85">
        <f>P381/'סכום נכסי הקרן'!$C$42</f>
        <v>1.7465144681973507E-5</v>
      </c>
    </row>
    <row r="382" spans="2:18" s="122" customFormat="1">
      <c r="B382" s="77" t="s">
        <v>3491</v>
      </c>
      <c r="C382" s="87" t="s">
        <v>2972</v>
      </c>
      <c r="D382" s="74">
        <v>7383</v>
      </c>
      <c r="E382" s="74"/>
      <c r="F382" s="74" t="s">
        <v>725</v>
      </c>
      <c r="G382" s="97">
        <v>43861</v>
      </c>
      <c r="H382" s="74"/>
      <c r="I382" s="84">
        <v>2.6999999999999997</v>
      </c>
      <c r="J382" s="87" t="s">
        <v>957</v>
      </c>
      <c r="K382" s="87" t="s">
        <v>164</v>
      </c>
      <c r="L382" s="88">
        <v>4.2770999999999997E-2</v>
      </c>
      <c r="M382" s="88">
        <v>7.0799999999999988E-2</v>
      </c>
      <c r="N382" s="84">
        <v>842677.72</v>
      </c>
      <c r="O382" s="86">
        <v>92.97</v>
      </c>
      <c r="P382" s="84">
        <v>2792.9544700000001</v>
      </c>
      <c r="Q382" s="85">
        <f t="shared" si="8"/>
        <v>5.5511927411861157E-4</v>
      </c>
      <c r="R382" s="85">
        <f>P382/'סכום נכסי הקרן'!$C$42</f>
        <v>5.3616770462746164E-5</v>
      </c>
    </row>
    <row r="383" spans="2:18" s="122" customFormat="1">
      <c r="B383" s="77" t="s">
        <v>3491</v>
      </c>
      <c r="C383" s="87" t="s">
        <v>2972</v>
      </c>
      <c r="D383" s="74">
        <v>7454</v>
      </c>
      <c r="E383" s="74"/>
      <c r="F383" s="74" t="s">
        <v>725</v>
      </c>
      <c r="G383" s="97">
        <v>37635</v>
      </c>
      <c r="H383" s="74"/>
      <c r="I383" s="84">
        <v>2.71</v>
      </c>
      <c r="J383" s="87" t="s">
        <v>957</v>
      </c>
      <c r="K383" s="87" t="s">
        <v>164</v>
      </c>
      <c r="L383" s="88">
        <v>4.1375999999999996E-2</v>
      </c>
      <c r="M383" s="88">
        <v>6.93E-2</v>
      </c>
      <c r="N383" s="84">
        <v>489482.5</v>
      </c>
      <c r="O383" s="86">
        <v>92.97</v>
      </c>
      <c r="P383" s="84">
        <v>1622.3311799999999</v>
      </c>
      <c r="Q383" s="85">
        <f t="shared" si="8"/>
        <v>3.2244969142715402E-4</v>
      </c>
      <c r="R383" s="85">
        <f>P383/'סכום נכסי הקרן'!$C$42</f>
        <v>3.1144137660294952E-5</v>
      </c>
    </row>
    <row r="384" spans="2:18" s="122" customFormat="1">
      <c r="B384" s="77" t="s">
        <v>3491</v>
      </c>
      <c r="C384" s="87" t="s">
        <v>2972</v>
      </c>
      <c r="D384" s="74">
        <v>7532</v>
      </c>
      <c r="E384" s="74"/>
      <c r="F384" s="74" t="s">
        <v>725</v>
      </c>
      <c r="G384" s="97">
        <v>43920</v>
      </c>
      <c r="H384" s="74"/>
      <c r="I384" s="84">
        <v>2.75</v>
      </c>
      <c r="J384" s="87" t="s">
        <v>957</v>
      </c>
      <c r="K384" s="87" t="s">
        <v>164</v>
      </c>
      <c r="L384" s="88">
        <v>3.4894000000000001E-2</v>
      </c>
      <c r="M384" s="88">
        <v>3.5899999999999994E-2</v>
      </c>
      <c r="N384" s="84">
        <v>671838.73</v>
      </c>
      <c r="O384" s="86">
        <v>100</v>
      </c>
      <c r="P384" s="84">
        <v>2395.1049700000003</v>
      </c>
      <c r="Q384" s="85">
        <f t="shared" si="8"/>
        <v>4.7604389783850617E-4</v>
      </c>
      <c r="R384" s="85">
        <f>P384/'סכום נכסי הקרן'!$C$42</f>
        <v>4.5979193284404867E-5</v>
      </c>
    </row>
    <row r="385" spans="2:18" s="122" customFormat="1">
      <c r="B385" s="77" t="s">
        <v>3492</v>
      </c>
      <c r="C385" s="87" t="s">
        <v>2972</v>
      </c>
      <c r="D385" s="74">
        <v>7482</v>
      </c>
      <c r="E385" s="74"/>
      <c r="F385" s="74" t="s">
        <v>725</v>
      </c>
      <c r="G385" s="97">
        <v>43921</v>
      </c>
      <c r="H385" s="74"/>
      <c r="I385" s="84">
        <v>4.1500000000000004</v>
      </c>
      <c r="J385" s="87" t="s">
        <v>957</v>
      </c>
      <c r="K385" s="87" t="s">
        <v>164</v>
      </c>
      <c r="L385" s="88">
        <v>3.3911999999999998E-2</v>
      </c>
      <c r="M385" s="88">
        <v>2.9799999999999997E-2</v>
      </c>
      <c r="N385" s="84">
        <v>660595.87</v>
      </c>
      <c r="O385" s="86">
        <v>100.57</v>
      </c>
      <c r="P385" s="84">
        <v>2368.4479900000001</v>
      </c>
      <c r="Q385" s="85">
        <f t="shared" si="8"/>
        <v>4.7074563624966098E-4</v>
      </c>
      <c r="R385" s="85">
        <f>P385/'סכום נכסי הקרן'!$C$42</f>
        <v>4.546745519728523E-5</v>
      </c>
    </row>
    <row r="386" spans="2:18" s="122" customFormat="1">
      <c r="B386" s="77" t="s">
        <v>3492</v>
      </c>
      <c r="C386" s="87" t="s">
        <v>2972</v>
      </c>
      <c r="D386" s="74">
        <v>7505</v>
      </c>
      <c r="E386" s="74"/>
      <c r="F386" s="74" t="s">
        <v>725</v>
      </c>
      <c r="G386" s="97">
        <v>37832</v>
      </c>
      <c r="H386" s="74"/>
      <c r="I386" s="84">
        <v>4.12</v>
      </c>
      <c r="J386" s="87" t="s">
        <v>957</v>
      </c>
      <c r="K386" s="87" t="s">
        <v>164</v>
      </c>
      <c r="L386" s="88">
        <v>3.2986000000000001E-2</v>
      </c>
      <c r="M386" s="88">
        <v>3.3000000000000002E-2</v>
      </c>
      <c r="N386" s="84">
        <v>1793670.9</v>
      </c>
      <c r="O386" s="86">
        <v>100.52</v>
      </c>
      <c r="P386" s="84">
        <v>6427.6880099999998</v>
      </c>
      <c r="Q386" s="85">
        <f t="shared" si="8"/>
        <v>1.2775480376420541E-3</v>
      </c>
      <c r="R386" s="85">
        <f>P386/'סכום נכסי הקרן'!$C$42</f>
        <v>1.2339330137319269E-4</v>
      </c>
    </row>
    <row r="387" spans="2:18" s="122" customFormat="1">
      <c r="B387" s="77" t="s">
        <v>3492</v>
      </c>
      <c r="C387" s="87" t="s">
        <v>2972</v>
      </c>
      <c r="D387" s="74">
        <v>7210</v>
      </c>
      <c r="E387" s="74"/>
      <c r="F387" s="74" t="s">
        <v>725</v>
      </c>
      <c r="G387" s="97">
        <v>43741</v>
      </c>
      <c r="H387" s="74"/>
      <c r="I387" s="84">
        <v>4.12</v>
      </c>
      <c r="J387" s="87" t="s">
        <v>957</v>
      </c>
      <c r="K387" s="87" t="s">
        <v>164</v>
      </c>
      <c r="L387" s="88">
        <v>3.0005999999999998E-2</v>
      </c>
      <c r="M387" s="88">
        <v>3.3000000000000002E-2</v>
      </c>
      <c r="N387" s="84">
        <v>328110.53000000003</v>
      </c>
      <c r="O387" s="86">
        <v>100.5</v>
      </c>
      <c r="P387" s="84">
        <v>1175.5625600000001</v>
      </c>
      <c r="Q387" s="85">
        <f t="shared" si="8"/>
        <v>2.3365129721868212E-4</v>
      </c>
      <c r="R387" s="85">
        <f>P387/'סכום נכסי הקרן'!$C$42</f>
        <v>2.2567452717594162E-5</v>
      </c>
    </row>
    <row r="388" spans="2:18" s="122" customFormat="1">
      <c r="B388" s="77" t="s">
        <v>3451</v>
      </c>
      <c r="C388" s="87" t="s">
        <v>2967</v>
      </c>
      <c r="D388" s="74" t="s">
        <v>3137</v>
      </c>
      <c r="E388" s="74"/>
      <c r="F388" s="74" t="s">
        <v>725</v>
      </c>
      <c r="G388" s="97">
        <v>43186</v>
      </c>
      <c r="H388" s="74"/>
      <c r="I388" s="84">
        <v>5.62</v>
      </c>
      <c r="J388" s="87" t="s">
        <v>191</v>
      </c>
      <c r="K388" s="87" t="s">
        <v>164</v>
      </c>
      <c r="L388" s="88">
        <v>4.8000000000000001E-2</v>
      </c>
      <c r="M388" s="88">
        <v>3.1E-2</v>
      </c>
      <c r="N388" s="84">
        <v>26145069</v>
      </c>
      <c r="O388" s="86">
        <v>110.05</v>
      </c>
      <c r="P388" s="84">
        <v>102574.49244</v>
      </c>
      <c r="Q388" s="85">
        <f t="shared" ref="Q388:Q394" si="9">P388/$P$10</f>
        <v>2.0387399221147278E-2</v>
      </c>
      <c r="R388" s="85">
        <f>P388/'סכום נכסי הקרן'!$C$42</f>
        <v>1.9691380849785824E-3</v>
      </c>
    </row>
    <row r="389" spans="2:18" s="122" customFormat="1">
      <c r="B389" s="77" t="s">
        <v>3451</v>
      </c>
      <c r="C389" s="87" t="s">
        <v>2967</v>
      </c>
      <c r="D389" s="74">
        <v>6831</v>
      </c>
      <c r="E389" s="74"/>
      <c r="F389" s="74" t="s">
        <v>725</v>
      </c>
      <c r="G389" s="97">
        <v>43552</v>
      </c>
      <c r="H389" s="74"/>
      <c r="I389" s="84">
        <v>5.55</v>
      </c>
      <c r="J389" s="87" t="s">
        <v>191</v>
      </c>
      <c r="K389" s="87" t="s">
        <v>164</v>
      </c>
      <c r="L389" s="88">
        <v>4.5999999999999999E-2</v>
      </c>
      <c r="M389" s="88">
        <v>4.2199999999999994E-2</v>
      </c>
      <c r="N389" s="84">
        <v>11932316.76</v>
      </c>
      <c r="O389" s="86">
        <v>102.52</v>
      </c>
      <c r="P389" s="84">
        <v>43610.685210000003</v>
      </c>
      <c r="Q389" s="85">
        <f t="shared" si="9"/>
        <v>8.6679293119985845E-3</v>
      </c>
      <c r="R389" s="85">
        <f>P389/'סכום נכסי הקרן'!$C$42</f>
        <v>8.3720093676559258E-4</v>
      </c>
    </row>
    <row r="390" spans="2:18" s="122" customFormat="1">
      <c r="B390" s="77" t="s">
        <v>3452</v>
      </c>
      <c r="C390" s="87" t="s">
        <v>2972</v>
      </c>
      <c r="D390" s="74" t="s">
        <v>3138</v>
      </c>
      <c r="E390" s="74"/>
      <c r="F390" s="74" t="s">
        <v>725</v>
      </c>
      <c r="G390" s="97">
        <v>43648</v>
      </c>
      <c r="H390" s="74"/>
      <c r="I390" s="84">
        <v>1.68</v>
      </c>
      <c r="J390" s="87" t="s">
        <v>957</v>
      </c>
      <c r="K390" s="87" t="s">
        <v>164</v>
      </c>
      <c r="L390" s="88">
        <v>5.1158000000000002E-2</v>
      </c>
      <c r="M390" s="88">
        <v>7.1300000000000002E-2</v>
      </c>
      <c r="N390" s="84">
        <v>5578813.1100000003</v>
      </c>
      <c r="O390" s="86">
        <v>97.64</v>
      </c>
      <c r="P390" s="84">
        <v>19419.099870000002</v>
      </c>
      <c r="Q390" s="85">
        <f t="shared" si="9"/>
        <v>3.8596821894741539E-3</v>
      </c>
      <c r="R390" s="85">
        <f>P390/'סכום נכסי הקרן'!$C$42</f>
        <v>3.7279140476748762E-4</v>
      </c>
    </row>
    <row r="391" spans="2:18" s="122" customFormat="1">
      <c r="B391" s="77" t="s">
        <v>3452</v>
      </c>
      <c r="C391" s="87" t="s">
        <v>2972</v>
      </c>
      <c r="D391" s="74" t="s">
        <v>3139</v>
      </c>
      <c r="E391" s="74"/>
      <c r="F391" s="74" t="s">
        <v>725</v>
      </c>
      <c r="G391" s="97">
        <v>43731</v>
      </c>
      <c r="H391" s="74"/>
      <c r="I391" s="84">
        <v>1.69</v>
      </c>
      <c r="J391" s="87" t="s">
        <v>957</v>
      </c>
      <c r="K391" s="87" t="s">
        <v>164</v>
      </c>
      <c r="L391" s="88">
        <v>4.8658E-2</v>
      </c>
      <c r="M391" s="88">
        <v>6.7799999999999999E-2</v>
      </c>
      <c r="N391" s="84">
        <v>5230137.29</v>
      </c>
      <c r="O391" s="86">
        <v>97.76</v>
      </c>
      <c r="P391" s="84">
        <v>18227.781940000001</v>
      </c>
      <c r="Q391" s="85">
        <f t="shared" si="9"/>
        <v>3.6228994020533166E-3</v>
      </c>
      <c r="R391" s="85">
        <f>P391/'סכום נכסי הקרן'!$C$42</f>
        <v>3.4992149382298023E-4</v>
      </c>
    </row>
    <row r="392" spans="2:18" s="122" customFormat="1">
      <c r="B392" s="77" t="s">
        <v>3452</v>
      </c>
      <c r="C392" s="87" t="s">
        <v>2972</v>
      </c>
      <c r="D392" s="74" t="s">
        <v>3140</v>
      </c>
      <c r="E392" s="74"/>
      <c r="F392" s="74" t="s">
        <v>725</v>
      </c>
      <c r="G392" s="97">
        <v>43822</v>
      </c>
      <c r="H392" s="74"/>
      <c r="I392" s="84">
        <v>1.68</v>
      </c>
      <c r="J392" s="87" t="s">
        <v>957</v>
      </c>
      <c r="K392" s="87" t="s">
        <v>164</v>
      </c>
      <c r="L392" s="88">
        <v>5.1158000000000002E-2</v>
      </c>
      <c r="M392" s="88">
        <v>7.3599999999999999E-2</v>
      </c>
      <c r="N392" s="84">
        <v>5927488.9299999997</v>
      </c>
      <c r="O392" s="86">
        <v>97.29</v>
      </c>
      <c r="P392" s="84">
        <v>20558.83337</v>
      </c>
      <c r="Q392" s="85">
        <f t="shared" si="9"/>
        <v>4.0862122099254595E-3</v>
      </c>
      <c r="R392" s="85">
        <f>P392/'סכום נכסי הקרן'!$C$42</f>
        <v>3.9467104158741843E-4</v>
      </c>
    </row>
    <row r="393" spans="2:18" s="122" customFormat="1">
      <c r="B393" s="77" t="s">
        <v>3452</v>
      </c>
      <c r="C393" s="87" t="s">
        <v>2972</v>
      </c>
      <c r="D393" s="74" t="s">
        <v>3141</v>
      </c>
      <c r="E393" s="74"/>
      <c r="F393" s="74" t="s">
        <v>725</v>
      </c>
      <c r="G393" s="97">
        <v>43914</v>
      </c>
      <c r="H393" s="74"/>
      <c r="I393" s="84">
        <v>1.68</v>
      </c>
      <c r="J393" s="87" t="s">
        <v>957</v>
      </c>
      <c r="K393" s="87" t="s">
        <v>164</v>
      </c>
      <c r="L393" s="88">
        <v>5.2041000000000004E-2</v>
      </c>
      <c r="M393" s="88">
        <v>5.3100000000000008E-2</v>
      </c>
      <c r="N393" s="84">
        <v>1743379.1</v>
      </c>
      <c r="O393" s="86">
        <v>100.46</v>
      </c>
      <c r="P393" s="84">
        <v>6243.7360099999996</v>
      </c>
      <c r="Q393" s="85">
        <f t="shared" si="9"/>
        <v>1.2409862884945045E-3</v>
      </c>
      <c r="R393" s="85">
        <f>P393/'סכום נכסי הקרן'!$C$42</f>
        <v>1.1986194693612479E-4</v>
      </c>
    </row>
    <row r="394" spans="2:18" s="122" customFormat="1">
      <c r="B394" s="77" t="s">
        <v>3452</v>
      </c>
      <c r="C394" s="87" t="s">
        <v>2972</v>
      </c>
      <c r="D394" s="74" t="s">
        <v>3142</v>
      </c>
      <c r="E394" s="74"/>
      <c r="F394" s="74" t="s">
        <v>725</v>
      </c>
      <c r="G394" s="97">
        <v>43555</v>
      </c>
      <c r="H394" s="74"/>
      <c r="I394" s="84">
        <v>1.6800000000000002</v>
      </c>
      <c r="J394" s="87" t="s">
        <v>957</v>
      </c>
      <c r="K394" s="87" t="s">
        <v>164</v>
      </c>
      <c r="L394" s="88">
        <v>5.1158000000000002E-2</v>
      </c>
      <c r="M394" s="88">
        <v>6.989999999999999E-2</v>
      </c>
      <c r="N394" s="84">
        <v>12203653.689999999</v>
      </c>
      <c r="O394" s="86">
        <v>97.86</v>
      </c>
      <c r="P394" s="84">
        <v>42574.994279999999</v>
      </c>
      <c r="Q394" s="85">
        <f t="shared" si="9"/>
        <v>8.4620784814718585E-3</v>
      </c>
      <c r="R394" s="85">
        <f>P394/'סכום נכסי הקרן'!$C$42</f>
        <v>8.1731862093816757E-4</v>
      </c>
    </row>
    <row r="395" spans="2:18" s="122" customFormat="1">
      <c r="B395" s="121"/>
      <c r="C395" s="121"/>
      <c r="D395" s="121"/>
      <c r="E395" s="121"/>
    </row>
    <row r="396" spans="2:18" s="122" customFormat="1">
      <c r="B396" s="124" t="s">
        <v>261</v>
      </c>
      <c r="C396" s="121"/>
      <c r="D396" s="121"/>
      <c r="E396" s="121"/>
    </row>
    <row r="397" spans="2:18" s="122" customFormat="1">
      <c r="B397" s="124" t="s">
        <v>115</v>
      </c>
      <c r="C397" s="121"/>
      <c r="D397" s="121"/>
      <c r="E397" s="121"/>
    </row>
    <row r="398" spans="2:18" s="122" customFormat="1">
      <c r="B398" s="124" t="s">
        <v>243</v>
      </c>
      <c r="C398" s="121"/>
      <c r="D398" s="121"/>
      <c r="E398" s="121"/>
    </row>
    <row r="399" spans="2:18" s="122" customFormat="1">
      <c r="B399" s="124" t="s">
        <v>251</v>
      </c>
      <c r="C399" s="121"/>
      <c r="D399" s="121"/>
      <c r="E399" s="121"/>
    </row>
    <row r="400" spans="2:18" s="122" customFormat="1">
      <c r="B400" s="121"/>
      <c r="C400" s="121"/>
      <c r="D400" s="121"/>
      <c r="E400" s="121"/>
    </row>
    <row r="401" spans="1:18" s="122" customFormat="1">
      <c r="B401" s="121"/>
      <c r="C401" s="121"/>
      <c r="D401" s="121"/>
      <c r="E401" s="121"/>
    </row>
    <row r="402" spans="1:18" s="122" customFormat="1"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s="122" customFormat="1"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s="122" customFormat="1"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s="122" customFormat="1"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>
      <c r="A406" s="122"/>
    </row>
  </sheetData>
  <sheetProtection sheet="1" objects="1" scenarios="1"/>
  <mergeCells count="1">
    <mergeCell ref="B6:R6"/>
  </mergeCells>
  <phoneticPr fontId="5" type="noConversion"/>
  <conditionalFormatting sqref="B242:B244">
    <cfRule type="cellIs" dxfId="4" priority="372" operator="equal">
      <formula>2958465</formula>
    </cfRule>
    <cfRule type="cellIs" dxfId="3" priority="373" operator="equal">
      <formula>"NR3"</formula>
    </cfRule>
    <cfRule type="cellIs" dxfId="2" priority="374" operator="equal">
      <formula>"דירוג פנימי"</formula>
    </cfRule>
  </conditionalFormatting>
  <conditionalFormatting sqref="B242:B244">
    <cfRule type="cellIs" dxfId="1" priority="371" operator="equal">
      <formula>2958465</formula>
    </cfRule>
  </conditionalFormatting>
  <conditionalFormatting sqref="B245:B394 B11:B241">
    <cfRule type="cellIs" dxfId="0" priority="370" operator="equal">
      <formula>"NR3"</formula>
    </cfRule>
  </conditionalFormatting>
  <dataValidations count="2">
    <dataValidation allowBlank="1" showInputMessage="1" showErrorMessage="1" sqref="C5 B1:B9 A1:A1048576 B395:R1048576 C7:R9 D1:R5 S1:XFD1048576"/>
    <dataValidation type="list" allowBlank="1" showInputMessage="1" showErrorMessage="1" sqref="J388:J389">
      <formula1>$T$6:$T$29</formula1>
    </dataValidation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27"/>
  <sheetViews>
    <sheetView rightToLeft="1" workbookViewId="0">
      <selection activeCell="D21" sqref="D21:D27"/>
    </sheetView>
  </sheetViews>
  <sheetFormatPr defaultColWidth="9.140625" defaultRowHeight="18"/>
  <cols>
    <col min="1" max="1" width="6.28515625" style="1" customWidth="1"/>
    <col min="2" max="2" width="28.7109375" style="2" bestFit="1" customWidth="1"/>
    <col min="3" max="3" width="48.42578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180</v>
      </c>
      <c r="C1" s="68" t="s" vm="1">
        <v>270</v>
      </c>
    </row>
    <row r="2" spans="2:64">
      <c r="B2" s="47" t="s">
        <v>179</v>
      </c>
      <c r="C2" s="68" t="s">
        <v>271</v>
      </c>
    </row>
    <row r="3" spans="2:64">
      <c r="B3" s="47" t="s">
        <v>181</v>
      </c>
      <c r="C3" s="68" t="s">
        <v>272</v>
      </c>
    </row>
    <row r="4" spans="2:64">
      <c r="B4" s="47" t="s">
        <v>182</v>
      </c>
      <c r="C4" s="68">
        <v>2102</v>
      </c>
    </row>
    <row r="6" spans="2:64" ht="26.25" customHeight="1">
      <c r="B6" s="163" t="s">
        <v>213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5"/>
    </row>
    <row r="7" spans="2:64" s="3" customFormat="1" ht="63">
      <c r="B7" s="48" t="s">
        <v>119</v>
      </c>
      <c r="C7" s="49" t="s">
        <v>47</v>
      </c>
      <c r="D7" s="49" t="s">
        <v>120</v>
      </c>
      <c r="E7" s="49" t="s">
        <v>14</v>
      </c>
      <c r="F7" s="49" t="s">
        <v>69</v>
      </c>
      <c r="G7" s="49" t="s">
        <v>17</v>
      </c>
      <c r="H7" s="49" t="s">
        <v>106</v>
      </c>
      <c r="I7" s="49" t="s">
        <v>55</v>
      </c>
      <c r="J7" s="49" t="s">
        <v>18</v>
      </c>
      <c r="K7" s="49" t="s">
        <v>245</v>
      </c>
      <c r="L7" s="49" t="s">
        <v>244</v>
      </c>
      <c r="M7" s="49" t="s">
        <v>114</v>
      </c>
      <c r="N7" s="49" t="s">
        <v>183</v>
      </c>
      <c r="O7" s="51" t="s">
        <v>185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252</v>
      </c>
      <c r="L8" s="32"/>
      <c r="M8" s="32" t="s">
        <v>248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117" t="s">
        <v>42</v>
      </c>
      <c r="C10" s="113"/>
      <c r="D10" s="113"/>
      <c r="E10" s="113"/>
      <c r="F10" s="113"/>
      <c r="G10" s="114">
        <v>2.8857552433674565</v>
      </c>
      <c r="H10" s="113"/>
      <c r="I10" s="113"/>
      <c r="J10" s="115">
        <v>8.8907191277736615E-3</v>
      </c>
      <c r="K10" s="114"/>
      <c r="L10" s="116"/>
      <c r="M10" s="114">
        <v>186676.60395999995</v>
      </c>
      <c r="N10" s="115">
        <f>M10/$M$10</f>
        <v>1</v>
      </c>
      <c r="O10" s="115">
        <f>M10/'סכום נכסי הקרן'!$C$42</f>
        <v>3.5836590724260134E-3</v>
      </c>
      <c r="P10" s="90"/>
      <c r="Q10" s="90"/>
      <c r="R10" s="90"/>
      <c r="S10" s="90"/>
      <c r="T10" s="90"/>
      <c r="U10" s="90"/>
      <c r="BL10" s="90"/>
    </row>
    <row r="11" spans="2:64" s="90" customFormat="1" ht="20.25" customHeight="1">
      <c r="B11" s="118" t="s">
        <v>238</v>
      </c>
      <c r="C11" s="113"/>
      <c r="D11" s="113"/>
      <c r="E11" s="113"/>
      <c r="F11" s="113"/>
      <c r="G11" s="114">
        <v>2.8857552433674565</v>
      </c>
      <c r="H11" s="113"/>
      <c r="I11" s="113"/>
      <c r="J11" s="115">
        <v>8.8907191277736615E-3</v>
      </c>
      <c r="K11" s="114"/>
      <c r="L11" s="116"/>
      <c r="M11" s="114">
        <v>186676.60395999995</v>
      </c>
      <c r="N11" s="115">
        <f t="shared" ref="N11:N27" si="0">M11/$M$10</f>
        <v>1</v>
      </c>
      <c r="O11" s="115">
        <f>M11/'סכום נכסי הקרן'!$C$42</f>
        <v>3.5836590724260134E-3</v>
      </c>
    </row>
    <row r="12" spans="2:64">
      <c r="B12" s="92" t="s">
        <v>234</v>
      </c>
      <c r="C12" s="72"/>
      <c r="D12" s="72"/>
      <c r="E12" s="72"/>
      <c r="F12" s="72"/>
      <c r="G12" s="81">
        <v>2.8857552433674565</v>
      </c>
      <c r="H12" s="72"/>
      <c r="I12" s="72"/>
      <c r="J12" s="82">
        <v>8.8907191277736615E-3</v>
      </c>
      <c r="K12" s="81"/>
      <c r="L12" s="83"/>
      <c r="M12" s="81">
        <v>186676.60395999995</v>
      </c>
      <c r="N12" s="82">
        <f t="shared" si="0"/>
        <v>1</v>
      </c>
      <c r="O12" s="82">
        <f>M12/'סכום נכסי הקרן'!$C$42</f>
        <v>3.5836590724260134E-3</v>
      </c>
    </row>
    <row r="13" spans="2:64">
      <c r="B13" s="77" t="s">
        <v>3169</v>
      </c>
      <c r="C13" s="74" t="s">
        <v>3170</v>
      </c>
      <c r="D13" s="74">
        <v>20</v>
      </c>
      <c r="E13" s="74" t="s">
        <v>355</v>
      </c>
      <c r="F13" s="74" t="s">
        <v>356</v>
      </c>
      <c r="G13" s="84">
        <v>1.54</v>
      </c>
      <c r="H13" s="87" t="s">
        <v>165</v>
      </c>
      <c r="I13" s="88">
        <v>6.2E-2</v>
      </c>
      <c r="J13" s="85">
        <v>5.0000000000000001E-3</v>
      </c>
      <c r="K13" s="84">
        <v>1095820.02</v>
      </c>
      <c r="L13" s="86">
        <v>137.18</v>
      </c>
      <c r="M13" s="84">
        <v>1503.24593</v>
      </c>
      <c r="N13" s="85">
        <f t="shared" si="0"/>
        <v>8.0526745082747878E-3</v>
      </c>
      <c r="O13" s="85">
        <f>M13/'סכום נכסי הקרן'!$C$42</f>
        <v>2.8858040058872635E-5</v>
      </c>
    </row>
    <row r="14" spans="2:64">
      <c r="B14" s="77" t="s">
        <v>3171</v>
      </c>
      <c r="C14" s="74" t="s">
        <v>3172</v>
      </c>
      <c r="D14" s="74">
        <v>20</v>
      </c>
      <c r="E14" s="74" t="s">
        <v>355</v>
      </c>
      <c r="F14" s="74" t="s">
        <v>356</v>
      </c>
      <c r="G14" s="84">
        <v>4.0999999999999996</v>
      </c>
      <c r="H14" s="87" t="s">
        <v>165</v>
      </c>
      <c r="I14" s="88">
        <v>5.6500000000000002E-2</v>
      </c>
      <c r="J14" s="85">
        <v>9.3999999999999986E-3</v>
      </c>
      <c r="K14" s="84">
        <v>1737353.74</v>
      </c>
      <c r="L14" s="86">
        <v>153.09</v>
      </c>
      <c r="M14" s="84">
        <v>2659.7148500000003</v>
      </c>
      <c r="N14" s="85">
        <f t="shared" si="0"/>
        <v>1.4247713926539556E-2</v>
      </c>
      <c r="O14" s="85">
        <f>M14/'סכום נכסי הקרן'!$C$42</f>
        <v>5.1058949274173941E-5</v>
      </c>
    </row>
    <row r="15" spans="2:64">
      <c r="B15" s="77" t="s">
        <v>3173</v>
      </c>
      <c r="C15" s="74" t="s">
        <v>3174</v>
      </c>
      <c r="D15" s="74">
        <v>12</v>
      </c>
      <c r="E15" s="74" t="s">
        <v>355</v>
      </c>
      <c r="F15" s="74" t="s">
        <v>356</v>
      </c>
      <c r="G15" s="84">
        <v>1.54</v>
      </c>
      <c r="H15" s="87" t="s">
        <v>165</v>
      </c>
      <c r="I15" s="88">
        <v>0.06</v>
      </c>
      <c r="J15" s="85">
        <v>1.1899999999999999E-2</v>
      </c>
      <c r="K15" s="84">
        <v>5504413.9500000002</v>
      </c>
      <c r="L15" s="86">
        <v>134.72999999999999</v>
      </c>
      <c r="M15" s="84">
        <v>7416.0964699999995</v>
      </c>
      <c r="N15" s="85">
        <f t="shared" si="0"/>
        <v>3.972697334685326E-2</v>
      </c>
      <c r="O15" s="85">
        <f>M15/'סכום נכסי הקרן'!$C$42</f>
        <v>1.4236792845447711E-4</v>
      </c>
    </row>
    <row r="16" spans="2:64">
      <c r="B16" s="77" t="s">
        <v>3175</v>
      </c>
      <c r="C16" s="74" t="s">
        <v>3176</v>
      </c>
      <c r="D16" s="74">
        <v>12</v>
      </c>
      <c r="E16" s="74" t="s">
        <v>355</v>
      </c>
      <c r="F16" s="74" t="s">
        <v>356</v>
      </c>
      <c r="G16" s="84">
        <v>2.66</v>
      </c>
      <c r="H16" s="87" t="s">
        <v>165</v>
      </c>
      <c r="I16" s="88">
        <v>5.0499999999999996E-2</v>
      </c>
      <c r="J16" s="85">
        <v>8.6000000000000017E-3</v>
      </c>
      <c r="K16" s="84">
        <v>10209048.4</v>
      </c>
      <c r="L16" s="86">
        <v>143.01</v>
      </c>
      <c r="M16" s="84">
        <v>14599.96061</v>
      </c>
      <c r="N16" s="85">
        <f t="shared" si="0"/>
        <v>7.8209911152703426E-2</v>
      </c>
      <c r="O16" s="85">
        <f>M16/'סכום נכסי הקרן'!$C$42</f>
        <v>2.8027765765601808E-4</v>
      </c>
    </row>
    <row r="17" spans="2:15">
      <c r="B17" s="77" t="s">
        <v>3177</v>
      </c>
      <c r="C17" s="74">
        <v>3534</v>
      </c>
      <c r="D17" s="74">
        <v>20</v>
      </c>
      <c r="E17" s="74" t="s">
        <v>355</v>
      </c>
      <c r="F17" s="74" t="s">
        <v>356</v>
      </c>
      <c r="G17" s="84">
        <v>2.81</v>
      </c>
      <c r="H17" s="87" t="s">
        <v>165</v>
      </c>
      <c r="I17" s="88">
        <v>5.5099999999999996E-2</v>
      </c>
      <c r="J17" s="85">
        <v>8.8000000000000005E-3</v>
      </c>
      <c r="K17" s="84">
        <v>50000000</v>
      </c>
      <c r="L17" s="86">
        <v>148.16</v>
      </c>
      <c r="M17" s="84">
        <v>74079.998229999997</v>
      </c>
      <c r="N17" s="85">
        <f t="shared" si="0"/>
        <v>0.39683600761171689</v>
      </c>
      <c r="O17" s="85">
        <f>M17/'סכום נכסי הקרן'!$C$42</f>
        <v>1.4221249589430479E-3</v>
      </c>
    </row>
    <row r="18" spans="2:15">
      <c r="B18" s="77" t="s">
        <v>3178</v>
      </c>
      <c r="C18" s="74" t="s">
        <v>3179</v>
      </c>
      <c r="D18" s="74">
        <v>20</v>
      </c>
      <c r="E18" s="74" t="s">
        <v>355</v>
      </c>
      <c r="F18" s="74" t="s">
        <v>356</v>
      </c>
      <c r="G18" s="84">
        <v>4.7700000000000005</v>
      </c>
      <c r="H18" s="87" t="s">
        <v>165</v>
      </c>
      <c r="I18" s="88">
        <v>5.7500000000000002E-2</v>
      </c>
      <c r="J18" s="85">
        <v>7.9000000000000008E-3</v>
      </c>
      <c r="K18" s="84">
        <v>781208.65</v>
      </c>
      <c r="L18" s="86">
        <v>168.56</v>
      </c>
      <c r="M18" s="84">
        <v>1316.8052700000001</v>
      </c>
      <c r="N18" s="85">
        <f t="shared" si="0"/>
        <v>7.0539384264894705E-3</v>
      </c>
      <c r="O18" s="85">
        <f>M18/'סכום נכסי הקרן'!$C$42</f>
        <v>2.5278910438423468E-5</v>
      </c>
    </row>
    <row r="19" spans="2:15">
      <c r="B19" s="77" t="s">
        <v>3180</v>
      </c>
      <c r="C19" s="74" t="s">
        <v>3181</v>
      </c>
      <c r="D19" s="74">
        <v>12</v>
      </c>
      <c r="E19" s="74" t="s">
        <v>355</v>
      </c>
      <c r="F19" s="74" t="s">
        <v>356</v>
      </c>
      <c r="G19" s="84">
        <v>0.77</v>
      </c>
      <c r="H19" s="87" t="s">
        <v>165</v>
      </c>
      <c r="I19" s="88">
        <v>5.2499999999999998E-2</v>
      </c>
      <c r="J19" s="85">
        <v>1.5199999999999998E-2</v>
      </c>
      <c r="K19" s="84">
        <v>455559.94</v>
      </c>
      <c r="L19" s="86">
        <v>140.38</v>
      </c>
      <c r="M19" s="84">
        <v>639.51506000000006</v>
      </c>
      <c r="N19" s="85">
        <f t="shared" si="0"/>
        <v>3.4257911620088816E-3</v>
      </c>
      <c r="O19" s="85">
        <f>M19/'סכום נכסי הקרן'!$C$42</f>
        <v>1.2276867577969985E-5</v>
      </c>
    </row>
    <row r="20" spans="2:15">
      <c r="B20" s="77" t="s">
        <v>3182</v>
      </c>
      <c r="C20" s="74" t="s">
        <v>3183</v>
      </c>
      <c r="D20" s="74">
        <v>12</v>
      </c>
      <c r="E20" s="74" t="s">
        <v>355</v>
      </c>
      <c r="F20" s="74" t="s">
        <v>356</v>
      </c>
      <c r="G20" s="84">
        <v>4.0999999999999988</v>
      </c>
      <c r="H20" s="87" t="s">
        <v>165</v>
      </c>
      <c r="I20" s="88">
        <v>5.5999999999999994E-2</v>
      </c>
      <c r="J20" s="85">
        <v>8.3000000000000001E-3</v>
      </c>
      <c r="K20" s="84">
        <v>6941723.4199999999</v>
      </c>
      <c r="L20" s="86">
        <v>153.46</v>
      </c>
      <c r="M20" s="84">
        <v>10652.768890000001</v>
      </c>
      <c r="N20" s="85">
        <f t="shared" si="0"/>
        <v>5.7065366864519448E-2</v>
      </c>
      <c r="O20" s="85">
        <f>M20/'סכום נכסי הקרן'!$C$42</f>
        <v>2.0450281968535395E-4</v>
      </c>
    </row>
    <row r="21" spans="2:15">
      <c r="B21" s="77" t="s">
        <v>3184</v>
      </c>
      <c r="C21" s="74" t="s">
        <v>3185</v>
      </c>
      <c r="D21" s="74">
        <v>12</v>
      </c>
      <c r="E21" s="74" t="s">
        <v>355</v>
      </c>
      <c r="F21" s="74" t="s">
        <v>356</v>
      </c>
      <c r="G21" s="84">
        <v>2.1599999999999997</v>
      </c>
      <c r="H21" s="87" t="s">
        <v>165</v>
      </c>
      <c r="I21" s="88">
        <v>5.0999999999999997E-2</v>
      </c>
      <c r="J21" s="85">
        <v>9.1000000000000004E-3</v>
      </c>
      <c r="K21" s="84">
        <v>8734844.4600000009</v>
      </c>
      <c r="L21" s="86">
        <v>140.74</v>
      </c>
      <c r="M21" s="84">
        <v>12293.420179999999</v>
      </c>
      <c r="N21" s="85">
        <f t="shared" si="0"/>
        <v>6.5854102331078218E-2</v>
      </c>
      <c r="O21" s="85">
        <f>M21/'סכום נכסי הקרן'!$C$42</f>
        <v>2.3599865127523956E-4</v>
      </c>
    </row>
    <row r="22" spans="2:15">
      <c r="B22" s="77" t="s">
        <v>3186</v>
      </c>
      <c r="C22" s="74" t="s">
        <v>3187</v>
      </c>
      <c r="D22" s="74">
        <v>12</v>
      </c>
      <c r="E22" s="74" t="s">
        <v>355</v>
      </c>
      <c r="F22" s="74" t="s">
        <v>356</v>
      </c>
      <c r="G22" s="84">
        <v>2.8800000000000003</v>
      </c>
      <c r="H22" s="87" t="s">
        <v>165</v>
      </c>
      <c r="I22" s="88">
        <v>5.5E-2</v>
      </c>
      <c r="J22" s="85">
        <v>8.6000000000000017E-3</v>
      </c>
      <c r="K22" s="84">
        <v>10000000</v>
      </c>
      <c r="L22" s="86">
        <v>145.36000000000001</v>
      </c>
      <c r="M22" s="84">
        <v>14535.999039999999</v>
      </c>
      <c r="N22" s="85">
        <f t="shared" si="0"/>
        <v>7.7867278125086814E-2</v>
      </c>
      <c r="O22" s="85">
        <f>M22/'סכום נכסי הקרן'!$C$42</f>
        <v>2.7904977769808704E-4</v>
      </c>
    </row>
    <row r="23" spans="2:15">
      <c r="B23" s="77" t="s">
        <v>3188</v>
      </c>
      <c r="C23" s="74" t="s">
        <v>3189</v>
      </c>
      <c r="D23" s="74">
        <v>12</v>
      </c>
      <c r="E23" s="74" t="s">
        <v>355</v>
      </c>
      <c r="F23" s="74" t="s">
        <v>356</v>
      </c>
      <c r="G23" s="84">
        <v>3.15</v>
      </c>
      <c r="H23" s="87" t="s">
        <v>165</v>
      </c>
      <c r="I23" s="88">
        <v>5.0499999999999996E-2</v>
      </c>
      <c r="J23" s="85">
        <v>8.1000000000000013E-3</v>
      </c>
      <c r="K23" s="84">
        <v>11636008.199999999</v>
      </c>
      <c r="L23" s="86">
        <v>140.66999999999999</v>
      </c>
      <c r="M23" s="84">
        <v>16368.372820000001</v>
      </c>
      <c r="N23" s="85">
        <f t="shared" si="0"/>
        <v>8.768304368504222E-2</v>
      </c>
      <c r="O23" s="85">
        <f>M23/'סכום נכסי הקרן'!$C$42</f>
        <v>3.1422613499982802E-4</v>
      </c>
    </row>
    <row r="24" spans="2:15">
      <c r="B24" s="77" t="s">
        <v>3190</v>
      </c>
      <c r="C24" s="74" t="s">
        <v>3191</v>
      </c>
      <c r="D24" s="74">
        <v>12</v>
      </c>
      <c r="E24" s="74" t="s">
        <v>355</v>
      </c>
      <c r="F24" s="74" t="s">
        <v>356</v>
      </c>
      <c r="G24" s="84">
        <v>3.6600000000000006</v>
      </c>
      <c r="H24" s="87" t="s">
        <v>165</v>
      </c>
      <c r="I24" s="88">
        <v>5.0499999999999996E-2</v>
      </c>
      <c r="J24" s="85">
        <v>7.899999999999999E-3</v>
      </c>
      <c r="K24" s="84">
        <v>12994377.369999999</v>
      </c>
      <c r="L24" s="86">
        <v>145.30000000000001</v>
      </c>
      <c r="M24" s="84">
        <v>18880.83034</v>
      </c>
      <c r="N24" s="85">
        <f t="shared" si="0"/>
        <v>0.101141921052119</v>
      </c>
      <c r="O24" s="85">
        <f>M24/'סכום נכסי הקרן'!$C$42</f>
        <v>3.6245816298102187E-4</v>
      </c>
    </row>
    <row r="25" spans="2:15">
      <c r="B25" s="77" t="s">
        <v>3192</v>
      </c>
      <c r="C25" s="74" t="s">
        <v>3193</v>
      </c>
      <c r="D25" s="74">
        <v>68</v>
      </c>
      <c r="E25" s="74" t="s">
        <v>456</v>
      </c>
      <c r="F25" s="74" t="s">
        <v>356</v>
      </c>
      <c r="G25" s="84">
        <v>1.5199999999999998</v>
      </c>
      <c r="H25" s="87" t="s">
        <v>165</v>
      </c>
      <c r="I25" s="88">
        <v>6.5000000000000002E-2</v>
      </c>
      <c r="J25" s="85">
        <v>1.4200000000000001E-2</v>
      </c>
      <c r="K25" s="84">
        <v>1682562.59</v>
      </c>
      <c r="L25" s="86">
        <v>136.05000000000001</v>
      </c>
      <c r="M25" s="84">
        <v>2289.1264100000003</v>
      </c>
      <c r="N25" s="85">
        <f t="shared" si="0"/>
        <v>1.2262524394811156E-2</v>
      </c>
      <c r="O25" s="85">
        <f>M25/'סכום נכסי הקרן'!$C$42</f>
        <v>4.3944706798310314E-5</v>
      </c>
    </row>
    <row r="26" spans="2:15">
      <c r="B26" s="77" t="s">
        <v>3194</v>
      </c>
      <c r="C26" s="74" t="s">
        <v>3195</v>
      </c>
      <c r="D26" s="74">
        <v>68</v>
      </c>
      <c r="E26" s="74" t="s">
        <v>456</v>
      </c>
      <c r="F26" s="74" t="s">
        <v>356</v>
      </c>
      <c r="G26" s="84">
        <v>2.84</v>
      </c>
      <c r="H26" s="87" t="s">
        <v>165</v>
      </c>
      <c r="I26" s="88">
        <v>6.2E-2</v>
      </c>
      <c r="J26" s="85">
        <v>9.9000000000000008E-3</v>
      </c>
      <c r="K26" s="84">
        <v>5000000</v>
      </c>
      <c r="L26" s="86">
        <v>148.21</v>
      </c>
      <c r="M26" s="84">
        <v>7410.4999200000002</v>
      </c>
      <c r="N26" s="85">
        <f t="shared" si="0"/>
        <v>3.969699342499225E-2</v>
      </c>
      <c r="O26" s="85">
        <f>M26/'סכום נכסי הקרן'!$C$42</f>
        <v>1.4226049063550928E-4</v>
      </c>
    </row>
    <row r="27" spans="2:15">
      <c r="B27" s="77" t="s">
        <v>3196</v>
      </c>
      <c r="C27" s="74" t="s">
        <v>3197</v>
      </c>
      <c r="D27" s="74">
        <v>54</v>
      </c>
      <c r="E27" s="74" t="s">
        <v>549</v>
      </c>
      <c r="F27" s="74" t="s">
        <v>356</v>
      </c>
      <c r="G27" s="84">
        <v>1.48</v>
      </c>
      <c r="H27" s="87" t="s">
        <v>165</v>
      </c>
      <c r="I27" s="88">
        <v>6.3E-2</v>
      </c>
      <c r="J27" s="85">
        <v>1.4000000000000002E-2</v>
      </c>
      <c r="K27" s="84">
        <v>1500000</v>
      </c>
      <c r="L27" s="86">
        <v>135.35</v>
      </c>
      <c r="M27" s="84">
        <v>2030.2499399999999</v>
      </c>
      <c r="N27" s="85">
        <f t="shared" si="0"/>
        <v>1.0875759987764888E-2</v>
      </c>
      <c r="O27" s="85">
        <f>M27/'סכום נכסי הקרן'!$C$42</f>
        <v>3.8975015949681475E-5</v>
      </c>
    </row>
    <row r="28" spans="2:15">
      <c r="B28" s="73"/>
      <c r="C28" s="74"/>
      <c r="D28" s="74"/>
      <c r="E28" s="74"/>
      <c r="F28" s="74"/>
      <c r="G28" s="74"/>
      <c r="H28" s="74"/>
      <c r="I28" s="74"/>
      <c r="J28" s="85"/>
      <c r="K28" s="84"/>
      <c r="L28" s="86"/>
      <c r="M28" s="74"/>
      <c r="N28" s="85"/>
      <c r="O28" s="74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89" t="s">
        <v>261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89" t="s">
        <v>115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89" t="s">
        <v>243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89" t="s">
        <v>251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</sheetData>
  <sheetProtection sheet="1" objects="1" scenarios="1"/>
  <mergeCells count="1">
    <mergeCell ref="B6:O6"/>
  </mergeCells>
  <phoneticPr fontId="5" type="noConversion"/>
  <dataValidations count="1">
    <dataValidation allowBlank="1" showInputMessage="1" showErrorMessage="1" sqref="C5:C1048576 A1:B1048576 AH30:XFD33 D34:XFD1048576 D30:AF33 D1:XFD29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AU862"/>
  <sheetViews>
    <sheetView rightToLeft="1" workbookViewId="0">
      <selection activeCell="F17" sqref="F17"/>
    </sheetView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1.7109375" style="2" customWidth="1"/>
    <col min="4" max="4" width="7.140625" style="1" bestFit="1" customWidth="1"/>
    <col min="5" max="5" width="8" style="1" bestFit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3" customWidth="1"/>
    <col min="19" max="19" width="6.7109375" style="3" customWidth="1"/>
    <col min="20" max="20" width="7.28515625" style="3" customWidth="1"/>
    <col min="21" max="32" width="5.7109375" style="3" customWidth="1"/>
    <col min="33" max="47" width="9.140625" style="3"/>
    <col min="48" max="16384" width="9.140625" style="1"/>
  </cols>
  <sheetData>
    <row r="1" spans="2:47">
      <c r="B1" s="47" t="s">
        <v>180</v>
      </c>
      <c r="C1" s="68" t="s" vm="1">
        <v>270</v>
      </c>
    </row>
    <row r="2" spans="2:47">
      <c r="B2" s="47" t="s">
        <v>179</v>
      </c>
      <c r="C2" s="68" t="s">
        <v>271</v>
      </c>
    </row>
    <row r="3" spans="2:47">
      <c r="B3" s="47" t="s">
        <v>181</v>
      </c>
      <c r="C3" s="68" t="s">
        <v>272</v>
      </c>
    </row>
    <row r="4" spans="2:47">
      <c r="B4" s="47" t="s">
        <v>182</v>
      </c>
      <c r="C4" s="68">
        <v>2102</v>
      </c>
    </row>
    <row r="6" spans="2:47" ht="26.25" customHeight="1">
      <c r="B6" s="163" t="s">
        <v>214</v>
      </c>
      <c r="C6" s="164"/>
      <c r="D6" s="164"/>
      <c r="E6" s="164"/>
      <c r="F6" s="164"/>
      <c r="G6" s="164"/>
      <c r="H6" s="164"/>
      <c r="I6" s="164"/>
      <c r="J6" s="165"/>
    </row>
    <row r="7" spans="2:47" s="3" customFormat="1" ht="63">
      <c r="B7" s="48" t="s">
        <v>119</v>
      </c>
      <c r="C7" s="50" t="s">
        <v>57</v>
      </c>
      <c r="D7" s="50" t="s">
        <v>89</v>
      </c>
      <c r="E7" s="50" t="s">
        <v>58</v>
      </c>
      <c r="F7" s="50" t="s">
        <v>106</v>
      </c>
      <c r="G7" s="50" t="s">
        <v>227</v>
      </c>
      <c r="H7" s="50" t="s">
        <v>183</v>
      </c>
      <c r="I7" s="50" t="s">
        <v>184</v>
      </c>
      <c r="J7" s="65" t="s">
        <v>255</v>
      </c>
    </row>
    <row r="8" spans="2:47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249</v>
      </c>
      <c r="H8" s="32" t="s">
        <v>19</v>
      </c>
      <c r="I8" s="32" t="s">
        <v>19</v>
      </c>
      <c r="J8" s="17"/>
    </row>
    <row r="9" spans="2:47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2:47" s="123" customFormat="1" ht="18" customHeight="1">
      <c r="B10" s="108" t="s">
        <v>43</v>
      </c>
      <c r="C10" s="108"/>
      <c r="D10" s="108"/>
      <c r="E10" s="138">
        <v>5.4204485221065066E-2</v>
      </c>
      <c r="F10" s="109"/>
      <c r="G10" s="110">
        <v>1735241.9285899999</v>
      </c>
      <c r="H10" s="139">
        <f>G10/$G$10</f>
        <v>1</v>
      </c>
      <c r="I10" s="139">
        <f>G10/'סכום נכסי הקרן'!$C$42</f>
        <v>3.3311702421895545E-2</v>
      </c>
      <c r="J10" s="109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</row>
    <row r="11" spans="2:47" s="122" customFormat="1" ht="22.5" customHeight="1">
      <c r="B11" s="71" t="s">
        <v>242</v>
      </c>
      <c r="C11" s="96"/>
      <c r="D11" s="96"/>
      <c r="E11" s="138">
        <v>5.4204485221065066E-2</v>
      </c>
      <c r="F11" s="111" t="s">
        <v>165</v>
      </c>
      <c r="G11" s="81">
        <v>1735241.9285899999</v>
      </c>
      <c r="H11" s="82">
        <f t="shared" ref="H11:H40" si="0">G11/$G$10</f>
        <v>1</v>
      </c>
      <c r="I11" s="82">
        <f>G11/'סכום נכסי הקרן'!$C$42</f>
        <v>3.3311702421895545E-2</v>
      </c>
      <c r="J11" s="72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</row>
    <row r="12" spans="2:47" s="122" customFormat="1">
      <c r="B12" s="92" t="s">
        <v>90</v>
      </c>
      <c r="C12" s="96"/>
      <c r="D12" s="96"/>
      <c r="E12" s="138">
        <v>6.6555439331189556E-2</v>
      </c>
      <c r="F12" s="111" t="s">
        <v>165</v>
      </c>
      <c r="G12" s="81">
        <v>1413226.2729900002</v>
      </c>
      <c r="H12" s="82">
        <f t="shared" si="0"/>
        <v>0.81442607494987229</v>
      </c>
      <c r="I12" s="82">
        <f>G12/'סכום נכסי הקרן'!$C$42</f>
        <v>2.7129919053362546E-2</v>
      </c>
      <c r="J12" s="72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</row>
    <row r="13" spans="2:47" s="122" customFormat="1">
      <c r="B13" s="77" t="s">
        <v>3198</v>
      </c>
      <c r="C13" s="120">
        <v>43830</v>
      </c>
      <c r="D13" s="91" t="s">
        <v>3199</v>
      </c>
      <c r="E13" s="131">
        <v>6.2427972352225213E-2</v>
      </c>
      <c r="F13" s="87" t="s">
        <v>165</v>
      </c>
      <c r="G13" s="84">
        <v>13950.037199999999</v>
      </c>
      <c r="H13" s="85">
        <f t="shared" si="0"/>
        <v>8.0392462688677283E-3</v>
      </c>
      <c r="I13" s="85">
        <f>G13/'סכום נכסי הקרן'!$C$42</f>
        <v>2.6780097940485583E-4</v>
      </c>
      <c r="J13" s="74" t="s">
        <v>3200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</row>
    <row r="14" spans="2:47" s="122" customFormat="1">
      <c r="B14" s="77" t="s">
        <v>3201</v>
      </c>
      <c r="C14" s="120">
        <v>43830</v>
      </c>
      <c r="D14" s="91" t="s">
        <v>3199</v>
      </c>
      <c r="E14" s="131">
        <v>4.8029629625228727E-2</v>
      </c>
      <c r="F14" s="87" t="s">
        <v>165</v>
      </c>
      <c r="G14" s="84">
        <v>39108.20925</v>
      </c>
      <c r="H14" s="85">
        <f t="shared" si="0"/>
        <v>2.2537611963870673E-2</v>
      </c>
      <c r="I14" s="85">
        <f>G14/'סכום נכסי הקרן'!$C$42</f>
        <v>7.5076622304061271E-4</v>
      </c>
      <c r="J14" s="74" t="s">
        <v>3202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</row>
    <row r="15" spans="2:47" s="122" customFormat="1">
      <c r="B15" s="77" t="s">
        <v>3203</v>
      </c>
      <c r="C15" s="120">
        <v>43830</v>
      </c>
      <c r="D15" s="91" t="s">
        <v>3199</v>
      </c>
      <c r="E15" s="131">
        <v>5.2857917019458585E-2</v>
      </c>
      <c r="F15" s="87" t="s">
        <v>165</v>
      </c>
      <c r="G15" s="84">
        <v>94490.682440000004</v>
      </c>
      <c r="H15" s="85">
        <f t="shared" si="0"/>
        <v>5.4453895380905185E-2</v>
      </c>
      <c r="I15" s="85">
        <f>G15/'סכום נכסי הקרן'!$C$42</f>
        <v>1.8139519586417459E-3</v>
      </c>
      <c r="J15" s="74" t="s">
        <v>3204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</row>
    <row r="16" spans="2:47" s="122" customFormat="1">
      <c r="B16" s="77" t="s">
        <v>3205</v>
      </c>
      <c r="C16" s="120">
        <v>43646</v>
      </c>
      <c r="D16" s="91" t="s">
        <v>3199</v>
      </c>
      <c r="E16" s="131">
        <v>5.9279362363616667E-2</v>
      </c>
      <c r="F16" s="87" t="s">
        <v>165</v>
      </c>
      <c r="G16" s="84">
        <v>31539.999800000001</v>
      </c>
      <c r="H16" s="85">
        <f t="shared" si="0"/>
        <v>1.8176139753393557E-2</v>
      </c>
      <c r="I16" s="85">
        <f>G16/'סכום נכסי הקרן'!$C$42</f>
        <v>6.0547815864383213E-4</v>
      </c>
      <c r="J16" s="74" t="s">
        <v>3206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</row>
    <row r="17" spans="2:47" s="122" customFormat="1">
      <c r="B17" s="77" t="s">
        <v>3207</v>
      </c>
      <c r="C17" s="120">
        <v>43830</v>
      </c>
      <c r="D17" s="91" t="s">
        <v>3208</v>
      </c>
      <c r="E17" s="131">
        <v>6.4749677669662692E-2</v>
      </c>
      <c r="F17" s="87" t="s">
        <v>165</v>
      </c>
      <c r="G17" s="84">
        <v>67804.263039999991</v>
      </c>
      <c r="H17" s="85">
        <f t="shared" si="0"/>
        <v>3.9074818284903647E-2</v>
      </c>
      <c r="I17" s="85">
        <f>G17/'סכום נכסי הקרן'!$C$42</f>
        <v>1.3016487188963531E-3</v>
      </c>
      <c r="J17" s="74" t="s">
        <v>3209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</row>
    <row r="18" spans="2:47" s="122" customFormat="1">
      <c r="B18" s="77" t="s">
        <v>3210</v>
      </c>
      <c r="C18" s="120">
        <v>43646</v>
      </c>
      <c r="D18" s="91" t="s">
        <v>3199</v>
      </c>
      <c r="E18" s="131">
        <v>6.5197140782821808E-2</v>
      </c>
      <c r="F18" s="87" t="s">
        <v>165</v>
      </c>
      <c r="G18" s="84">
        <v>84356.805269999997</v>
      </c>
      <c r="H18" s="85">
        <f t="shared" si="0"/>
        <v>4.8613858321499608E-2</v>
      </c>
      <c r="I18" s="85">
        <f>G18/'סכום נכסי הקרן'!$C$42</f>
        <v>1.6194103819859855E-3</v>
      </c>
      <c r="J18" s="74" t="s">
        <v>3211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</row>
    <row r="19" spans="2:47" s="122" customFormat="1">
      <c r="B19" s="77" t="s">
        <v>3212</v>
      </c>
      <c r="C19" s="120">
        <v>43646</v>
      </c>
      <c r="D19" s="91" t="s">
        <v>3199</v>
      </c>
      <c r="E19" s="131">
        <v>6.024844737520936E-2</v>
      </c>
      <c r="F19" s="87" t="s">
        <v>165</v>
      </c>
      <c r="G19" s="84">
        <v>40060.260999999999</v>
      </c>
      <c r="H19" s="85">
        <f t="shared" si="0"/>
        <v>2.3086268456267444E-2</v>
      </c>
      <c r="I19" s="85">
        <f>G19/'סכום נכסי הקרן'!$C$42</f>
        <v>7.69042904847175E-4</v>
      </c>
      <c r="J19" s="74" t="s">
        <v>3213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</row>
    <row r="20" spans="2:47" s="122" customFormat="1">
      <c r="B20" s="77" t="s">
        <v>3214</v>
      </c>
      <c r="C20" s="120">
        <v>43830</v>
      </c>
      <c r="D20" s="91" t="s">
        <v>3199</v>
      </c>
      <c r="E20" s="131">
        <v>5.1377937447488718E-2</v>
      </c>
      <c r="F20" s="87" t="s">
        <v>165</v>
      </c>
      <c r="G20" s="84">
        <v>66075.997000000003</v>
      </c>
      <c r="H20" s="85">
        <f t="shared" si="0"/>
        <v>3.8078838409403334E-2</v>
      </c>
      <c r="I20" s="85">
        <f>G20/'סכום נכסי הקרן'!$C$42</f>
        <v>1.26847093366549E-3</v>
      </c>
      <c r="J20" s="74" t="s">
        <v>3215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</row>
    <row r="21" spans="2:47" s="122" customFormat="1">
      <c r="B21" s="77" t="s">
        <v>3216</v>
      </c>
      <c r="C21" s="120">
        <v>43646</v>
      </c>
      <c r="D21" s="91" t="s">
        <v>3199</v>
      </c>
      <c r="E21" s="131">
        <v>4.4712046769142783E-2</v>
      </c>
      <c r="F21" s="87" t="s">
        <v>165</v>
      </c>
      <c r="G21" s="84">
        <v>17959.188999999998</v>
      </c>
      <c r="H21" s="85">
        <f t="shared" si="0"/>
        <v>1.0349674419516269E-2</v>
      </c>
      <c r="I21" s="85">
        <f>G21/'סכום נכסי הקרן'!$C$42</f>
        <v>3.447652744264305E-4</v>
      </c>
      <c r="J21" s="74" t="s">
        <v>3217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</row>
    <row r="22" spans="2:47" s="122" customFormat="1">
      <c r="B22" s="77" t="s">
        <v>3218</v>
      </c>
      <c r="C22" s="120">
        <v>43646</v>
      </c>
      <c r="D22" s="91" t="s">
        <v>3199</v>
      </c>
      <c r="E22" s="131">
        <v>1.1816064119378663E-2</v>
      </c>
      <c r="F22" s="87" t="s">
        <v>165</v>
      </c>
      <c r="G22" s="84">
        <v>9080</v>
      </c>
      <c r="H22" s="85">
        <f t="shared" si="0"/>
        <v>5.2326997465869827E-3</v>
      </c>
      <c r="I22" s="85">
        <f>G22/'סכום נכסי הקרן'!$C$42</f>
        <v>1.743101368214338E-4</v>
      </c>
      <c r="J22" s="74" t="s">
        <v>3219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</row>
    <row r="23" spans="2:47" s="122" customFormat="1">
      <c r="B23" s="77" t="s">
        <v>3220</v>
      </c>
      <c r="C23" s="120">
        <v>43830</v>
      </c>
      <c r="D23" s="91" t="s">
        <v>3199</v>
      </c>
      <c r="E23" s="131">
        <v>4.0920366798398999E-2</v>
      </c>
      <c r="F23" s="87" t="s">
        <v>165</v>
      </c>
      <c r="G23" s="84">
        <v>17585.649000000001</v>
      </c>
      <c r="H23" s="85">
        <f t="shared" si="0"/>
        <v>1.0134407606373087E-2</v>
      </c>
      <c r="I23" s="85">
        <f>G23/'סכום נכסי הקרן'!$C$42</f>
        <v>3.3759437040569503E-4</v>
      </c>
      <c r="J23" s="74" t="s">
        <v>3221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</row>
    <row r="24" spans="2:47" s="122" customFormat="1">
      <c r="B24" s="77" t="s">
        <v>3222</v>
      </c>
      <c r="C24" s="120">
        <v>43830</v>
      </c>
      <c r="D24" s="91" t="s">
        <v>3199</v>
      </c>
      <c r="E24" s="131">
        <v>7.0899935121326238E-2</v>
      </c>
      <c r="F24" s="87" t="s">
        <v>165</v>
      </c>
      <c r="G24" s="84">
        <v>21260</v>
      </c>
      <c r="H24" s="85">
        <f t="shared" si="0"/>
        <v>1.2251893900048376E-2</v>
      </c>
      <c r="I24" s="85">
        <f>G24/'סכום נכסי הקרן'!$C$42</f>
        <v>4.0813144370304875E-4</v>
      </c>
      <c r="J24" s="74" t="s">
        <v>3223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</row>
    <row r="25" spans="2:47" s="122" customFormat="1">
      <c r="B25" s="77" t="s">
        <v>3224</v>
      </c>
      <c r="C25" s="120">
        <v>43646</v>
      </c>
      <c r="D25" s="91" t="s">
        <v>3199</v>
      </c>
      <c r="E25" s="131">
        <v>5.6986159834197303E-2</v>
      </c>
      <c r="F25" s="87" t="s">
        <v>165</v>
      </c>
      <c r="G25" s="84">
        <v>7965.1080000000002</v>
      </c>
      <c r="H25" s="85">
        <f t="shared" si="0"/>
        <v>4.5902002877905232E-3</v>
      </c>
      <c r="I25" s="85">
        <f>G25/'סכום נכסי הקרן'!$C$42</f>
        <v>1.5290738604377722E-4</v>
      </c>
      <c r="J25" s="74" t="s">
        <v>3225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</row>
    <row r="26" spans="2:47" s="122" customFormat="1">
      <c r="B26" s="77" t="s">
        <v>3226</v>
      </c>
      <c r="C26" s="120">
        <v>43830</v>
      </c>
      <c r="D26" s="91" t="s">
        <v>3199</v>
      </c>
      <c r="E26" s="131">
        <v>7.7750326906202288E-2</v>
      </c>
      <c r="F26" s="87" t="s">
        <v>165</v>
      </c>
      <c r="G26" s="84">
        <v>39526.5501</v>
      </c>
      <c r="H26" s="85">
        <f t="shared" si="0"/>
        <v>2.2778696992481022E-2</v>
      </c>
      <c r="I26" s="85">
        <f>G26/'סכום נכסי הקרן'!$C$42</f>
        <v>7.5879717577205486E-4</v>
      </c>
      <c r="J26" s="74" t="s">
        <v>3227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</row>
    <row r="27" spans="2:47" s="122" customFormat="1">
      <c r="B27" s="77" t="s">
        <v>3228</v>
      </c>
      <c r="C27" s="120">
        <v>43799</v>
      </c>
      <c r="D27" s="91" t="s">
        <v>3199</v>
      </c>
      <c r="E27" s="131">
        <v>6.5699999999999995E-2</v>
      </c>
      <c r="F27" s="87" t="s">
        <v>165</v>
      </c>
      <c r="G27" s="84">
        <v>174213.41450000001</v>
      </c>
      <c r="H27" s="85">
        <f t="shared" si="0"/>
        <v>0.1003971905183043</v>
      </c>
      <c r="I27" s="85">
        <f>G27/'סכום נכסי הקרן'!$C$42</f>
        <v>3.344401334540106E-3</v>
      </c>
      <c r="J27" s="74" t="s">
        <v>3229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</row>
    <row r="28" spans="2:47" s="122" customFormat="1">
      <c r="B28" s="77" t="s">
        <v>3230</v>
      </c>
      <c r="C28" s="120">
        <v>43830</v>
      </c>
      <c r="D28" s="91" t="s">
        <v>3199</v>
      </c>
      <c r="E28" s="131">
        <v>0.10286849832232631</v>
      </c>
      <c r="F28" s="87" t="s">
        <v>165</v>
      </c>
      <c r="G28" s="84">
        <v>71025.000020000007</v>
      </c>
      <c r="H28" s="85">
        <f t="shared" si="0"/>
        <v>4.0930892027091902E-2</v>
      </c>
      <c r="I28" s="85">
        <f>G28/'סכום נכסי הקרן'!$C$42</f>
        <v>1.3634776950692225E-3</v>
      </c>
      <c r="J28" s="74" t="s">
        <v>3231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</row>
    <row r="29" spans="2:47" s="122" customFormat="1">
      <c r="B29" s="77" t="s">
        <v>3232</v>
      </c>
      <c r="C29" s="120">
        <v>43646</v>
      </c>
      <c r="D29" s="91" t="s">
        <v>3199</v>
      </c>
      <c r="E29" s="131">
        <v>5.4309125758761817E-2</v>
      </c>
      <c r="F29" s="87" t="s">
        <v>165</v>
      </c>
      <c r="G29" s="84">
        <v>31624.000210000002</v>
      </c>
      <c r="H29" s="85">
        <f t="shared" si="0"/>
        <v>1.8224548225212963E-2</v>
      </c>
      <c r="I29" s="85">
        <f>G29/'סכום נכסי הקרן'!$C$42</f>
        <v>6.0709072725177889E-4</v>
      </c>
      <c r="J29" s="74" t="s">
        <v>3233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</row>
    <row r="30" spans="2:47" s="122" customFormat="1">
      <c r="B30" s="77" t="s">
        <v>3234</v>
      </c>
      <c r="C30" s="120">
        <v>43646</v>
      </c>
      <c r="D30" s="91" t="s">
        <v>3199</v>
      </c>
      <c r="E30" s="131">
        <v>7.3684850860968848E-2</v>
      </c>
      <c r="F30" s="87" t="s">
        <v>165</v>
      </c>
      <c r="G30" s="84">
        <v>75672.615449999998</v>
      </c>
      <c r="H30" s="85">
        <f t="shared" si="0"/>
        <v>4.3609259437091319E-2</v>
      </c>
      <c r="I30" s="85">
        <f>G30/'סכום נכסי הקרן'!$C$42</f>
        <v>1.4526986732076262E-3</v>
      </c>
      <c r="J30" s="74" t="s">
        <v>3235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</row>
    <row r="31" spans="2:47" s="122" customFormat="1">
      <c r="B31" s="77" t="s">
        <v>3236</v>
      </c>
      <c r="C31" s="120">
        <v>43830</v>
      </c>
      <c r="D31" s="91" t="s">
        <v>3199</v>
      </c>
      <c r="E31" s="131">
        <v>6.1854032155689215E-2</v>
      </c>
      <c r="F31" s="87" t="s">
        <v>165</v>
      </c>
      <c r="G31" s="84">
        <v>34236</v>
      </c>
      <c r="H31" s="85">
        <f t="shared" si="0"/>
        <v>1.9729813714113649E-2</v>
      </c>
      <c r="I31" s="85">
        <f>G31/'סכום נכסי הקרן'!$C$42</f>
        <v>6.5723368328398767E-4</v>
      </c>
      <c r="J31" s="74" t="s">
        <v>3237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</row>
    <row r="32" spans="2:47" s="122" customFormat="1">
      <c r="B32" s="77" t="s">
        <v>3238</v>
      </c>
      <c r="C32" s="120">
        <v>43646</v>
      </c>
      <c r="D32" s="91" t="s">
        <v>3199</v>
      </c>
      <c r="E32" s="131">
        <v>6.5917602361982588E-2</v>
      </c>
      <c r="F32" s="87" t="s">
        <v>165</v>
      </c>
      <c r="G32" s="84">
        <v>29876.000359999998</v>
      </c>
      <c r="H32" s="85">
        <f t="shared" si="0"/>
        <v>1.721719598158641E-2</v>
      </c>
      <c r="I32" s="85">
        <f>G32/'סכום נכסי הקרן'!$C$42</f>
        <v>5.7353410907806223E-4</v>
      </c>
      <c r="J32" s="74" t="s">
        <v>3239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</row>
    <row r="33" spans="2:47" s="122" customFormat="1">
      <c r="B33" s="77" t="s">
        <v>3240</v>
      </c>
      <c r="C33" s="120">
        <v>43830</v>
      </c>
      <c r="D33" s="91" t="s">
        <v>3199</v>
      </c>
      <c r="E33" s="131">
        <v>6.7328703528977976E-2</v>
      </c>
      <c r="F33" s="87" t="s">
        <v>165</v>
      </c>
      <c r="G33" s="84">
        <v>76493.999389999997</v>
      </c>
      <c r="H33" s="85">
        <f t="shared" si="0"/>
        <v>4.4082613570867603E-2</v>
      </c>
      <c r="I33" s="85">
        <f>G33/'סכום נכסי הקרן'!$C$42</f>
        <v>1.4684669052521557E-3</v>
      </c>
      <c r="J33" s="74" t="s">
        <v>3241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</row>
    <row r="34" spans="2:47" s="122" customFormat="1">
      <c r="B34" s="77" t="s">
        <v>3242</v>
      </c>
      <c r="C34" s="120">
        <v>43830</v>
      </c>
      <c r="D34" s="91" t="s">
        <v>3199</v>
      </c>
      <c r="E34" s="131">
        <v>7.0564468304912947E-2</v>
      </c>
      <c r="F34" s="87" t="s">
        <v>165</v>
      </c>
      <c r="G34" s="84">
        <v>25805.999920000002</v>
      </c>
      <c r="H34" s="85">
        <f t="shared" si="0"/>
        <v>1.4871701458348867E-2</v>
      </c>
      <c r="I34" s="85">
        <f>G34/'סכום נכסי הקרן'!$C$42</f>
        <v>4.9540169348778751E-4</v>
      </c>
      <c r="J34" s="74" t="s">
        <v>3243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</row>
    <row r="35" spans="2:47" s="122" customFormat="1">
      <c r="B35" s="77" t="s">
        <v>3244</v>
      </c>
      <c r="C35" s="120">
        <v>43830</v>
      </c>
      <c r="D35" s="91" t="s">
        <v>3199</v>
      </c>
      <c r="E35" s="131">
        <v>7.3567104465002031E-2</v>
      </c>
      <c r="F35" s="87" t="s">
        <v>165</v>
      </c>
      <c r="G35" s="84">
        <v>19400</v>
      </c>
      <c r="H35" s="85">
        <f t="shared" si="0"/>
        <v>1.1179997255923731E-2</v>
      </c>
      <c r="I35" s="85">
        <f>G35/'סכום נכסי הקרן'!$C$42</f>
        <v>3.724247416669401E-4</v>
      </c>
      <c r="J35" s="74" t="s">
        <v>3245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</row>
    <row r="36" spans="2:47" s="122" customFormat="1">
      <c r="B36" s="77" t="s">
        <v>3246</v>
      </c>
      <c r="C36" s="120">
        <v>43646</v>
      </c>
      <c r="D36" s="91" t="s">
        <v>3199</v>
      </c>
      <c r="E36" s="131">
        <v>7.1964088795223854E-2</v>
      </c>
      <c r="F36" s="87" t="s">
        <v>165</v>
      </c>
      <c r="G36" s="84">
        <v>40176.000999999997</v>
      </c>
      <c r="H36" s="85">
        <f t="shared" si="0"/>
        <v>2.3152968089380877E-2</v>
      </c>
      <c r="I36" s="85">
        <f>G36/'סכום נכסי הקרן'!$C$42</f>
        <v>7.7126478317709926E-4</v>
      </c>
      <c r="J36" s="74" t="s">
        <v>3247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</row>
    <row r="37" spans="2:47" s="122" customFormat="1">
      <c r="B37" s="77" t="s">
        <v>3248</v>
      </c>
      <c r="C37" s="120">
        <v>43830</v>
      </c>
      <c r="D37" s="91" t="s">
        <v>3199</v>
      </c>
      <c r="E37" s="131">
        <v>7.609634839594312E-2</v>
      </c>
      <c r="F37" s="87" t="s">
        <v>165</v>
      </c>
      <c r="G37" s="84">
        <v>48650</v>
      </c>
      <c r="H37" s="85">
        <f t="shared" si="0"/>
        <v>2.8036436417561313E-2</v>
      </c>
      <c r="I37" s="85">
        <f>G37/'סכום נכסי הקרן'!$C$42</f>
        <v>9.3394142691219763E-4</v>
      </c>
      <c r="J37" s="74" t="s">
        <v>3249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</row>
    <row r="38" spans="2:47" s="122" customFormat="1">
      <c r="B38" s="77" t="s">
        <v>3250</v>
      </c>
      <c r="C38" s="120">
        <v>43830</v>
      </c>
      <c r="D38" s="91" t="s">
        <v>3199</v>
      </c>
      <c r="E38" s="131">
        <v>6.4854669172882073E-2</v>
      </c>
      <c r="F38" s="87" t="s">
        <v>165</v>
      </c>
      <c r="G38" s="84">
        <v>15935.675999999999</v>
      </c>
      <c r="H38" s="85">
        <f t="shared" si="0"/>
        <v>9.1835471108912183E-3</v>
      </c>
      <c r="I38" s="85">
        <f>G38/'סכום נכסי הקרן'!$C$42</f>
        <v>3.0591958853546687E-4</v>
      </c>
      <c r="J38" s="74" t="s">
        <v>3227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</row>
    <row r="39" spans="2:47" s="122" customFormat="1">
      <c r="B39" s="77" t="s">
        <v>3251</v>
      </c>
      <c r="C39" s="120">
        <v>43830</v>
      </c>
      <c r="D39" s="91" t="s">
        <v>3199</v>
      </c>
      <c r="E39" s="131">
        <v>7.6899999999999996E-2</v>
      </c>
      <c r="F39" s="87" t="s">
        <v>165</v>
      </c>
      <c r="G39" s="84">
        <v>28225.912</v>
      </c>
      <c r="H39" s="85">
        <f t="shared" si="0"/>
        <v>1.6266269005461065E-2</v>
      </c>
      <c r="I39" s="85">
        <f>G39/'סכום נכסי הקרן'!$C$42</f>
        <v>5.4185711262442181E-4</v>
      </c>
      <c r="J39" s="74" t="s">
        <v>3249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</row>
    <row r="40" spans="2:47" s="122" customFormat="1">
      <c r="B40" s="77" t="s">
        <v>3252</v>
      </c>
      <c r="C40" s="120">
        <v>43830</v>
      </c>
      <c r="D40" s="91" t="s">
        <v>3208</v>
      </c>
      <c r="E40" s="131">
        <v>7.1900000000000006E-2</v>
      </c>
      <c r="F40" s="87" t="s">
        <v>165</v>
      </c>
      <c r="G40" s="84">
        <v>80003.180040000007</v>
      </c>
      <c r="H40" s="85">
        <f t="shared" si="0"/>
        <v>4.6104914088266606E-2</v>
      </c>
      <c r="I40" s="85">
        <f>G40/'סכום נכסי הקרן'!$C$42</f>
        <v>1.5358331782953968E-3</v>
      </c>
      <c r="J40" s="74" t="s">
        <v>3253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</row>
    <row r="41" spans="2:47" s="122" customFormat="1">
      <c r="B41" s="77" t="s">
        <v>3254</v>
      </c>
      <c r="C41" s="120">
        <v>43738</v>
      </c>
      <c r="D41" s="91" t="s">
        <v>3199</v>
      </c>
      <c r="E41" s="131">
        <v>7.1999999999999995E-2</v>
      </c>
      <c r="F41" s="87" t="s">
        <v>165</v>
      </c>
      <c r="G41" s="84">
        <v>111125.723</v>
      </c>
      <c r="H41" s="85">
        <f>G41/$G$10</f>
        <v>6.4040478257862909E-2</v>
      </c>
      <c r="I41" s="85">
        <f>G41/'סכום נכסי הקרן'!$C$42</f>
        <v>2.133297354681801E-3</v>
      </c>
      <c r="J41" s="74" t="s">
        <v>3255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</row>
    <row r="42" spans="2:47" s="122" customFormat="1">
      <c r="B42" s="95"/>
      <c r="C42" s="91"/>
      <c r="D42" s="91"/>
      <c r="E42" s="74"/>
      <c r="F42" s="74"/>
      <c r="G42" s="74"/>
      <c r="H42" s="85"/>
      <c r="I42" s="74"/>
      <c r="J42" s="74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</row>
    <row r="43" spans="2:47" s="122" customFormat="1">
      <c r="B43" s="92" t="s">
        <v>91</v>
      </c>
      <c r="C43" s="96"/>
      <c r="D43" s="96"/>
      <c r="E43" s="140">
        <v>0</v>
      </c>
      <c r="F43" s="111" t="s">
        <v>165</v>
      </c>
      <c r="G43" s="81">
        <v>322015.65559999994</v>
      </c>
      <c r="H43" s="82">
        <f t="shared" ref="H43:H49" si="1">G43/$G$10</f>
        <v>0.18557392505012785</v>
      </c>
      <c r="I43" s="82">
        <f>G43/'סכום נכסי הקרן'!$C$42</f>
        <v>6.1817833685330068E-3</v>
      </c>
      <c r="J43" s="72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</row>
    <row r="44" spans="2:47" s="122" customFormat="1">
      <c r="B44" s="77" t="s">
        <v>3256</v>
      </c>
      <c r="C44" s="120">
        <v>43830</v>
      </c>
      <c r="D44" s="91" t="s">
        <v>28</v>
      </c>
      <c r="E44" s="141">
        <v>0</v>
      </c>
      <c r="F44" s="87" t="s">
        <v>165</v>
      </c>
      <c r="G44" s="84">
        <v>7380</v>
      </c>
      <c r="H44" s="85">
        <f t="shared" si="1"/>
        <v>4.25300926539779E-3</v>
      </c>
      <c r="I44" s="85">
        <f>G44/'סכום נכסי הקרן'!$C$42</f>
        <v>1.4167497904649576E-4</v>
      </c>
      <c r="J44" s="74" t="s">
        <v>3257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</row>
    <row r="45" spans="2:47" s="122" customFormat="1">
      <c r="B45" s="77" t="s">
        <v>3258</v>
      </c>
      <c r="C45" s="120">
        <v>43830</v>
      </c>
      <c r="D45" s="91" t="s">
        <v>28</v>
      </c>
      <c r="E45" s="141">
        <v>0</v>
      </c>
      <c r="F45" s="87" t="s">
        <v>165</v>
      </c>
      <c r="G45" s="84">
        <v>4968</v>
      </c>
      <c r="H45" s="85">
        <f t="shared" si="1"/>
        <v>2.8630013591458294E-3</v>
      </c>
      <c r="I45" s="85">
        <f>G45/'סכום נכסי הקרן'!$C$42</f>
        <v>9.5371449309348373E-5</v>
      </c>
      <c r="J45" s="74" t="s">
        <v>3237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</row>
    <row r="46" spans="2:47" s="122" customFormat="1">
      <c r="B46" s="77" t="s">
        <v>3259</v>
      </c>
      <c r="C46" s="120">
        <v>43738</v>
      </c>
      <c r="D46" s="91" t="s">
        <v>28</v>
      </c>
      <c r="E46" s="141">
        <v>0</v>
      </c>
      <c r="F46" s="87" t="s">
        <v>165</v>
      </c>
      <c r="G46" s="84">
        <v>94698.933519999991</v>
      </c>
      <c r="H46" s="85">
        <f t="shared" si="1"/>
        <v>5.4573908087242454E-2</v>
      </c>
      <c r="I46" s="85">
        <f>G46/'סכום נכסי הקרן'!$C$42</f>
        <v>1.8179497862020994E-3</v>
      </c>
      <c r="J46" s="74" t="s">
        <v>3260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</row>
    <row r="47" spans="2:47" s="122" customFormat="1">
      <c r="B47" s="77" t="s">
        <v>3261</v>
      </c>
      <c r="C47" s="120">
        <v>43646</v>
      </c>
      <c r="D47" s="91" t="s">
        <v>28</v>
      </c>
      <c r="E47" s="141">
        <v>0</v>
      </c>
      <c r="F47" s="87" t="s">
        <v>165</v>
      </c>
      <c r="G47" s="84">
        <v>17518.268660000002</v>
      </c>
      <c r="H47" s="85">
        <f t="shared" si="1"/>
        <v>1.0095577090068799E-2</v>
      </c>
      <c r="I47" s="85">
        <f>G47/'סכום נכסי הקרן'!$C$42</f>
        <v>3.3630085980167798E-4</v>
      </c>
      <c r="J47" s="74" t="s">
        <v>3262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</row>
    <row r="48" spans="2:47" s="122" customFormat="1">
      <c r="B48" s="77" t="s">
        <v>3263</v>
      </c>
      <c r="C48" s="120">
        <v>43738</v>
      </c>
      <c r="D48" s="91" t="s">
        <v>28</v>
      </c>
      <c r="E48" s="141">
        <v>0</v>
      </c>
      <c r="F48" s="87" t="s">
        <v>165</v>
      </c>
      <c r="G48" s="84">
        <v>117503.12042000001</v>
      </c>
      <c r="H48" s="85">
        <f t="shared" si="1"/>
        <v>6.7715699167942039E-2</v>
      </c>
      <c r="I48" s="85">
        <f>G48/'סכום נכסי הקרן'!$C$42</f>
        <v>2.2557252199730854E-3</v>
      </c>
      <c r="J48" s="74" t="s">
        <v>3264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</row>
    <row r="49" spans="2:47" s="122" customFormat="1">
      <c r="B49" s="77" t="s">
        <v>3265</v>
      </c>
      <c r="C49" s="120">
        <v>43738</v>
      </c>
      <c r="D49" s="91" t="s">
        <v>28</v>
      </c>
      <c r="E49" s="141">
        <v>0</v>
      </c>
      <c r="F49" s="87" t="s">
        <v>165</v>
      </c>
      <c r="G49" s="84">
        <v>79947.332999999999</v>
      </c>
      <c r="H49" s="85">
        <f t="shared" si="1"/>
        <v>4.6072730080330963E-2</v>
      </c>
      <c r="I49" s="85">
        <f>G49/'סכום נכסי הקרן'!$C$42</f>
        <v>1.5347610742003006E-3</v>
      </c>
      <c r="J49" s="74" t="s">
        <v>3266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</row>
    <row r="50" spans="2:47" s="122" customFormat="1">
      <c r="B50" s="121"/>
      <c r="C50" s="121"/>
      <c r="F50" s="127"/>
      <c r="G50" s="127"/>
      <c r="H50" s="127"/>
      <c r="I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</row>
    <row r="51" spans="2:47" s="122" customFormat="1">
      <c r="B51" s="121"/>
      <c r="C51" s="121"/>
      <c r="F51" s="127"/>
      <c r="G51" s="127"/>
      <c r="H51" s="127"/>
      <c r="I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</row>
    <row r="52" spans="2:47" s="122" customFormat="1">
      <c r="B52" s="121"/>
      <c r="C52" s="121"/>
      <c r="F52" s="127"/>
      <c r="G52" s="127"/>
      <c r="H52" s="127"/>
      <c r="I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</row>
    <row r="53" spans="2:47" s="122" customFormat="1">
      <c r="B53" s="125"/>
      <c r="C53" s="121"/>
      <c r="F53" s="127"/>
      <c r="G53" s="127"/>
      <c r="H53" s="127"/>
      <c r="I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</row>
    <row r="54" spans="2:47" s="122" customFormat="1">
      <c r="B54" s="125"/>
      <c r="C54" s="121"/>
      <c r="F54" s="127"/>
      <c r="G54" s="127"/>
      <c r="H54" s="127"/>
      <c r="I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</row>
    <row r="55" spans="2:47" s="122" customFormat="1">
      <c r="B55" s="121"/>
      <c r="C55" s="121"/>
      <c r="F55" s="127"/>
      <c r="G55" s="127"/>
      <c r="H55" s="127"/>
      <c r="I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</row>
    <row r="56" spans="2:47" s="122" customFormat="1">
      <c r="B56" s="121"/>
      <c r="C56" s="121"/>
      <c r="F56" s="127"/>
      <c r="G56" s="127"/>
      <c r="H56" s="127"/>
      <c r="I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</row>
    <row r="57" spans="2:47" s="122" customFormat="1">
      <c r="B57" s="121"/>
      <c r="C57" s="121"/>
      <c r="F57" s="127"/>
      <c r="G57" s="127"/>
      <c r="H57" s="127"/>
      <c r="I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</row>
    <row r="58" spans="2:47" s="122" customFormat="1">
      <c r="B58" s="121"/>
      <c r="C58" s="121"/>
      <c r="F58" s="127"/>
      <c r="G58" s="127"/>
      <c r="H58" s="127"/>
      <c r="I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</row>
    <row r="59" spans="2:47" s="122" customFormat="1">
      <c r="B59" s="121"/>
      <c r="C59" s="121"/>
      <c r="F59" s="127"/>
      <c r="G59" s="127"/>
      <c r="H59" s="127"/>
      <c r="I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</row>
    <row r="60" spans="2:47" s="122" customFormat="1">
      <c r="B60" s="121"/>
      <c r="C60" s="121"/>
      <c r="F60" s="127"/>
      <c r="G60" s="127"/>
      <c r="H60" s="127"/>
      <c r="I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</row>
    <row r="61" spans="2:47" s="122" customFormat="1">
      <c r="B61" s="121"/>
      <c r="C61" s="121"/>
      <c r="F61" s="127"/>
      <c r="G61" s="127"/>
      <c r="H61" s="127"/>
      <c r="I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</row>
    <row r="62" spans="2:47" s="122" customFormat="1">
      <c r="B62" s="121"/>
      <c r="C62" s="121"/>
      <c r="F62" s="127"/>
      <c r="G62" s="127"/>
      <c r="H62" s="127"/>
      <c r="I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</row>
    <row r="63" spans="2:47" s="122" customFormat="1">
      <c r="B63" s="121"/>
      <c r="C63" s="121"/>
      <c r="F63" s="127"/>
      <c r="G63" s="127"/>
      <c r="H63" s="127"/>
      <c r="I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</row>
    <row r="64" spans="2:47" s="122" customFormat="1">
      <c r="B64" s="121"/>
      <c r="C64" s="121"/>
      <c r="F64" s="127"/>
      <c r="G64" s="127"/>
      <c r="H64" s="127"/>
      <c r="I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</row>
    <row r="65" spans="2:47" s="122" customFormat="1">
      <c r="B65" s="121"/>
      <c r="C65" s="121"/>
      <c r="F65" s="127"/>
      <c r="G65" s="127"/>
      <c r="H65" s="127"/>
      <c r="I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</row>
    <row r="66" spans="2:47" s="122" customFormat="1">
      <c r="B66" s="121"/>
      <c r="C66" s="121"/>
      <c r="F66" s="127"/>
      <c r="G66" s="127"/>
      <c r="H66" s="127"/>
      <c r="I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</row>
    <row r="67" spans="2:47" s="122" customFormat="1">
      <c r="B67" s="121"/>
      <c r="C67" s="121"/>
      <c r="F67" s="127"/>
      <c r="G67" s="127"/>
      <c r="H67" s="127"/>
      <c r="I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</row>
    <row r="68" spans="2:47" s="122" customFormat="1">
      <c r="B68" s="121"/>
      <c r="C68" s="121"/>
      <c r="F68" s="127"/>
      <c r="G68" s="127"/>
      <c r="H68" s="127"/>
      <c r="I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</row>
    <row r="69" spans="2:47" s="122" customFormat="1">
      <c r="B69" s="121"/>
      <c r="C69" s="121"/>
      <c r="F69" s="127"/>
      <c r="G69" s="127"/>
      <c r="H69" s="127"/>
      <c r="I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</row>
    <row r="70" spans="2:47" s="122" customFormat="1">
      <c r="B70" s="121"/>
      <c r="C70" s="121"/>
      <c r="F70" s="127"/>
      <c r="G70" s="127"/>
      <c r="H70" s="127"/>
      <c r="I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</row>
    <row r="71" spans="2:47" s="122" customFormat="1">
      <c r="B71" s="121"/>
      <c r="C71" s="121"/>
      <c r="F71" s="127"/>
      <c r="G71" s="127"/>
      <c r="H71" s="127"/>
      <c r="I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</row>
    <row r="72" spans="2:47" s="122" customFormat="1">
      <c r="B72" s="121"/>
      <c r="C72" s="121"/>
      <c r="F72" s="127"/>
      <c r="G72" s="127"/>
      <c r="H72" s="127"/>
      <c r="I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</row>
    <row r="73" spans="2:47" s="122" customFormat="1">
      <c r="B73" s="121"/>
      <c r="C73" s="121"/>
      <c r="F73" s="127"/>
      <c r="G73" s="127"/>
      <c r="H73" s="127"/>
      <c r="I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</row>
    <row r="74" spans="2:47" s="122" customFormat="1">
      <c r="B74" s="121"/>
      <c r="C74" s="121"/>
      <c r="F74" s="127"/>
      <c r="G74" s="127"/>
      <c r="H74" s="127"/>
      <c r="I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</row>
    <row r="75" spans="2:47" s="122" customFormat="1">
      <c r="B75" s="121"/>
      <c r="C75" s="121"/>
      <c r="F75" s="127"/>
      <c r="G75" s="127"/>
      <c r="H75" s="127"/>
      <c r="I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</row>
    <row r="76" spans="2:47" s="122" customFormat="1">
      <c r="B76" s="121"/>
      <c r="C76" s="121"/>
      <c r="F76" s="127"/>
      <c r="G76" s="127"/>
      <c r="H76" s="127"/>
      <c r="I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</row>
    <row r="77" spans="2:47" s="122" customFormat="1">
      <c r="B77" s="121"/>
      <c r="C77" s="121"/>
      <c r="F77" s="127"/>
      <c r="G77" s="127"/>
      <c r="H77" s="127"/>
      <c r="I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</row>
    <row r="78" spans="2:47" s="122" customFormat="1">
      <c r="B78" s="121"/>
      <c r="C78" s="121"/>
      <c r="F78" s="127"/>
      <c r="G78" s="127"/>
      <c r="H78" s="127"/>
      <c r="I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</row>
    <row r="79" spans="2:47" s="122" customFormat="1">
      <c r="B79" s="121"/>
      <c r="C79" s="121"/>
      <c r="F79" s="127"/>
      <c r="G79" s="127"/>
      <c r="H79" s="127"/>
      <c r="I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</row>
    <row r="80" spans="2:47" s="122" customFormat="1">
      <c r="B80" s="121"/>
      <c r="C80" s="121"/>
      <c r="F80" s="127"/>
      <c r="G80" s="127"/>
      <c r="H80" s="127"/>
      <c r="I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</row>
    <row r="81" spans="2:47" s="122" customFormat="1">
      <c r="B81" s="121"/>
      <c r="C81" s="121"/>
      <c r="F81" s="127"/>
      <c r="G81" s="127"/>
      <c r="H81" s="127"/>
      <c r="I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</row>
    <row r="82" spans="2:47" s="122" customFormat="1">
      <c r="B82" s="121"/>
      <c r="C82" s="121"/>
      <c r="F82" s="127"/>
      <c r="G82" s="127"/>
      <c r="H82" s="127"/>
      <c r="I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</row>
    <row r="83" spans="2:47" s="122" customFormat="1">
      <c r="B83" s="121"/>
      <c r="C83" s="121"/>
      <c r="F83" s="127"/>
      <c r="G83" s="127"/>
      <c r="H83" s="127"/>
      <c r="I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</row>
    <row r="84" spans="2:47" s="122" customFormat="1">
      <c r="B84" s="121"/>
      <c r="C84" s="121"/>
      <c r="F84" s="127"/>
      <c r="G84" s="127"/>
      <c r="H84" s="127"/>
      <c r="I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</row>
    <row r="85" spans="2:47" s="122" customFormat="1">
      <c r="B85" s="121"/>
      <c r="C85" s="121"/>
      <c r="F85" s="127"/>
      <c r="G85" s="127"/>
      <c r="H85" s="127"/>
      <c r="I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</row>
    <row r="86" spans="2:47" s="122" customFormat="1">
      <c r="B86" s="121"/>
      <c r="C86" s="121"/>
      <c r="F86" s="127"/>
      <c r="G86" s="127"/>
      <c r="H86" s="127"/>
      <c r="I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</row>
    <row r="87" spans="2:47" s="122" customFormat="1">
      <c r="B87" s="121"/>
      <c r="C87" s="121"/>
      <c r="F87" s="127"/>
      <c r="G87" s="127"/>
      <c r="H87" s="127"/>
      <c r="I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</row>
    <row r="88" spans="2:47" s="122" customFormat="1">
      <c r="B88" s="121"/>
      <c r="C88" s="121"/>
      <c r="F88" s="127"/>
      <c r="G88" s="127"/>
      <c r="H88" s="127"/>
      <c r="I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</row>
    <row r="89" spans="2:47" s="122" customFormat="1">
      <c r="B89" s="121"/>
      <c r="C89" s="121"/>
      <c r="F89" s="127"/>
      <c r="G89" s="127"/>
      <c r="H89" s="127"/>
      <c r="I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</row>
    <row r="90" spans="2:47" s="122" customFormat="1">
      <c r="B90" s="121"/>
      <c r="C90" s="121"/>
      <c r="F90" s="127"/>
      <c r="G90" s="127"/>
      <c r="H90" s="127"/>
      <c r="I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</row>
    <row r="91" spans="2:47" s="122" customFormat="1">
      <c r="B91" s="121"/>
      <c r="C91" s="121"/>
      <c r="F91" s="127"/>
      <c r="G91" s="127"/>
      <c r="H91" s="127"/>
      <c r="I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</row>
    <row r="92" spans="2:47" s="122" customFormat="1">
      <c r="B92" s="121"/>
      <c r="C92" s="121"/>
      <c r="F92" s="127"/>
      <c r="G92" s="127"/>
      <c r="H92" s="127"/>
      <c r="I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</row>
    <row r="93" spans="2:47" s="122" customFormat="1">
      <c r="B93" s="121"/>
      <c r="C93" s="121"/>
      <c r="F93" s="127"/>
      <c r="G93" s="127"/>
      <c r="H93" s="127"/>
      <c r="I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</row>
    <row r="94" spans="2:47" s="122" customFormat="1">
      <c r="B94" s="121"/>
      <c r="C94" s="121"/>
      <c r="F94" s="127"/>
      <c r="G94" s="127"/>
      <c r="H94" s="127"/>
      <c r="I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</row>
    <row r="95" spans="2:47" s="122" customFormat="1">
      <c r="B95" s="121"/>
      <c r="C95" s="121"/>
      <c r="F95" s="127"/>
      <c r="G95" s="127"/>
      <c r="H95" s="127"/>
      <c r="I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</row>
    <row r="96" spans="2:47" s="122" customFormat="1">
      <c r="B96" s="121"/>
      <c r="C96" s="121"/>
      <c r="F96" s="127"/>
      <c r="G96" s="127"/>
      <c r="H96" s="127"/>
      <c r="I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</row>
    <row r="97" spans="2:47" s="122" customFormat="1">
      <c r="B97" s="121"/>
      <c r="C97" s="121"/>
      <c r="F97" s="127"/>
      <c r="G97" s="127"/>
      <c r="H97" s="127"/>
      <c r="I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</row>
    <row r="98" spans="2:47" s="122" customFormat="1">
      <c r="B98" s="121"/>
      <c r="C98" s="121"/>
      <c r="F98" s="127"/>
      <c r="G98" s="127"/>
      <c r="H98" s="127"/>
      <c r="I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</row>
    <row r="99" spans="2:47" s="122" customFormat="1">
      <c r="B99" s="121"/>
      <c r="C99" s="121"/>
      <c r="F99" s="127"/>
      <c r="G99" s="127"/>
      <c r="H99" s="127"/>
      <c r="I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</row>
    <row r="100" spans="2:47" s="122" customFormat="1">
      <c r="B100" s="121"/>
      <c r="C100" s="121"/>
      <c r="F100" s="127"/>
      <c r="G100" s="127"/>
      <c r="H100" s="127"/>
      <c r="I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</row>
    <row r="101" spans="2:47" s="122" customFormat="1">
      <c r="B101" s="121"/>
      <c r="C101" s="121"/>
      <c r="F101" s="127"/>
      <c r="G101" s="127"/>
      <c r="H101" s="127"/>
      <c r="I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</row>
    <row r="102" spans="2:47" s="122" customFormat="1">
      <c r="B102" s="121"/>
      <c r="C102" s="121"/>
      <c r="F102" s="127"/>
      <c r="G102" s="127"/>
      <c r="H102" s="127"/>
      <c r="I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</row>
    <row r="103" spans="2:47" s="122" customFormat="1">
      <c r="B103" s="121"/>
      <c r="C103" s="121"/>
      <c r="F103" s="127"/>
      <c r="G103" s="127"/>
      <c r="H103" s="127"/>
      <c r="I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</row>
    <row r="104" spans="2:47" s="122" customFormat="1">
      <c r="B104" s="121"/>
      <c r="C104" s="121"/>
      <c r="F104" s="127"/>
      <c r="G104" s="127"/>
      <c r="H104" s="127"/>
      <c r="I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</row>
    <row r="105" spans="2:47" s="122" customFormat="1">
      <c r="B105" s="121"/>
      <c r="C105" s="121"/>
      <c r="F105" s="127"/>
      <c r="G105" s="127"/>
      <c r="H105" s="127"/>
      <c r="I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</row>
    <row r="106" spans="2:47" s="122" customFormat="1">
      <c r="B106" s="121"/>
      <c r="C106" s="121"/>
      <c r="F106" s="127"/>
      <c r="G106" s="127"/>
      <c r="H106" s="127"/>
      <c r="I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</row>
    <row r="107" spans="2:47" s="122" customFormat="1">
      <c r="B107" s="121"/>
      <c r="C107" s="121"/>
      <c r="F107" s="127"/>
      <c r="G107" s="127"/>
      <c r="H107" s="127"/>
      <c r="I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</row>
    <row r="108" spans="2:47" s="122" customFormat="1">
      <c r="B108" s="121"/>
      <c r="C108" s="121"/>
      <c r="F108" s="127"/>
      <c r="G108" s="127"/>
      <c r="H108" s="127"/>
      <c r="I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</row>
    <row r="109" spans="2:47" s="122" customFormat="1">
      <c r="B109" s="121"/>
      <c r="C109" s="121"/>
      <c r="F109" s="127"/>
      <c r="G109" s="127"/>
      <c r="H109" s="127"/>
      <c r="I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</row>
    <row r="110" spans="2:47" s="122" customFormat="1">
      <c r="B110" s="121"/>
      <c r="C110" s="121"/>
      <c r="F110" s="127"/>
      <c r="G110" s="127"/>
      <c r="H110" s="127"/>
      <c r="I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</row>
    <row r="111" spans="2:47" s="122" customFormat="1">
      <c r="B111" s="121"/>
      <c r="C111" s="121"/>
      <c r="F111" s="127"/>
      <c r="G111" s="127"/>
      <c r="H111" s="127"/>
      <c r="I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</row>
    <row r="112" spans="2:47" s="122" customFormat="1">
      <c r="B112" s="121"/>
      <c r="C112" s="121"/>
      <c r="F112" s="127"/>
      <c r="G112" s="127"/>
      <c r="H112" s="127"/>
      <c r="I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</row>
    <row r="113" spans="2:47" s="122" customFormat="1">
      <c r="B113" s="121"/>
      <c r="C113" s="121"/>
      <c r="F113" s="127"/>
      <c r="G113" s="127"/>
      <c r="H113" s="127"/>
      <c r="I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</row>
    <row r="114" spans="2:47" s="122" customFormat="1">
      <c r="B114" s="121"/>
      <c r="C114" s="121"/>
      <c r="F114" s="127"/>
      <c r="G114" s="127"/>
      <c r="H114" s="127"/>
      <c r="I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</row>
    <row r="115" spans="2:47" s="122" customFormat="1">
      <c r="B115" s="121"/>
      <c r="C115" s="121"/>
      <c r="F115" s="127"/>
      <c r="G115" s="127"/>
      <c r="H115" s="127"/>
      <c r="I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</row>
    <row r="116" spans="2:47" s="122" customFormat="1">
      <c r="B116" s="121"/>
      <c r="C116" s="121"/>
      <c r="F116" s="127"/>
      <c r="G116" s="127"/>
      <c r="H116" s="127"/>
      <c r="I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</row>
    <row r="117" spans="2:47" s="122" customFormat="1">
      <c r="B117" s="121"/>
      <c r="C117" s="121"/>
      <c r="F117" s="127"/>
      <c r="G117" s="127"/>
      <c r="H117" s="127"/>
      <c r="I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</row>
    <row r="118" spans="2:47" s="122" customFormat="1">
      <c r="B118" s="121"/>
      <c r="C118" s="121"/>
      <c r="F118" s="127"/>
      <c r="G118" s="127"/>
      <c r="H118" s="127"/>
      <c r="I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</row>
    <row r="119" spans="2:47" s="122" customFormat="1">
      <c r="B119" s="121"/>
      <c r="C119" s="121"/>
      <c r="F119" s="127"/>
      <c r="G119" s="127"/>
      <c r="H119" s="127"/>
      <c r="I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</row>
    <row r="120" spans="2:47" s="122" customFormat="1">
      <c r="B120" s="121"/>
      <c r="C120" s="121"/>
      <c r="F120" s="127"/>
      <c r="G120" s="127"/>
      <c r="H120" s="127"/>
      <c r="I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</row>
    <row r="121" spans="2:47" s="122" customFormat="1">
      <c r="B121" s="121"/>
      <c r="C121" s="121"/>
      <c r="F121" s="127"/>
      <c r="G121" s="127"/>
      <c r="H121" s="127"/>
      <c r="I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</row>
    <row r="122" spans="2:47" s="122" customFormat="1">
      <c r="B122" s="121"/>
      <c r="C122" s="121"/>
      <c r="F122" s="127"/>
      <c r="G122" s="127"/>
      <c r="H122" s="127"/>
      <c r="I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</row>
    <row r="123" spans="2:47" s="122" customFormat="1">
      <c r="B123" s="121"/>
      <c r="C123" s="121"/>
      <c r="F123" s="127"/>
      <c r="G123" s="127"/>
      <c r="H123" s="127"/>
      <c r="I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</row>
    <row r="124" spans="2:47" s="122" customFormat="1">
      <c r="B124" s="121"/>
      <c r="C124" s="121"/>
      <c r="F124" s="127"/>
      <c r="G124" s="127"/>
      <c r="H124" s="127"/>
      <c r="I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</row>
    <row r="125" spans="2:47" s="122" customFormat="1">
      <c r="B125" s="121"/>
      <c r="C125" s="121"/>
      <c r="F125" s="127"/>
      <c r="G125" s="127"/>
      <c r="H125" s="127"/>
      <c r="I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</row>
    <row r="126" spans="2:47" s="122" customFormat="1">
      <c r="B126" s="121"/>
      <c r="C126" s="121"/>
      <c r="F126" s="127"/>
      <c r="G126" s="127"/>
      <c r="H126" s="127"/>
      <c r="I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</row>
    <row r="127" spans="2:47" s="122" customFormat="1">
      <c r="B127" s="121"/>
      <c r="C127" s="121"/>
      <c r="F127" s="127"/>
      <c r="G127" s="127"/>
      <c r="H127" s="127"/>
      <c r="I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</row>
    <row r="128" spans="2:47" s="122" customFormat="1">
      <c r="B128" s="121"/>
      <c r="C128" s="121"/>
      <c r="F128" s="127"/>
      <c r="G128" s="127"/>
      <c r="H128" s="127"/>
      <c r="I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</row>
    <row r="129" spans="2:47" s="122" customFormat="1">
      <c r="B129" s="121"/>
      <c r="C129" s="121"/>
      <c r="F129" s="127"/>
      <c r="G129" s="127"/>
      <c r="H129" s="127"/>
      <c r="I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</row>
    <row r="130" spans="2:47" s="122" customFormat="1">
      <c r="B130" s="121"/>
      <c r="C130" s="121"/>
      <c r="F130" s="127"/>
      <c r="G130" s="127"/>
      <c r="H130" s="127"/>
      <c r="I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</row>
    <row r="131" spans="2:47" s="122" customFormat="1">
      <c r="B131" s="121"/>
      <c r="C131" s="121"/>
      <c r="F131" s="127"/>
      <c r="G131" s="127"/>
      <c r="H131" s="127"/>
      <c r="I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</row>
    <row r="132" spans="2:47" s="122" customFormat="1">
      <c r="B132" s="121"/>
      <c r="C132" s="121"/>
      <c r="F132" s="127"/>
      <c r="G132" s="127"/>
      <c r="H132" s="127"/>
      <c r="I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</row>
    <row r="133" spans="2:47" s="122" customFormat="1">
      <c r="B133" s="121"/>
      <c r="C133" s="121"/>
      <c r="F133" s="127"/>
      <c r="G133" s="127"/>
      <c r="H133" s="127"/>
      <c r="I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</row>
    <row r="134" spans="2:47" s="122" customFormat="1">
      <c r="B134" s="121"/>
      <c r="C134" s="121"/>
      <c r="F134" s="127"/>
      <c r="G134" s="127"/>
      <c r="H134" s="127"/>
      <c r="I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</row>
    <row r="135" spans="2:47" s="122" customFormat="1">
      <c r="B135" s="121"/>
      <c r="C135" s="121"/>
      <c r="F135" s="127"/>
      <c r="G135" s="127"/>
      <c r="H135" s="127"/>
      <c r="I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</row>
    <row r="136" spans="2:47" s="122" customFormat="1">
      <c r="B136" s="121"/>
      <c r="C136" s="121"/>
      <c r="F136" s="127"/>
      <c r="G136" s="127"/>
      <c r="H136" s="127"/>
      <c r="I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</row>
    <row r="137" spans="2:47" s="122" customFormat="1">
      <c r="B137" s="121"/>
      <c r="C137" s="121"/>
      <c r="F137" s="127"/>
      <c r="G137" s="127"/>
      <c r="H137" s="127"/>
      <c r="I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</row>
    <row r="138" spans="2:47" s="122" customFormat="1">
      <c r="B138" s="121"/>
      <c r="C138" s="121"/>
      <c r="F138" s="127"/>
      <c r="G138" s="127"/>
      <c r="H138" s="127"/>
      <c r="I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</row>
    <row r="139" spans="2:47" s="122" customFormat="1">
      <c r="B139" s="121"/>
      <c r="C139" s="121"/>
      <c r="F139" s="127"/>
      <c r="G139" s="127"/>
      <c r="H139" s="127"/>
      <c r="I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</row>
    <row r="140" spans="2:47" s="122" customFormat="1">
      <c r="B140" s="121"/>
      <c r="C140" s="121"/>
      <c r="F140" s="127"/>
      <c r="G140" s="127"/>
      <c r="H140" s="127"/>
      <c r="I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</row>
    <row r="141" spans="2:47" s="122" customFormat="1">
      <c r="B141" s="121"/>
      <c r="C141" s="121"/>
      <c r="F141" s="127"/>
      <c r="G141" s="127"/>
      <c r="H141" s="127"/>
      <c r="I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</row>
    <row r="142" spans="2:47" s="122" customFormat="1">
      <c r="B142" s="121"/>
      <c r="C142" s="121"/>
      <c r="F142" s="127"/>
      <c r="G142" s="127"/>
      <c r="H142" s="127"/>
      <c r="I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</row>
    <row r="143" spans="2:47">
      <c r="F143" s="3"/>
      <c r="G143" s="3"/>
      <c r="H143" s="3"/>
      <c r="I143" s="3"/>
    </row>
    <row r="144" spans="2:47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5" type="noConversion"/>
  <dataValidations count="1">
    <dataValidation allowBlank="1" showInputMessage="1" showErrorMessage="1" sqref="D1:J9 C5:C9 A1:A1048576 B1:B9 B50:J1048576 Y28:XFD29 K28:W29 K30:XFD1048576 K1:XFD27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180</v>
      </c>
      <c r="C1" s="68" t="s" vm="1">
        <v>270</v>
      </c>
    </row>
    <row r="2" spans="2:60">
      <c r="B2" s="47" t="s">
        <v>179</v>
      </c>
      <c r="C2" s="68" t="s">
        <v>271</v>
      </c>
    </row>
    <row r="3" spans="2:60">
      <c r="B3" s="47" t="s">
        <v>181</v>
      </c>
      <c r="C3" s="68" t="s">
        <v>272</v>
      </c>
    </row>
    <row r="4" spans="2:60">
      <c r="B4" s="47" t="s">
        <v>182</v>
      </c>
      <c r="C4" s="68">
        <v>2102</v>
      </c>
    </row>
    <row r="6" spans="2:60" ht="26.25" customHeight="1">
      <c r="B6" s="163" t="s">
        <v>215</v>
      </c>
      <c r="C6" s="164"/>
      <c r="D6" s="164"/>
      <c r="E6" s="164"/>
      <c r="F6" s="164"/>
      <c r="G6" s="164"/>
      <c r="H6" s="164"/>
      <c r="I6" s="164"/>
      <c r="J6" s="164"/>
      <c r="K6" s="165"/>
    </row>
    <row r="7" spans="2:60" s="3" customFormat="1" ht="63">
      <c r="B7" s="48" t="s">
        <v>119</v>
      </c>
      <c r="C7" s="50" t="s">
        <v>120</v>
      </c>
      <c r="D7" s="50" t="s">
        <v>14</v>
      </c>
      <c r="E7" s="50" t="s">
        <v>15</v>
      </c>
      <c r="F7" s="50" t="s">
        <v>60</v>
      </c>
      <c r="G7" s="50" t="s">
        <v>106</v>
      </c>
      <c r="H7" s="50" t="s">
        <v>56</v>
      </c>
      <c r="I7" s="50" t="s">
        <v>114</v>
      </c>
      <c r="J7" s="50" t="s">
        <v>183</v>
      </c>
      <c r="K7" s="65" t="s">
        <v>184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248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3"/>
      <c r="C11" s="91"/>
      <c r="D11" s="91"/>
      <c r="E11" s="91"/>
      <c r="F11" s="91"/>
      <c r="G11" s="91"/>
      <c r="H11" s="91"/>
      <c r="I11" s="91"/>
      <c r="J11" s="91"/>
      <c r="K11" s="91"/>
    </row>
    <row r="12" spans="2:60">
      <c r="B12" s="103"/>
      <c r="C12" s="91"/>
      <c r="D12" s="91"/>
      <c r="E12" s="91"/>
      <c r="F12" s="91"/>
      <c r="G12" s="91"/>
      <c r="H12" s="91"/>
      <c r="I12" s="91"/>
      <c r="J12" s="91"/>
      <c r="K12" s="9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1"/>
      <c r="C13" s="91"/>
      <c r="D13" s="91"/>
      <c r="E13" s="91"/>
      <c r="F13" s="91"/>
      <c r="G13" s="91"/>
      <c r="H13" s="91"/>
      <c r="I13" s="91"/>
      <c r="J13" s="91"/>
      <c r="K13" s="9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E14" sqref="E14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8.425781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180</v>
      </c>
      <c r="C1" s="68" t="s" vm="1">
        <v>270</v>
      </c>
    </row>
    <row r="2" spans="2:60">
      <c r="B2" s="47" t="s">
        <v>179</v>
      </c>
      <c r="C2" s="68" t="s">
        <v>271</v>
      </c>
    </row>
    <row r="3" spans="2:60">
      <c r="B3" s="47" t="s">
        <v>181</v>
      </c>
      <c r="C3" s="68" t="s">
        <v>272</v>
      </c>
    </row>
    <row r="4" spans="2:60">
      <c r="B4" s="47" t="s">
        <v>182</v>
      </c>
      <c r="C4" s="68">
        <v>2102</v>
      </c>
    </row>
    <row r="6" spans="2:60" ht="26.25" customHeight="1">
      <c r="B6" s="163" t="s">
        <v>216</v>
      </c>
      <c r="C6" s="164"/>
      <c r="D6" s="164"/>
      <c r="E6" s="164"/>
      <c r="F6" s="164"/>
      <c r="G6" s="164"/>
      <c r="H6" s="164"/>
      <c r="I6" s="164"/>
      <c r="J6" s="164"/>
      <c r="K6" s="165"/>
    </row>
    <row r="7" spans="2:60" s="3" customFormat="1" ht="63">
      <c r="B7" s="48" t="s">
        <v>119</v>
      </c>
      <c r="C7" s="50" t="s">
        <v>47</v>
      </c>
      <c r="D7" s="50" t="s">
        <v>14</v>
      </c>
      <c r="E7" s="50" t="s">
        <v>15</v>
      </c>
      <c r="F7" s="50" t="s">
        <v>60</v>
      </c>
      <c r="G7" s="50" t="s">
        <v>106</v>
      </c>
      <c r="H7" s="50" t="s">
        <v>56</v>
      </c>
      <c r="I7" s="50" t="s">
        <v>114</v>
      </c>
      <c r="J7" s="50" t="s">
        <v>183</v>
      </c>
      <c r="K7" s="52" t="s">
        <v>184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248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17" t="s">
        <v>59</v>
      </c>
      <c r="C10" s="113"/>
      <c r="D10" s="113"/>
      <c r="E10" s="113"/>
      <c r="F10" s="113"/>
      <c r="G10" s="113"/>
      <c r="H10" s="115">
        <v>0</v>
      </c>
      <c r="I10" s="114">
        <v>177.36547660900001</v>
      </c>
      <c r="J10" s="115">
        <f>I10/$I$10</f>
        <v>1</v>
      </c>
      <c r="K10" s="115">
        <f>I10/'סכום נכסי הקרן'!$C$42</f>
        <v>3.4049119488010585E-6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90"/>
    </row>
    <row r="11" spans="2:60" s="90" customFormat="1" ht="21" customHeight="1">
      <c r="B11" s="118" t="s">
        <v>238</v>
      </c>
      <c r="C11" s="113"/>
      <c r="D11" s="113"/>
      <c r="E11" s="113"/>
      <c r="F11" s="113"/>
      <c r="G11" s="113"/>
      <c r="H11" s="115">
        <v>0</v>
      </c>
      <c r="I11" s="114">
        <v>177.36547660900001</v>
      </c>
      <c r="J11" s="115">
        <f t="shared" ref="J11:J12" si="0">I11/$I$10</f>
        <v>1</v>
      </c>
      <c r="K11" s="115">
        <f>I11/'סכום נכסי הקרן'!$C$42</f>
        <v>3.4049119488010585E-6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73" t="s">
        <v>3267</v>
      </c>
      <c r="C12" s="74" t="s">
        <v>3268</v>
      </c>
      <c r="D12" s="74" t="s">
        <v>722</v>
      </c>
      <c r="E12" s="74" t="s">
        <v>356</v>
      </c>
      <c r="F12" s="88">
        <v>0</v>
      </c>
      <c r="G12" s="87" t="s">
        <v>165</v>
      </c>
      <c r="H12" s="85">
        <v>0</v>
      </c>
      <c r="I12" s="84">
        <v>177.36547660900001</v>
      </c>
      <c r="J12" s="85">
        <f t="shared" si="0"/>
        <v>1</v>
      </c>
      <c r="K12" s="85">
        <f>I12/'סכום נכסי הקרן'!$C$42</f>
        <v>3.4049119488010585E-6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5"/>
      <c r="C13" s="74"/>
      <c r="D13" s="74"/>
      <c r="E13" s="74"/>
      <c r="F13" s="74"/>
      <c r="G13" s="74"/>
      <c r="H13" s="85"/>
      <c r="I13" s="74"/>
      <c r="J13" s="85"/>
      <c r="K13" s="7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3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3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5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88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53.5703125" style="2" bestFit="1" customWidth="1"/>
    <col min="3" max="3" width="48.425781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13.140625" style="3" bestFit="1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180</v>
      </c>
      <c r="C1" s="68" t="s" vm="1">
        <v>270</v>
      </c>
    </row>
    <row r="2" spans="2:47">
      <c r="B2" s="47" t="s">
        <v>179</v>
      </c>
      <c r="C2" s="68" t="s">
        <v>271</v>
      </c>
    </row>
    <row r="3" spans="2:47">
      <c r="B3" s="47" t="s">
        <v>181</v>
      </c>
      <c r="C3" s="68" t="s">
        <v>272</v>
      </c>
    </row>
    <row r="4" spans="2:47">
      <c r="B4" s="47" t="s">
        <v>182</v>
      </c>
      <c r="C4" s="68">
        <v>2102</v>
      </c>
    </row>
    <row r="6" spans="2:47" ht="26.25" customHeight="1">
      <c r="B6" s="163" t="s">
        <v>217</v>
      </c>
      <c r="C6" s="164"/>
      <c r="D6" s="165"/>
    </row>
    <row r="7" spans="2:47" s="3" customFormat="1" ht="31.5">
      <c r="B7" s="48" t="s">
        <v>119</v>
      </c>
      <c r="C7" s="53" t="s">
        <v>111</v>
      </c>
      <c r="D7" s="54" t="s">
        <v>110</v>
      </c>
    </row>
    <row r="8" spans="2:47" s="3" customFormat="1">
      <c r="B8" s="15"/>
      <c r="C8" s="32" t="s">
        <v>248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96" t="s">
        <v>3374</v>
      </c>
      <c r="C10" s="81">
        <f>C11+C54</f>
        <v>4602158.3246145342</v>
      </c>
      <c r="D10" s="96"/>
      <c r="E10" s="3"/>
      <c r="F10" s="3"/>
      <c r="G10" s="81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71" t="s">
        <v>26</v>
      </c>
      <c r="C11" s="81">
        <v>946104.86422347033</v>
      </c>
      <c r="D11" s="119"/>
    </row>
    <row r="12" spans="2:47">
      <c r="B12" s="77" t="s">
        <v>3275</v>
      </c>
      <c r="C12" s="84">
        <v>13093.8401586</v>
      </c>
      <c r="D12" s="97">
        <v>45640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7" t="s">
        <v>3281</v>
      </c>
      <c r="C13" s="84">
        <v>5692.3208298705831</v>
      </c>
      <c r="D13" s="97">
        <v>44440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7" t="s">
        <v>3277</v>
      </c>
      <c r="C14" s="84">
        <v>4213.4950699999999</v>
      </c>
      <c r="D14" s="97">
        <v>44516</v>
      </c>
    </row>
    <row r="15" spans="2:47">
      <c r="B15" s="77" t="s">
        <v>3278</v>
      </c>
      <c r="C15" s="84">
        <v>711.78825999999935</v>
      </c>
      <c r="D15" s="97">
        <v>44196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77" t="s">
        <v>3364</v>
      </c>
      <c r="C16" s="84">
        <v>51310.100638871758</v>
      </c>
      <c r="D16" s="97">
        <v>46772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77" t="s">
        <v>3368</v>
      </c>
      <c r="C17" s="84">
        <v>9051.2934498486557</v>
      </c>
      <c r="D17" s="97">
        <v>47467</v>
      </c>
    </row>
    <row r="18" spans="2:4">
      <c r="B18" s="77" t="s">
        <v>3311</v>
      </c>
      <c r="C18" s="84">
        <v>24154.4931535</v>
      </c>
      <c r="D18" s="97">
        <v>46054</v>
      </c>
    </row>
    <row r="19" spans="2:4">
      <c r="B19" s="77" t="s">
        <v>2263</v>
      </c>
      <c r="C19" s="84">
        <v>1615.3799299999994</v>
      </c>
      <c r="D19" s="97">
        <v>44196</v>
      </c>
    </row>
    <row r="20" spans="2:4">
      <c r="B20" s="77" t="s">
        <v>2264</v>
      </c>
      <c r="C20" s="84">
        <v>1856.3097600000006</v>
      </c>
      <c r="D20" s="97">
        <v>44196</v>
      </c>
    </row>
    <row r="21" spans="2:4">
      <c r="B21" s="77" t="s">
        <v>3285</v>
      </c>
      <c r="C21" s="84">
        <v>2584.625</v>
      </c>
      <c r="D21" s="97">
        <v>43951</v>
      </c>
    </row>
    <row r="22" spans="2:4">
      <c r="B22" s="77" t="s">
        <v>3286</v>
      </c>
      <c r="C22" s="84">
        <v>481.26437630000004</v>
      </c>
      <c r="D22" s="97">
        <v>44738</v>
      </c>
    </row>
    <row r="23" spans="2:4">
      <c r="B23" s="77" t="s">
        <v>3365</v>
      </c>
      <c r="C23" s="84">
        <v>49765.422957949995</v>
      </c>
      <c r="D23" s="97">
        <v>47209</v>
      </c>
    </row>
    <row r="24" spans="2:4">
      <c r="B24" s="77" t="s">
        <v>3339</v>
      </c>
      <c r="C24" s="84">
        <v>1626.06621</v>
      </c>
      <c r="D24" s="97">
        <v>44498</v>
      </c>
    </row>
    <row r="25" spans="2:4">
      <c r="B25" s="77" t="s">
        <v>3379</v>
      </c>
      <c r="C25" s="84">
        <v>33355.315350000004</v>
      </c>
      <c r="D25" s="97">
        <v>44255</v>
      </c>
    </row>
    <row r="26" spans="2:4">
      <c r="B26" s="77" t="s">
        <v>2270</v>
      </c>
      <c r="C26" s="84">
        <v>38680.357948200006</v>
      </c>
      <c r="D26" s="97">
        <v>47209</v>
      </c>
    </row>
    <row r="27" spans="2:4">
      <c r="B27" s="77" t="s">
        <v>3315</v>
      </c>
      <c r="C27" s="84">
        <v>489.20199999999932</v>
      </c>
      <c r="D27" s="97">
        <v>45534</v>
      </c>
    </row>
    <row r="28" spans="2:4">
      <c r="B28" s="77" t="s">
        <v>3276</v>
      </c>
      <c r="C28" s="84">
        <v>12738.097960000003</v>
      </c>
      <c r="D28" s="97">
        <v>45534</v>
      </c>
    </row>
    <row r="29" spans="2:4">
      <c r="B29" s="77" t="s">
        <v>3314</v>
      </c>
      <c r="C29" s="84">
        <v>19463.562792208129</v>
      </c>
      <c r="D29" s="97">
        <v>46132</v>
      </c>
    </row>
    <row r="30" spans="2:4">
      <c r="B30" s="77" t="s">
        <v>3294</v>
      </c>
      <c r="C30" s="84">
        <v>179.67600000000047</v>
      </c>
      <c r="D30" s="97">
        <v>44290</v>
      </c>
    </row>
    <row r="31" spans="2:4">
      <c r="B31" s="77" t="s">
        <v>3373</v>
      </c>
      <c r="C31" s="84">
        <v>3202.0986146999999</v>
      </c>
      <c r="D31" s="97">
        <v>48214</v>
      </c>
    </row>
    <row r="32" spans="2:4">
      <c r="B32" s="77" t="s">
        <v>3295</v>
      </c>
      <c r="C32" s="84">
        <v>11477.031379999997</v>
      </c>
      <c r="D32" s="97">
        <v>44727</v>
      </c>
    </row>
    <row r="33" spans="2:4">
      <c r="B33" s="77" t="s">
        <v>3299</v>
      </c>
      <c r="C33" s="84">
        <v>138.88527000000008</v>
      </c>
      <c r="D33" s="97">
        <v>44286</v>
      </c>
    </row>
    <row r="34" spans="2:4">
      <c r="B34" s="77" t="s">
        <v>3301</v>
      </c>
      <c r="C34" s="84">
        <v>643.40763500000003</v>
      </c>
      <c r="D34" s="97">
        <v>44012</v>
      </c>
    </row>
    <row r="35" spans="2:4">
      <c r="B35" s="77" t="s">
        <v>3302</v>
      </c>
      <c r="C35" s="84">
        <v>3635.1323912000007</v>
      </c>
      <c r="D35" s="97">
        <v>44012</v>
      </c>
    </row>
    <row r="36" spans="2:4">
      <c r="B36" s="77" t="s">
        <v>3323</v>
      </c>
      <c r="C36" s="84">
        <v>16524.186436650001</v>
      </c>
      <c r="D36" s="97">
        <v>46752</v>
      </c>
    </row>
    <row r="37" spans="2:4">
      <c r="B37" s="77" t="s">
        <v>3335</v>
      </c>
      <c r="C37" s="84">
        <v>31307.582320859921</v>
      </c>
      <c r="D37" s="97">
        <v>46631</v>
      </c>
    </row>
    <row r="38" spans="2:4">
      <c r="B38" s="77" t="s">
        <v>3304</v>
      </c>
      <c r="C38" s="84">
        <v>49.293255000000805</v>
      </c>
      <c r="D38" s="97">
        <v>44927</v>
      </c>
    </row>
    <row r="39" spans="2:4">
      <c r="B39" s="77" t="s">
        <v>3305</v>
      </c>
      <c r="C39" s="84">
        <v>3633.4729550000011</v>
      </c>
      <c r="D39" s="97">
        <v>45255</v>
      </c>
    </row>
    <row r="40" spans="2:4">
      <c r="B40" s="77" t="s">
        <v>2298</v>
      </c>
      <c r="C40" s="84">
        <v>23274.692756426903</v>
      </c>
      <c r="D40" s="97">
        <v>48214</v>
      </c>
    </row>
    <row r="41" spans="2:4">
      <c r="B41" s="77" t="s">
        <v>3362</v>
      </c>
      <c r="C41" s="84">
        <v>4225.4462825250976</v>
      </c>
      <c r="D41" s="97">
        <v>48214</v>
      </c>
    </row>
    <row r="42" spans="2:4">
      <c r="B42" s="77" t="s">
        <v>2287</v>
      </c>
      <c r="C42" s="84">
        <v>130611.72040000001</v>
      </c>
      <c r="D42" s="97">
        <v>46661</v>
      </c>
    </row>
    <row r="43" spans="2:4">
      <c r="B43" s="77" t="s">
        <v>3380</v>
      </c>
      <c r="C43" s="84">
        <v>79755.934422062317</v>
      </c>
      <c r="D43" s="97">
        <v>46100</v>
      </c>
    </row>
    <row r="44" spans="2:4">
      <c r="B44" s="77" t="s">
        <v>3381</v>
      </c>
      <c r="C44" s="84">
        <v>20057.757799999999</v>
      </c>
      <c r="D44" s="97">
        <v>44561</v>
      </c>
    </row>
    <row r="45" spans="2:4">
      <c r="B45" s="77" t="s">
        <v>3382</v>
      </c>
      <c r="C45" s="84">
        <v>73505.422080000004</v>
      </c>
      <c r="D45" s="97">
        <v>44926</v>
      </c>
    </row>
    <row r="46" spans="2:4">
      <c r="B46" s="77" t="s">
        <v>3383</v>
      </c>
      <c r="C46" s="84">
        <v>26346.165570000001</v>
      </c>
      <c r="D46" s="97">
        <v>44196</v>
      </c>
    </row>
    <row r="47" spans="2:4">
      <c r="B47" s="77" t="s">
        <v>3384</v>
      </c>
      <c r="C47" s="84">
        <v>3446.8274500000002</v>
      </c>
      <c r="D47" s="97">
        <v>44246</v>
      </c>
    </row>
    <row r="48" spans="2:4">
      <c r="B48" s="77" t="s">
        <v>3385</v>
      </c>
      <c r="C48" s="84">
        <v>89633.405038696816</v>
      </c>
      <c r="D48" s="97">
        <v>51774</v>
      </c>
    </row>
    <row r="49" spans="2:17">
      <c r="B49" s="77" t="s">
        <v>3386</v>
      </c>
      <c r="C49" s="84">
        <v>5342.0195100000001</v>
      </c>
      <c r="D49" s="97">
        <v>44926</v>
      </c>
    </row>
    <row r="50" spans="2:17">
      <c r="B50" s="77" t="s">
        <v>3387</v>
      </c>
      <c r="C50" s="84">
        <v>9038.4322400000001</v>
      </c>
      <c r="D50" s="97">
        <v>44196</v>
      </c>
    </row>
    <row r="51" spans="2:17">
      <c r="B51" s="77" t="s">
        <v>3388</v>
      </c>
      <c r="C51" s="84">
        <v>121827.43876</v>
      </c>
      <c r="D51" s="97">
        <v>44545</v>
      </c>
    </row>
    <row r="52" spans="2:17">
      <c r="B52" s="77" t="s">
        <v>3389</v>
      </c>
      <c r="C52" s="84">
        <v>17365.899809999999</v>
      </c>
      <c r="D52" s="97">
        <v>44739</v>
      </c>
    </row>
    <row r="53" spans="2:17">
      <c r="B53" s="77"/>
      <c r="C53" s="84"/>
      <c r="D53" s="97"/>
    </row>
    <row r="54" spans="2:17" s="90" customFormat="1">
      <c r="B54" s="142" t="s">
        <v>3375</v>
      </c>
      <c r="C54" s="114">
        <v>3656053.4603910642</v>
      </c>
      <c r="D54" s="14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>
      <c r="B55" s="77" t="s">
        <v>3341</v>
      </c>
      <c r="C55" s="84">
        <v>40347.063471093716</v>
      </c>
      <c r="D55" s="97">
        <v>45778</v>
      </c>
    </row>
    <row r="56" spans="2:17">
      <c r="B56" s="77" t="s">
        <v>3348</v>
      </c>
      <c r="C56" s="84">
        <v>81006.585559704952</v>
      </c>
      <c r="D56" s="97">
        <v>46326</v>
      </c>
    </row>
    <row r="57" spans="2:17">
      <c r="B57" s="77" t="s">
        <v>3349</v>
      </c>
      <c r="C57" s="84">
        <v>47899.52902084685</v>
      </c>
      <c r="D57" s="97">
        <v>46326</v>
      </c>
    </row>
    <row r="58" spans="2:17">
      <c r="B58" s="77" t="s">
        <v>3312</v>
      </c>
      <c r="C58" s="84">
        <v>2457.1867378260081</v>
      </c>
      <c r="D58" s="97">
        <v>46054</v>
      </c>
    </row>
    <row r="59" spans="2:17">
      <c r="B59" s="77" t="s">
        <v>2319</v>
      </c>
      <c r="C59" s="84">
        <v>30459.074541757836</v>
      </c>
      <c r="D59" s="97">
        <v>47270</v>
      </c>
    </row>
    <row r="60" spans="2:17">
      <c r="B60" s="77" t="s">
        <v>3316</v>
      </c>
      <c r="C60" s="84">
        <v>18712.7446711919</v>
      </c>
      <c r="D60" s="97">
        <v>44429</v>
      </c>
    </row>
    <row r="61" spans="2:17">
      <c r="B61" s="77" t="s">
        <v>2323</v>
      </c>
      <c r="C61" s="84">
        <v>69406.783386203257</v>
      </c>
      <c r="D61" s="97">
        <v>46601</v>
      </c>
    </row>
    <row r="62" spans="2:17">
      <c r="B62" s="77" t="s">
        <v>2325</v>
      </c>
      <c r="C62" s="84">
        <v>83465.441004800014</v>
      </c>
      <c r="D62" s="97">
        <v>47209</v>
      </c>
    </row>
    <row r="63" spans="2:17">
      <c r="B63" s="77" t="s">
        <v>3325</v>
      </c>
      <c r="C63" s="84">
        <v>36273.662269535955</v>
      </c>
      <c r="D63" s="97">
        <v>45382</v>
      </c>
    </row>
    <row r="64" spans="2:17">
      <c r="B64" s="77" t="s">
        <v>3366</v>
      </c>
      <c r="C64" s="84">
        <v>1466.7686269999942</v>
      </c>
      <c r="D64" s="97">
        <v>44621</v>
      </c>
    </row>
    <row r="65" spans="2:4">
      <c r="B65" s="77" t="s">
        <v>3279</v>
      </c>
      <c r="C65" s="84">
        <v>4.7529055800000002</v>
      </c>
      <c r="D65" s="97">
        <v>44286</v>
      </c>
    </row>
    <row r="66" spans="2:4">
      <c r="B66" s="77" t="s">
        <v>2329</v>
      </c>
      <c r="C66" s="84">
        <v>93387.951584521928</v>
      </c>
      <c r="D66" s="97">
        <v>47119</v>
      </c>
    </row>
    <row r="67" spans="2:4">
      <c r="B67" s="77" t="s">
        <v>3280</v>
      </c>
      <c r="C67" s="84">
        <v>43.460915000000007</v>
      </c>
      <c r="D67" s="97">
        <v>43951</v>
      </c>
    </row>
    <row r="68" spans="2:4">
      <c r="B68" s="77" t="s">
        <v>3363</v>
      </c>
      <c r="C68" s="84">
        <v>3489.9412700811195</v>
      </c>
      <c r="D68" s="97">
        <v>47119</v>
      </c>
    </row>
    <row r="69" spans="2:4">
      <c r="B69" s="77" t="s">
        <v>3283</v>
      </c>
      <c r="C69" s="84">
        <v>11440.431997190861</v>
      </c>
      <c r="D69" s="97">
        <v>45748</v>
      </c>
    </row>
    <row r="70" spans="2:4">
      <c r="B70" s="77" t="s">
        <v>2307</v>
      </c>
      <c r="C70" s="84">
        <v>56012.334014156317</v>
      </c>
      <c r="D70" s="97">
        <v>47119</v>
      </c>
    </row>
    <row r="71" spans="2:4">
      <c r="B71" s="77" t="s">
        <v>3317</v>
      </c>
      <c r="C71" s="84">
        <v>26759.668560623861</v>
      </c>
      <c r="D71" s="97">
        <v>44722</v>
      </c>
    </row>
    <row r="72" spans="2:4">
      <c r="B72" s="77" t="s">
        <v>3390</v>
      </c>
      <c r="C72" s="84">
        <v>12415.593199999999</v>
      </c>
      <c r="D72" s="97">
        <v>44332</v>
      </c>
    </row>
    <row r="73" spans="2:4">
      <c r="B73" s="77" t="s">
        <v>3282</v>
      </c>
      <c r="C73" s="84">
        <v>17635.099758250002</v>
      </c>
      <c r="D73" s="97">
        <v>46082</v>
      </c>
    </row>
    <row r="74" spans="2:4">
      <c r="B74" s="77" t="s">
        <v>2334</v>
      </c>
      <c r="C74" s="84">
        <v>10962.640129050002</v>
      </c>
      <c r="D74" s="97">
        <v>44727</v>
      </c>
    </row>
    <row r="75" spans="2:4">
      <c r="B75" s="77" t="s">
        <v>2335</v>
      </c>
      <c r="C75" s="84">
        <v>97828.054169552255</v>
      </c>
      <c r="D75" s="97">
        <v>47119</v>
      </c>
    </row>
    <row r="76" spans="2:4">
      <c r="B76" s="77" t="s">
        <v>3359</v>
      </c>
      <c r="C76" s="84">
        <v>4015.6350014500017</v>
      </c>
      <c r="D76" s="97">
        <v>47119</v>
      </c>
    </row>
    <row r="77" spans="2:4">
      <c r="B77" s="77" t="s">
        <v>3342</v>
      </c>
      <c r="C77" s="84">
        <v>63997.052440453852</v>
      </c>
      <c r="D77" s="97">
        <v>46742</v>
      </c>
    </row>
    <row r="78" spans="2:4">
      <c r="B78" s="77" t="s">
        <v>3372</v>
      </c>
      <c r="C78" s="84">
        <v>96696.121442450007</v>
      </c>
      <c r="D78" s="97">
        <v>47715</v>
      </c>
    </row>
    <row r="79" spans="2:4">
      <c r="B79" s="77" t="s">
        <v>2338</v>
      </c>
      <c r="C79" s="84">
        <v>37502.97380182863</v>
      </c>
      <c r="D79" s="97">
        <v>45557</v>
      </c>
    </row>
    <row r="80" spans="2:4">
      <c r="B80" s="77" t="s">
        <v>2339</v>
      </c>
      <c r="C80" s="84">
        <v>154.80074904999989</v>
      </c>
      <c r="D80" s="97">
        <v>44196</v>
      </c>
    </row>
    <row r="81" spans="2:4">
      <c r="B81" s="77" t="s">
        <v>2343</v>
      </c>
      <c r="C81" s="84">
        <v>96454.086256646289</v>
      </c>
      <c r="D81" s="97">
        <v>50041</v>
      </c>
    </row>
    <row r="82" spans="2:4">
      <c r="B82" s="77" t="s">
        <v>2345</v>
      </c>
      <c r="C82" s="84">
        <v>62829.480574996793</v>
      </c>
      <c r="D82" s="97">
        <v>46971</v>
      </c>
    </row>
    <row r="83" spans="2:4">
      <c r="B83" s="77" t="s">
        <v>3324</v>
      </c>
      <c r="C83" s="84">
        <v>36801.899263150437</v>
      </c>
      <c r="D83" s="97">
        <v>46012</v>
      </c>
    </row>
    <row r="84" spans="2:4">
      <c r="B84" s="77" t="s">
        <v>3352</v>
      </c>
      <c r="C84" s="84">
        <v>325.1842102973194</v>
      </c>
      <c r="D84" s="97">
        <v>46326</v>
      </c>
    </row>
    <row r="85" spans="2:4">
      <c r="B85" s="77" t="s">
        <v>3357</v>
      </c>
      <c r="C85" s="84">
        <v>69.536883847319828</v>
      </c>
      <c r="D85" s="97">
        <v>46326</v>
      </c>
    </row>
    <row r="86" spans="2:4">
      <c r="B86" s="77" t="s">
        <v>3391</v>
      </c>
      <c r="C86" s="84">
        <v>67110.871140000003</v>
      </c>
      <c r="D86" s="97">
        <v>45615</v>
      </c>
    </row>
    <row r="87" spans="2:4">
      <c r="B87" s="77" t="s">
        <v>2350</v>
      </c>
      <c r="C87" s="84">
        <v>11.665227739008209</v>
      </c>
      <c r="D87" s="97">
        <v>44286</v>
      </c>
    </row>
    <row r="88" spans="2:4">
      <c r="B88" s="77" t="s">
        <v>2251</v>
      </c>
      <c r="C88" s="84">
        <v>713</v>
      </c>
      <c r="D88" s="97">
        <v>43995</v>
      </c>
    </row>
    <row r="89" spans="2:4">
      <c r="B89" s="77" t="s">
        <v>3284</v>
      </c>
      <c r="C89" s="84">
        <v>1069.4996625720191</v>
      </c>
      <c r="D89" s="97">
        <v>44474</v>
      </c>
    </row>
    <row r="90" spans="2:4">
      <c r="B90" s="77" t="s">
        <v>3287</v>
      </c>
      <c r="C90" s="84">
        <v>713</v>
      </c>
      <c r="D90" s="97">
        <v>44013</v>
      </c>
    </row>
    <row r="91" spans="2:4">
      <c r="B91" s="77" t="s">
        <v>3288</v>
      </c>
      <c r="C91" s="84">
        <v>1470.5090249999987</v>
      </c>
      <c r="D91" s="97">
        <v>44378</v>
      </c>
    </row>
    <row r="92" spans="2:4">
      <c r="B92" s="77" t="s">
        <v>3361</v>
      </c>
      <c r="C92" s="84">
        <v>156870.21950030004</v>
      </c>
      <c r="D92" s="97">
        <v>47392</v>
      </c>
    </row>
    <row r="93" spans="2:4">
      <c r="B93" s="77" t="s">
        <v>3367</v>
      </c>
      <c r="C93" s="84">
        <v>183.27960894999916</v>
      </c>
      <c r="D93" s="97">
        <v>44727</v>
      </c>
    </row>
    <row r="94" spans="2:4">
      <c r="B94" s="77" t="s">
        <v>2356</v>
      </c>
      <c r="C94" s="84">
        <v>2753.8183263736155</v>
      </c>
      <c r="D94" s="97">
        <v>46199</v>
      </c>
    </row>
    <row r="95" spans="2:4">
      <c r="B95" s="77" t="s">
        <v>3392</v>
      </c>
      <c r="C95" s="84">
        <v>52695.421909999997</v>
      </c>
      <c r="D95" s="97">
        <v>46626</v>
      </c>
    </row>
    <row r="96" spans="2:4">
      <c r="B96" s="77" t="s">
        <v>2358</v>
      </c>
      <c r="C96" s="84">
        <v>4375.2864970999999</v>
      </c>
      <c r="D96" s="97">
        <v>46998</v>
      </c>
    </row>
    <row r="97" spans="2:4">
      <c r="B97" s="77" t="s">
        <v>3326</v>
      </c>
      <c r="C97" s="84">
        <v>679.91752831315682</v>
      </c>
      <c r="D97" s="97">
        <v>46938</v>
      </c>
    </row>
    <row r="98" spans="2:4">
      <c r="B98" s="77" t="s">
        <v>3319</v>
      </c>
      <c r="C98" s="84">
        <v>17774.273067646194</v>
      </c>
      <c r="D98" s="97">
        <v>47026</v>
      </c>
    </row>
    <row r="99" spans="2:4">
      <c r="B99" s="77" t="s">
        <v>3393</v>
      </c>
      <c r="C99" s="84">
        <v>2091.6917737434906</v>
      </c>
      <c r="D99" s="97">
        <v>46663</v>
      </c>
    </row>
    <row r="100" spans="2:4">
      <c r="B100" s="77" t="s">
        <v>2362</v>
      </c>
      <c r="C100" s="84">
        <v>322.1374778999994</v>
      </c>
      <c r="D100" s="97">
        <v>44012</v>
      </c>
    </row>
    <row r="101" spans="2:4">
      <c r="B101" s="77" t="s">
        <v>3336</v>
      </c>
      <c r="C101" s="84">
        <v>1489.3613153999997</v>
      </c>
      <c r="D101" s="97">
        <v>46938</v>
      </c>
    </row>
    <row r="102" spans="2:4">
      <c r="B102" s="77" t="s">
        <v>3328</v>
      </c>
      <c r="C102" s="84">
        <v>9422.6044204283662</v>
      </c>
      <c r="D102" s="97">
        <v>46201</v>
      </c>
    </row>
    <row r="103" spans="2:4">
      <c r="B103" s="77" t="s">
        <v>3333</v>
      </c>
      <c r="C103" s="84">
        <v>254.75549745577115</v>
      </c>
      <c r="D103" s="97">
        <v>46938</v>
      </c>
    </row>
    <row r="104" spans="2:4">
      <c r="B104" s="77" t="s">
        <v>2364</v>
      </c>
      <c r="C104" s="84">
        <v>985.58645959999978</v>
      </c>
      <c r="D104" s="97">
        <v>46938</v>
      </c>
    </row>
    <row r="105" spans="2:4">
      <c r="B105" s="77" t="s">
        <v>2365</v>
      </c>
      <c r="C105" s="84">
        <v>139.35832602377616</v>
      </c>
      <c r="D105" s="97">
        <v>46938</v>
      </c>
    </row>
    <row r="106" spans="2:4">
      <c r="B106" s="77" t="s">
        <v>3318</v>
      </c>
      <c r="C106" s="84">
        <v>2586.2080578566688</v>
      </c>
      <c r="D106" s="97">
        <v>46938</v>
      </c>
    </row>
    <row r="107" spans="2:4">
      <c r="B107" s="77" t="s">
        <v>2366</v>
      </c>
      <c r="C107" s="84">
        <v>1698.8630317200002</v>
      </c>
      <c r="D107" s="97">
        <v>44286</v>
      </c>
    </row>
    <row r="108" spans="2:4">
      <c r="B108" s="77" t="s">
        <v>2367</v>
      </c>
      <c r="C108" s="84">
        <v>14086.455757159451</v>
      </c>
      <c r="D108" s="97">
        <v>46201</v>
      </c>
    </row>
    <row r="109" spans="2:4">
      <c r="B109" s="77" t="s">
        <v>2291</v>
      </c>
      <c r="C109" s="84">
        <v>25832.969347983912</v>
      </c>
      <c r="D109" s="97">
        <v>47262</v>
      </c>
    </row>
    <row r="110" spans="2:4">
      <c r="B110" s="77" t="s">
        <v>3394</v>
      </c>
      <c r="C110" s="84">
        <v>1941.68082</v>
      </c>
      <c r="D110" s="97">
        <v>44031</v>
      </c>
    </row>
    <row r="111" spans="2:4">
      <c r="B111" s="77" t="s">
        <v>3332</v>
      </c>
      <c r="C111" s="84">
        <v>12483.155673884987</v>
      </c>
      <c r="D111" s="97">
        <v>45485</v>
      </c>
    </row>
    <row r="112" spans="2:4">
      <c r="B112" s="77" t="s">
        <v>3340</v>
      </c>
      <c r="C112" s="84">
        <v>77435.922282359446</v>
      </c>
      <c r="D112" s="97">
        <v>45777</v>
      </c>
    </row>
    <row r="113" spans="2:4">
      <c r="B113" s="77" t="s">
        <v>2371</v>
      </c>
      <c r="C113" s="84">
        <v>5851.3179470912364</v>
      </c>
      <c r="D113" s="97">
        <v>46734</v>
      </c>
    </row>
    <row r="114" spans="2:4">
      <c r="B114" s="77" t="s">
        <v>3395</v>
      </c>
      <c r="C114" s="84">
        <v>47123.305630000003</v>
      </c>
      <c r="D114" s="97">
        <v>44819</v>
      </c>
    </row>
    <row r="115" spans="2:4">
      <c r="B115" s="77" t="s">
        <v>3334</v>
      </c>
      <c r="C115" s="84">
        <v>60044.912991659425</v>
      </c>
      <c r="D115" s="97">
        <v>47178</v>
      </c>
    </row>
    <row r="116" spans="2:4">
      <c r="B116" s="77" t="s">
        <v>2374</v>
      </c>
      <c r="C116" s="84">
        <v>1562.7201385500041</v>
      </c>
      <c r="D116" s="97">
        <v>46201</v>
      </c>
    </row>
    <row r="117" spans="2:4">
      <c r="B117" s="77" t="s">
        <v>2375</v>
      </c>
      <c r="C117" s="84">
        <v>10406.553267525002</v>
      </c>
      <c r="D117" s="97">
        <v>47363</v>
      </c>
    </row>
    <row r="118" spans="2:4">
      <c r="B118" s="77" t="s">
        <v>3291</v>
      </c>
      <c r="C118" s="84">
        <v>484.84</v>
      </c>
      <c r="D118" s="97">
        <v>44305</v>
      </c>
    </row>
    <row r="119" spans="2:4">
      <c r="B119" s="77" t="s">
        <v>3354</v>
      </c>
      <c r="C119" s="84">
        <v>6000.1750663999992</v>
      </c>
      <c r="D119" s="97">
        <v>45047</v>
      </c>
    </row>
    <row r="120" spans="2:4">
      <c r="B120" s="77" t="s">
        <v>3331</v>
      </c>
      <c r="C120" s="84">
        <v>29429.174043495004</v>
      </c>
      <c r="D120" s="97">
        <v>45710</v>
      </c>
    </row>
    <row r="121" spans="2:4">
      <c r="B121" s="77" t="s">
        <v>3358</v>
      </c>
      <c r="C121" s="84">
        <v>96467.889739130987</v>
      </c>
      <c r="D121" s="97">
        <v>46573</v>
      </c>
    </row>
    <row r="122" spans="2:4">
      <c r="B122" s="77" t="s">
        <v>2377</v>
      </c>
      <c r="C122" s="84">
        <v>31937.041435533003</v>
      </c>
      <c r="D122" s="97">
        <v>47255</v>
      </c>
    </row>
    <row r="123" spans="2:4">
      <c r="B123" s="77" t="s">
        <v>3350</v>
      </c>
      <c r="C123" s="84">
        <v>12556.646458050001</v>
      </c>
      <c r="D123" s="97">
        <v>46734</v>
      </c>
    </row>
    <row r="124" spans="2:4">
      <c r="B124" s="77" t="s">
        <v>3360</v>
      </c>
      <c r="C124" s="84">
        <v>33017.451300000001</v>
      </c>
      <c r="D124" s="97">
        <v>46572</v>
      </c>
    </row>
    <row r="125" spans="2:4">
      <c r="B125" s="77" t="s">
        <v>3289</v>
      </c>
      <c r="C125" s="84">
        <v>101.2059999999999</v>
      </c>
      <c r="D125" s="97">
        <v>43951</v>
      </c>
    </row>
    <row r="126" spans="2:4">
      <c r="B126" s="77" t="s">
        <v>3290</v>
      </c>
      <c r="C126" s="84">
        <v>5649.505000000001</v>
      </c>
      <c r="D126" s="97">
        <v>44836</v>
      </c>
    </row>
    <row r="127" spans="2:4">
      <c r="B127" s="77" t="s">
        <v>3292</v>
      </c>
      <c r="C127" s="84">
        <v>2626.0466993500004</v>
      </c>
      <c r="D127" s="97">
        <v>44992</v>
      </c>
    </row>
    <row r="128" spans="2:4">
      <c r="B128" s="77" t="s">
        <v>3355</v>
      </c>
      <c r="C128" s="84">
        <v>50623.230290115003</v>
      </c>
      <c r="D128" s="97">
        <v>46524</v>
      </c>
    </row>
    <row r="129" spans="2:4">
      <c r="B129" s="77" t="s">
        <v>3396</v>
      </c>
      <c r="C129" s="84">
        <v>27760.06093</v>
      </c>
      <c r="D129" s="97">
        <v>44821</v>
      </c>
    </row>
    <row r="130" spans="2:4">
      <c r="B130" s="77" t="s">
        <v>2385</v>
      </c>
      <c r="C130" s="84">
        <v>82252.212205303891</v>
      </c>
      <c r="D130" s="97">
        <v>46844</v>
      </c>
    </row>
    <row r="131" spans="2:4">
      <c r="B131" s="77" t="s">
        <v>2386</v>
      </c>
      <c r="C131" s="84">
        <v>108.32313457799999</v>
      </c>
      <c r="D131" s="97">
        <v>47009</v>
      </c>
    </row>
    <row r="132" spans="2:4">
      <c r="B132" s="77" t="s">
        <v>3313</v>
      </c>
      <c r="C132" s="84">
        <v>62411.661212744999</v>
      </c>
      <c r="D132" s="97">
        <v>51592</v>
      </c>
    </row>
    <row r="133" spans="2:4">
      <c r="B133" s="77" t="s">
        <v>2392</v>
      </c>
      <c r="C133" s="84">
        <v>2.0173872614851498</v>
      </c>
      <c r="D133" s="97">
        <v>46938</v>
      </c>
    </row>
    <row r="134" spans="2:4">
      <c r="B134" s="77" t="s">
        <v>3338</v>
      </c>
      <c r="C134" s="84">
        <v>660.42462891333957</v>
      </c>
      <c r="D134" s="97">
        <v>46938</v>
      </c>
    </row>
    <row r="135" spans="2:4">
      <c r="B135" s="77" t="s">
        <v>3327</v>
      </c>
      <c r="C135" s="84">
        <v>20656.366291226874</v>
      </c>
      <c r="D135" s="97">
        <v>46201</v>
      </c>
    </row>
    <row r="136" spans="2:4">
      <c r="B136" s="77" t="s">
        <v>3344</v>
      </c>
      <c r="C136" s="84">
        <v>18.985193599999445</v>
      </c>
      <c r="D136" s="97">
        <v>46938</v>
      </c>
    </row>
    <row r="137" spans="2:4">
      <c r="B137" s="77" t="s">
        <v>2395</v>
      </c>
      <c r="C137" s="84">
        <v>56898.014946853298</v>
      </c>
      <c r="D137" s="97">
        <v>45869</v>
      </c>
    </row>
    <row r="138" spans="2:4">
      <c r="B138" s="77" t="s">
        <v>3397</v>
      </c>
      <c r="C138" s="84">
        <v>4237.1542300000001</v>
      </c>
      <c r="D138" s="97">
        <v>46059</v>
      </c>
    </row>
    <row r="139" spans="2:4">
      <c r="B139" s="77" t="s">
        <v>3398</v>
      </c>
      <c r="C139" s="84">
        <v>6865.6286900000005</v>
      </c>
      <c r="D139" s="97">
        <v>44256</v>
      </c>
    </row>
    <row r="140" spans="2:4">
      <c r="B140" s="77" t="s">
        <v>3293</v>
      </c>
      <c r="C140" s="84">
        <v>283.50937004999997</v>
      </c>
      <c r="D140" s="97">
        <v>44197</v>
      </c>
    </row>
    <row r="141" spans="2:4">
      <c r="B141" s="77" t="s">
        <v>2295</v>
      </c>
      <c r="C141" s="84">
        <v>31.395854880000002</v>
      </c>
      <c r="D141" s="97">
        <v>44286</v>
      </c>
    </row>
    <row r="142" spans="2:4">
      <c r="B142" s="77" t="s">
        <v>2399</v>
      </c>
      <c r="C142" s="84">
        <v>67244.836207250017</v>
      </c>
      <c r="D142" s="97">
        <v>47992</v>
      </c>
    </row>
    <row r="143" spans="2:4">
      <c r="B143" s="77" t="s">
        <v>2400</v>
      </c>
      <c r="C143" s="84">
        <v>7845.8993322960005</v>
      </c>
      <c r="D143" s="97">
        <v>47212</v>
      </c>
    </row>
    <row r="144" spans="2:4">
      <c r="B144" s="77" t="s">
        <v>3337</v>
      </c>
      <c r="C144" s="84">
        <v>66145.323986127914</v>
      </c>
      <c r="D144" s="97">
        <v>44044</v>
      </c>
    </row>
    <row r="145" spans="2:4">
      <c r="B145" s="77" t="s">
        <v>3321</v>
      </c>
      <c r="C145" s="84">
        <v>7704.8255968686435</v>
      </c>
      <c r="D145" s="97">
        <v>46722</v>
      </c>
    </row>
    <row r="146" spans="2:4">
      <c r="B146" s="77" t="s">
        <v>3369</v>
      </c>
      <c r="C146" s="84">
        <v>65169.458130375897</v>
      </c>
      <c r="D146" s="97">
        <v>46794</v>
      </c>
    </row>
    <row r="147" spans="2:4">
      <c r="B147" s="77" t="s">
        <v>2403</v>
      </c>
      <c r="C147" s="84">
        <v>107455.53692475001</v>
      </c>
      <c r="D147" s="97">
        <v>47407</v>
      </c>
    </row>
    <row r="148" spans="2:4">
      <c r="B148" s="77" t="s">
        <v>3346</v>
      </c>
      <c r="C148" s="84">
        <v>34741.759135756409</v>
      </c>
      <c r="D148" s="97">
        <v>48213</v>
      </c>
    </row>
    <row r="149" spans="2:4">
      <c r="B149" s="77" t="s">
        <v>2314</v>
      </c>
      <c r="C149" s="84">
        <v>2268.4914593499989</v>
      </c>
      <c r="D149" s="97">
        <v>45939</v>
      </c>
    </row>
    <row r="150" spans="2:4">
      <c r="B150" s="77" t="s">
        <v>3399</v>
      </c>
      <c r="C150" s="84">
        <v>14845.17283</v>
      </c>
      <c r="D150" s="97">
        <v>44076</v>
      </c>
    </row>
    <row r="151" spans="2:4">
      <c r="B151" s="77" t="s">
        <v>3400</v>
      </c>
      <c r="C151" s="84">
        <v>11150.34059</v>
      </c>
      <c r="D151" s="97">
        <v>44013</v>
      </c>
    </row>
    <row r="152" spans="2:4">
      <c r="B152" s="77" t="s">
        <v>3356</v>
      </c>
      <c r="C152" s="84">
        <v>100639.28392837627</v>
      </c>
      <c r="D152" s="97">
        <v>46539</v>
      </c>
    </row>
    <row r="153" spans="2:4">
      <c r="B153" s="77" t="s">
        <v>3296</v>
      </c>
      <c r="C153" s="84">
        <v>10592.545302876089</v>
      </c>
      <c r="D153" s="97">
        <v>45838</v>
      </c>
    </row>
    <row r="154" spans="2:4">
      <c r="B154" s="77" t="s">
        <v>3401</v>
      </c>
      <c r="C154" s="84">
        <v>56511.664320000003</v>
      </c>
      <c r="D154" s="97">
        <v>44611</v>
      </c>
    </row>
    <row r="155" spans="2:4">
      <c r="B155" s="77" t="s">
        <v>3297</v>
      </c>
      <c r="C155" s="84">
        <v>3510.27</v>
      </c>
      <c r="D155" s="97">
        <v>44196</v>
      </c>
    </row>
    <row r="156" spans="2:4">
      <c r="B156" s="77" t="s">
        <v>3298</v>
      </c>
      <c r="C156" s="84">
        <v>353.09200260000239</v>
      </c>
      <c r="D156" s="97">
        <v>44286</v>
      </c>
    </row>
    <row r="157" spans="2:4">
      <c r="B157" s="77" t="s">
        <v>3300</v>
      </c>
      <c r="C157" s="84">
        <v>2878.5879038070011</v>
      </c>
      <c r="D157" s="97">
        <v>45806</v>
      </c>
    </row>
    <row r="158" spans="2:4">
      <c r="B158" s="77" t="s">
        <v>3371</v>
      </c>
      <c r="C158" s="84">
        <v>96696.121442450007</v>
      </c>
      <c r="D158" s="97">
        <v>48446</v>
      </c>
    </row>
    <row r="159" spans="2:4">
      <c r="B159" s="77" t="s">
        <v>2413</v>
      </c>
      <c r="C159" s="84">
        <v>9409.1779033499988</v>
      </c>
      <c r="D159" s="97">
        <v>46827</v>
      </c>
    </row>
    <row r="160" spans="2:4">
      <c r="B160" s="77" t="s">
        <v>3402</v>
      </c>
      <c r="C160" s="84">
        <v>16314.08705</v>
      </c>
      <c r="D160" s="97">
        <v>44335</v>
      </c>
    </row>
    <row r="161" spans="2:4">
      <c r="B161" s="77" t="s">
        <v>3343</v>
      </c>
      <c r="C161" s="84">
        <v>32365.68032865</v>
      </c>
      <c r="D161" s="97">
        <v>48723</v>
      </c>
    </row>
    <row r="162" spans="2:4">
      <c r="B162" s="77" t="s">
        <v>3322</v>
      </c>
      <c r="C162" s="84">
        <v>13934.532472248664</v>
      </c>
      <c r="D162" s="97">
        <v>47031</v>
      </c>
    </row>
    <row r="163" spans="2:4">
      <c r="B163" s="77" t="s">
        <v>3351</v>
      </c>
      <c r="C163" s="84">
        <v>24955.269699071763</v>
      </c>
      <c r="D163" s="97">
        <v>45869</v>
      </c>
    </row>
    <row r="164" spans="2:4">
      <c r="B164" s="77" t="s">
        <v>3303</v>
      </c>
      <c r="C164" s="84">
        <v>406.4086923865442</v>
      </c>
      <c r="D164" s="97">
        <v>44439</v>
      </c>
    </row>
    <row r="165" spans="2:4">
      <c r="B165" s="77" t="s">
        <v>3403</v>
      </c>
      <c r="C165" s="84">
        <v>21462.50073</v>
      </c>
      <c r="D165" s="97">
        <v>45602</v>
      </c>
    </row>
    <row r="166" spans="2:4">
      <c r="B166" s="77" t="s">
        <v>2417</v>
      </c>
      <c r="C166" s="84">
        <v>42533.408978609776</v>
      </c>
      <c r="D166" s="97">
        <v>47107</v>
      </c>
    </row>
    <row r="167" spans="2:4">
      <c r="B167" s="77" t="s">
        <v>2418</v>
      </c>
      <c r="C167" s="84">
        <v>6239.1959815000009</v>
      </c>
      <c r="D167" s="97">
        <v>46734</v>
      </c>
    </row>
    <row r="168" spans="2:4">
      <c r="B168" s="77" t="s">
        <v>3306</v>
      </c>
      <c r="C168" s="84">
        <v>2348.6319722484768</v>
      </c>
      <c r="D168" s="97">
        <v>46054</v>
      </c>
    </row>
    <row r="169" spans="2:4">
      <c r="B169" s="77" t="s">
        <v>3347</v>
      </c>
      <c r="C169" s="84">
        <v>33786.646726899999</v>
      </c>
      <c r="D169" s="97">
        <v>46637</v>
      </c>
    </row>
    <row r="170" spans="2:4">
      <c r="B170" s="77" t="s">
        <v>3307</v>
      </c>
      <c r="C170" s="84">
        <v>13921.730820000002</v>
      </c>
      <c r="D170" s="97">
        <v>45383</v>
      </c>
    </row>
    <row r="171" spans="2:4">
      <c r="B171" s="77" t="s">
        <v>3404</v>
      </c>
      <c r="C171" s="84">
        <v>75508.220860000001</v>
      </c>
      <c r="D171" s="97">
        <v>46325</v>
      </c>
    </row>
    <row r="172" spans="2:4">
      <c r="B172" s="77" t="s">
        <v>3308</v>
      </c>
      <c r="C172" s="84">
        <v>1104.9611976000001</v>
      </c>
      <c r="D172" s="97">
        <v>44621</v>
      </c>
    </row>
    <row r="173" spans="2:4">
      <c r="B173" s="77" t="s">
        <v>3345</v>
      </c>
      <c r="C173" s="84">
        <v>42565.444236098912</v>
      </c>
      <c r="D173" s="97">
        <v>48069</v>
      </c>
    </row>
    <row r="174" spans="2:4">
      <c r="B174" s="77" t="s">
        <v>3309</v>
      </c>
      <c r="C174" s="84">
        <v>13449.779205850009</v>
      </c>
      <c r="D174" s="97">
        <v>47177</v>
      </c>
    </row>
    <row r="175" spans="2:4">
      <c r="B175" s="77" t="s">
        <v>3330</v>
      </c>
      <c r="C175" s="84">
        <v>7290.6955834999999</v>
      </c>
      <c r="D175" s="97">
        <v>46482</v>
      </c>
    </row>
    <row r="176" spans="2:4">
      <c r="B176" s="77" t="s">
        <v>3370</v>
      </c>
      <c r="C176" s="84">
        <v>11789.752262770311</v>
      </c>
      <c r="D176" s="97">
        <v>48214</v>
      </c>
    </row>
    <row r="177" spans="2:4">
      <c r="B177" s="77" t="s">
        <v>3310</v>
      </c>
      <c r="C177" s="84">
        <v>773.8621078000026</v>
      </c>
      <c r="D177" s="97">
        <v>45536</v>
      </c>
    </row>
    <row r="178" spans="2:4">
      <c r="B178" s="77" t="s">
        <v>3405</v>
      </c>
      <c r="C178" s="84">
        <v>99809.359771055955</v>
      </c>
      <c r="D178" s="97">
        <v>44104</v>
      </c>
    </row>
    <row r="179" spans="2:4">
      <c r="B179" s="77" t="s">
        <v>3320</v>
      </c>
      <c r="C179" s="84">
        <v>4541.3345020115912</v>
      </c>
      <c r="D179" s="97">
        <v>47102</v>
      </c>
    </row>
    <row r="180" spans="2:4">
      <c r="B180" s="77" t="s">
        <v>2424</v>
      </c>
      <c r="C180" s="84">
        <v>57677.265068699999</v>
      </c>
      <c r="D180" s="97">
        <v>48004</v>
      </c>
    </row>
    <row r="181" spans="2:4">
      <c r="B181" s="77" t="s">
        <v>3329</v>
      </c>
      <c r="C181" s="84">
        <v>25650.093532578601</v>
      </c>
      <c r="D181" s="97">
        <v>46482</v>
      </c>
    </row>
    <row r="182" spans="2:4">
      <c r="B182" s="77" t="s">
        <v>2426</v>
      </c>
      <c r="C182" s="84">
        <v>2775.0370331500003</v>
      </c>
      <c r="D182" s="97">
        <v>47009</v>
      </c>
    </row>
    <row r="183" spans="2:4">
      <c r="B183" s="77" t="s">
        <v>2427</v>
      </c>
      <c r="C183" s="84">
        <v>3714.5900024500002</v>
      </c>
      <c r="D183" s="97">
        <v>46933</v>
      </c>
    </row>
    <row r="184" spans="2:4">
      <c r="B184" s="77" t="s">
        <v>3353</v>
      </c>
      <c r="C184" s="84">
        <v>113944.69177969999</v>
      </c>
      <c r="D184" s="97">
        <v>46643</v>
      </c>
    </row>
    <row r="185" spans="2:4">
      <c r="B185" s="77" t="s">
        <v>3406</v>
      </c>
      <c r="C185" s="84">
        <v>68447.072569999989</v>
      </c>
      <c r="D185" s="97">
        <v>44502</v>
      </c>
    </row>
    <row r="186" spans="2:4">
      <c r="B186" s="77"/>
      <c r="C186" s="84"/>
      <c r="D186" s="97"/>
    </row>
    <row r="187" spans="2:4">
      <c r="B187" s="77"/>
      <c r="C187" s="84"/>
      <c r="D187" s="97"/>
    </row>
    <row r="188" spans="2:4">
      <c r="B188" s="77"/>
      <c r="C188" s="84"/>
      <c r="D188" s="97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180</v>
      </c>
      <c r="C1" s="68" t="s" vm="1">
        <v>270</v>
      </c>
    </row>
    <row r="2" spans="2:18">
      <c r="B2" s="47" t="s">
        <v>179</v>
      </c>
      <c r="C2" s="68" t="s">
        <v>271</v>
      </c>
    </row>
    <row r="3" spans="2:18">
      <c r="B3" s="47" t="s">
        <v>181</v>
      </c>
      <c r="C3" s="68" t="s">
        <v>272</v>
      </c>
    </row>
    <row r="4" spans="2:18">
      <c r="B4" s="47" t="s">
        <v>182</v>
      </c>
      <c r="C4" s="68">
        <v>2102</v>
      </c>
    </row>
    <row r="6" spans="2:18" ht="26.25" customHeight="1">
      <c r="B6" s="163" t="s">
        <v>220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5"/>
    </row>
    <row r="7" spans="2:18" s="3" customFormat="1" ht="78.75">
      <c r="B7" s="22" t="s">
        <v>119</v>
      </c>
      <c r="C7" s="30" t="s">
        <v>47</v>
      </c>
      <c r="D7" s="30" t="s">
        <v>68</v>
      </c>
      <c r="E7" s="30" t="s">
        <v>14</v>
      </c>
      <c r="F7" s="30" t="s">
        <v>69</v>
      </c>
      <c r="G7" s="30" t="s">
        <v>107</v>
      </c>
      <c r="H7" s="30" t="s">
        <v>17</v>
      </c>
      <c r="I7" s="30" t="s">
        <v>106</v>
      </c>
      <c r="J7" s="30" t="s">
        <v>16</v>
      </c>
      <c r="K7" s="30" t="s">
        <v>218</v>
      </c>
      <c r="L7" s="30" t="s">
        <v>250</v>
      </c>
      <c r="M7" s="30" t="s">
        <v>219</v>
      </c>
      <c r="N7" s="30" t="s">
        <v>61</v>
      </c>
      <c r="O7" s="30" t="s">
        <v>183</v>
      </c>
      <c r="P7" s="31" t="s">
        <v>185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252</v>
      </c>
      <c r="M8" s="32" t="s">
        <v>248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"/>
    </row>
    <row r="11" spans="2:18" ht="20.25" customHeight="1">
      <c r="B11" s="89" t="s">
        <v>261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115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251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>
      <selection activeCell="F22" sqref="F22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48.42578125" style="2" bestFit="1" customWidth="1"/>
    <col min="4" max="4" width="7.5703125" style="2" bestFit="1" customWidth="1"/>
    <col min="5" max="5" width="4.8554687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180</v>
      </c>
      <c r="C1" s="68" t="s" vm="1">
        <v>270</v>
      </c>
    </row>
    <row r="2" spans="2:18">
      <c r="B2" s="47" t="s">
        <v>179</v>
      </c>
      <c r="C2" s="68" t="s">
        <v>271</v>
      </c>
    </row>
    <row r="3" spans="2:18">
      <c r="B3" s="47" t="s">
        <v>181</v>
      </c>
      <c r="C3" s="68" t="s">
        <v>272</v>
      </c>
    </row>
    <row r="4" spans="2:18">
      <c r="B4" s="47" t="s">
        <v>182</v>
      </c>
      <c r="C4" s="68">
        <v>2102</v>
      </c>
    </row>
    <row r="6" spans="2:18" ht="26.25" customHeight="1">
      <c r="B6" s="163" t="s">
        <v>221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5"/>
    </row>
    <row r="7" spans="2:18" s="3" customFormat="1" ht="78.75">
      <c r="B7" s="22" t="s">
        <v>119</v>
      </c>
      <c r="C7" s="30" t="s">
        <v>47</v>
      </c>
      <c r="D7" s="30" t="s">
        <v>68</v>
      </c>
      <c r="E7" s="30" t="s">
        <v>14</v>
      </c>
      <c r="F7" s="30" t="s">
        <v>69</v>
      </c>
      <c r="G7" s="30" t="s">
        <v>107</v>
      </c>
      <c r="H7" s="30" t="s">
        <v>17</v>
      </c>
      <c r="I7" s="30" t="s">
        <v>106</v>
      </c>
      <c r="J7" s="30" t="s">
        <v>16</v>
      </c>
      <c r="K7" s="30" t="s">
        <v>218</v>
      </c>
      <c r="L7" s="30" t="s">
        <v>245</v>
      </c>
      <c r="M7" s="30" t="s">
        <v>219</v>
      </c>
      <c r="N7" s="30" t="s">
        <v>61</v>
      </c>
      <c r="O7" s="30" t="s">
        <v>183</v>
      </c>
      <c r="P7" s="31" t="s">
        <v>185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252</v>
      </c>
      <c r="M8" s="32" t="s">
        <v>248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6" t="s">
        <v>223</v>
      </c>
      <c r="C10" s="72"/>
      <c r="D10" s="72"/>
      <c r="E10" s="72"/>
      <c r="F10" s="72"/>
      <c r="G10" s="72"/>
      <c r="H10" s="81">
        <v>1.632130871709232</v>
      </c>
      <c r="I10" s="72"/>
      <c r="J10" s="72"/>
      <c r="K10" s="94">
        <v>8.9682859324515155E-2</v>
      </c>
      <c r="L10" s="81"/>
      <c r="M10" s="81">
        <v>91430.723799999992</v>
      </c>
      <c r="N10" s="72"/>
      <c r="O10" s="82">
        <f>M10/$M$10</f>
        <v>1</v>
      </c>
      <c r="P10" s="82">
        <f>M10/'סכום נכסי הקרן'!$C$42</f>
        <v>1.7552094686410489E-3</v>
      </c>
      <c r="Q10" s="5"/>
    </row>
    <row r="11" spans="2:18" s="90" customFormat="1" ht="20.25" customHeight="1">
      <c r="B11" s="71" t="s">
        <v>238</v>
      </c>
      <c r="C11" s="72"/>
      <c r="D11" s="72"/>
      <c r="E11" s="72"/>
      <c r="F11" s="72"/>
      <c r="G11" s="72"/>
      <c r="H11" s="81">
        <v>1.632130871709232</v>
      </c>
      <c r="I11" s="72"/>
      <c r="J11" s="72"/>
      <c r="K11" s="94">
        <v>8.9682859324515155E-2</v>
      </c>
      <c r="L11" s="81"/>
      <c r="M11" s="81">
        <v>91430.723799999992</v>
      </c>
      <c r="N11" s="72"/>
      <c r="O11" s="82">
        <f t="shared" ref="O11:O14" si="0">M11/$M$10</f>
        <v>1</v>
      </c>
      <c r="P11" s="82">
        <f>M11/'סכום נכסי הקרן'!$C$42</f>
        <v>1.7552094686410489E-3</v>
      </c>
    </row>
    <row r="12" spans="2:18">
      <c r="B12" s="92" t="s">
        <v>33</v>
      </c>
      <c r="C12" s="72"/>
      <c r="D12" s="72"/>
      <c r="E12" s="72"/>
      <c r="F12" s="72"/>
      <c r="G12" s="72"/>
      <c r="H12" s="81">
        <v>1.632130871709232</v>
      </c>
      <c r="I12" s="72"/>
      <c r="J12" s="72"/>
      <c r="K12" s="94">
        <v>8.9682859324515155E-2</v>
      </c>
      <c r="L12" s="81"/>
      <c r="M12" s="81">
        <v>91430.723799999992</v>
      </c>
      <c r="N12" s="72"/>
      <c r="O12" s="82">
        <f t="shared" si="0"/>
        <v>1</v>
      </c>
      <c r="P12" s="82">
        <f>M12/'סכום נכסי הקרן'!$C$42</f>
        <v>1.7552094686410489E-3</v>
      </c>
    </row>
    <row r="13" spans="2:18">
      <c r="B13" s="77" t="s">
        <v>3269</v>
      </c>
      <c r="C13" s="74">
        <v>8745</v>
      </c>
      <c r="D13" s="87" t="s">
        <v>362</v>
      </c>
      <c r="E13" s="74" t="s">
        <v>1811</v>
      </c>
      <c r="F13" s="74" t="s">
        <v>2923</v>
      </c>
      <c r="G13" s="97">
        <v>39902</v>
      </c>
      <c r="H13" s="84">
        <v>1.6400000000000001</v>
      </c>
      <c r="I13" s="87" t="s">
        <v>165</v>
      </c>
      <c r="J13" s="88">
        <v>8.6999999999999994E-2</v>
      </c>
      <c r="K13" s="88">
        <v>8.9700000000000002E-2</v>
      </c>
      <c r="L13" s="84">
        <v>80000000</v>
      </c>
      <c r="M13" s="84">
        <v>90718.367270000002</v>
      </c>
      <c r="N13" s="74"/>
      <c r="O13" s="85">
        <f t="shared" si="0"/>
        <v>0.99220878387052658</v>
      </c>
      <c r="P13" s="85">
        <f>M13/'סכום נכסי הקרן'!$C$42</f>
        <v>1.7415342523183681E-3</v>
      </c>
    </row>
    <row r="14" spans="2:18">
      <c r="B14" s="77" t="s">
        <v>3270</v>
      </c>
      <c r="C14" s="74" t="s">
        <v>3271</v>
      </c>
      <c r="D14" s="87" t="s">
        <v>159</v>
      </c>
      <c r="E14" s="74" t="s">
        <v>678</v>
      </c>
      <c r="F14" s="74" t="s">
        <v>163</v>
      </c>
      <c r="G14" s="97">
        <v>40174</v>
      </c>
      <c r="H14" s="84">
        <v>0.63</v>
      </c>
      <c r="I14" s="87" t="s">
        <v>165</v>
      </c>
      <c r="J14" s="88">
        <v>7.0900000000000005E-2</v>
      </c>
      <c r="K14" s="88">
        <v>8.7499999999999994E-2</v>
      </c>
      <c r="L14" s="84">
        <v>589249.66</v>
      </c>
      <c r="M14" s="84">
        <v>712.35653000000002</v>
      </c>
      <c r="N14" s="85">
        <v>5.2066668418570064E-3</v>
      </c>
      <c r="O14" s="85">
        <f t="shared" si="0"/>
        <v>7.7912161294735379E-3</v>
      </c>
      <c r="P14" s="85">
        <f>M14/'סכום נכסי הקרן'!$C$42</f>
        <v>1.3675216322680818E-5</v>
      </c>
    </row>
    <row r="15" spans="2:18"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84"/>
      <c r="M15" s="74"/>
      <c r="N15" s="74"/>
      <c r="O15" s="85"/>
      <c r="P15" s="74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89" t="s">
        <v>261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89" t="s">
        <v>115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89" t="s">
        <v>251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P2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G877"/>
  <sheetViews>
    <sheetView rightToLeft="1" workbookViewId="0">
      <selection activeCell="F16" sqref="F16"/>
    </sheetView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8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1.7109375" style="1" customWidth="1"/>
    <col min="26" max="26" width="15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33">
      <c r="B1" s="47" t="s">
        <v>180</v>
      </c>
      <c r="C1" s="68" t="s" vm="1">
        <v>270</v>
      </c>
    </row>
    <row r="2" spans="2:33">
      <c r="B2" s="47" t="s">
        <v>179</v>
      </c>
      <c r="C2" s="68" t="s">
        <v>271</v>
      </c>
    </row>
    <row r="3" spans="2:33">
      <c r="B3" s="47" t="s">
        <v>181</v>
      </c>
      <c r="C3" s="68" t="s">
        <v>272</v>
      </c>
    </row>
    <row r="4" spans="2:33">
      <c r="B4" s="47" t="s">
        <v>182</v>
      </c>
      <c r="C4" s="68">
        <v>2102</v>
      </c>
    </row>
    <row r="6" spans="2:33" ht="21.75" customHeight="1">
      <c r="B6" s="166" t="s">
        <v>210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8"/>
    </row>
    <row r="7" spans="2:33" ht="27.75" customHeight="1">
      <c r="B7" s="169" t="s">
        <v>92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1"/>
      <c r="AA7" s="3"/>
      <c r="AB7" s="3"/>
    </row>
    <row r="8" spans="2:33" s="3" customFormat="1" ht="66" customHeight="1">
      <c r="B8" s="22" t="s">
        <v>118</v>
      </c>
      <c r="C8" s="30" t="s">
        <v>47</v>
      </c>
      <c r="D8" s="30" t="s">
        <v>122</v>
      </c>
      <c r="E8" s="30" t="s">
        <v>14</v>
      </c>
      <c r="F8" s="30" t="s">
        <v>69</v>
      </c>
      <c r="G8" s="30" t="s">
        <v>107</v>
      </c>
      <c r="H8" s="30" t="s">
        <v>17</v>
      </c>
      <c r="I8" s="30" t="s">
        <v>106</v>
      </c>
      <c r="J8" s="30" t="s">
        <v>16</v>
      </c>
      <c r="K8" s="30" t="s">
        <v>18</v>
      </c>
      <c r="L8" s="30" t="s">
        <v>245</v>
      </c>
      <c r="M8" s="30" t="s">
        <v>244</v>
      </c>
      <c r="N8" s="30" t="s">
        <v>260</v>
      </c>
      <c r="O8" s="30" t="s">
        <v>64</v>
      </c>
      <c r="P8" s="30" t="s">
        <v>247</v>
      </c>
      <c r="Q8" s="30" t="s">
        <v>183</v>
      </c>
      <c r="R8" s="60" t="s">
        <v>185</v>
      </c>
      <c r="S8" s="1"/>
      <c r="AA8" s="1"/>
      <c r="AB8" s="1"/>
      <c r="AC8" s="1"/>
    </row>
    <row r="9" spans="2:3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252</v>
      </c>
      <c r="M9" s="32"/>
      <c r="N9" s="16" t="s">
        <v>248</v>
      </c>
      <c r="O9" s="32" t="s">
        <v>253</v>
      </c>
      <c r="P9" s="32" t="s">
        <v>19</v>
      </c>
      <c r="Q9" s="32" t="s">
        <v>19</v>
      </c>
      <c r="R9" s="33" t="s">
        <v>19</v>
      </c>
      <c r="AA9" s="1"/>
      <c r="AB9" s="1"/>
    </row>
    <row r="10" spans="2:3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116</v>
      </c>
      <c r="R10" s="20" t="s">
        <v>117</v>
      </c>
      <c r="AA10" s="1"/>
      <c r="AB10" s="1"/>
      <c r="AC10" s="3"/>
    </row>
    <row r="11" spans="2:33" s="123" customFormat="1" ht="18" customHeight="1">
      <c r="B11" s="69" t="s">
        <v>27</v>
      </c>
      <c r="C11" s="70"/>
      <c r="D11" s="70"/>
      <c r="E11" s="70"/>
      <c r="F11" s="70"/>
      <c r="G11" s="70"/>
      <c r="H11" s="78">
        <v>13.848509348778224</v>
      </c>
      <c r="I11" s="70"/>
      <c r="J11" s="70"/>
      <c r="K11" s="79">
        <v>1.40649218648574E-2</v>
      </c>
      <c r="L11" s="78"/>
      <c r="M11" s="80"/>
      <c r="N11" s="70"/>
      <c r="O11" s="78">
        <v>401154.15448186389</v>
      </c>
      <c r="P11" s="70"/>
      <c r="Q11" s="79">
        <f>O11/$O$11</f>
        <v>1</v>
      </c>
      <c r="R11" s="79">
        <f>O11/'סכום נכסי הקרן'!$C$42</f>
        <v>7.7010171315220581E-3</v>
      </c>
      <c r="AA11" s="122"/>
      <c r="AB11" s="122"/>
      <c r="AC11" s="127"/>
      <c r="AG11" s="122"/>
    </row>
    <row r="12" spans="2:33" s="122" customFormat="1" ht="22.5" customHeight="1">
      <c r="B12" s="71" t="s">
        <v>238</v>
      </c>
      <c r="C12" s="72"/>
      <c r="D12" s="72"/>
      <c r="E12" s="72"/>
      <c r="F12" s="72"/>
      <c r="G12" s="72"/>
      <c r="H12" s="81">
        <v>12.941660868846229</v>
      </c>
      <c r="I12" s="72"/>
      <c r="J12" s="72"/>
      <c r="K12" s="82">
        <v>1.021012333914588E-2</v>
      </c>
      <c r="L12" s="81"/>
      <c r="M12" s="83"/>
      <c r="N12" s="72"/>
      <c r="O12" s="81">
        <v>338522.47492667503</v>
      </c>
      <c r="P12" s="72"/>
      <c r="Q12" s="82">
        <f t="shared" ref="Q12:Q25" si="0">O12/$O$11</f>
        <v>0.84387129273013561</v>
      </c>
      <c r="R12" s="82">
        <f>O12/'סכום נכסי הקרן'!$C$42</f>
        <v>6.4986672821144408E-3</v>
      </c>
      <c r="AC12" s="123"/>
    </row>
    <row r="13" spans="2:33" s="128" customFormat="1">
      <c r="B13" s="112" t="s">
        <v>25</v>
      </c>
      <c r="C13" s="113"/>
      <c r="D13" s="113"/>
      <c r="E13" s="113"/>
      <c r="F13" s="113"/>
      <c r="G13" s="113"/>
      <c r="H13" s="114">
        <v>15.074727110329876</v>
      </c>
      <c r="I13" s="113"/>
      <c r="J13" s="113"/>
      <c r="K13" s="115">
        <v>2.9175783673610787E-3</v>
      </c>
      <c r="L13" s="114"/>
      <c r="M13" s="116"/>
      <c r="N13" s="113"/>
      <c r="O13" s="114">
        <v>122655.656104586</v>
      </c>
      <c r="P13" s="113"/>
      <c r="Q13" s="115">
        <f t="shared" si="0"/>
        <v>0.30575691348132666</v>
      </c>
      <c r="R13" s="115">
        <f>O13/'סכום נכסי הקרן'!$C$42</f>
        <v>2.3546392288010041E-3</v>
      </c>
    </row>
    <row r="14" spans="2:33" s="122" customFormat="1">
      <c r="B14" s="75" t="s">
        <v>24</v>
      </c>
      <c r="C14" s="72"/>
      <c r="D14" s="72"/>
      <c r="E14" s="72"/>
      <c r="F14" s="72"/>
      <c r="G14" s="72"/>
      <c r="H14" s="81">
        <v>15.074727110329876</v>
      </c>
      <c r="I14" s="72"/>
      <c r="J14" s="72"/>
      <c r="K14" s="82">
        <v>2.9175783673610787E-3</v>
      </c>
      <c r="L14" s="81"/>
      <c r="M14" s="83"/>
      <c r="N14" s="72"/>
      <c r="O14" s="81">
        <v>122655.656104586</v>
      </c>
      <c r="P14" s="72"/>
      <c r="Q14" s="82">
        <f t="shared" si="0"/>
        <v>0.30575691348132666</v>
      </c>
      <c r="R14" s="82">
        <f>O14/'סכום נכסי הקרן'!$C$42</f>
        <v>2.3546392288010041E-3</v>
      </c>
    </row>
    <row r="15" spans="2:33" s="122" customFormat="1">
      <c r="B15" s="76" t="s">
        <v>273</v>
      </c>
      <c r="C15" s="74" t="s">
        <v>274</v>
      </c>
      <c r="D15" s="87" t="s">
        <v>123</v>
      </c>
      <c r="E15" s="74" t="s">
        <v>275</v>
      </c>
      <c r="F15" s="74"/>
      <c r="G15" s="74"/>
      <c r="H15" s="84">
        <v>1.289999999999897</v>
      </c>
      <c r="I15" s="87" t="s">
        <v>165</v>
      </c>
      <c r="J15" s="88">
        <v>0.04</v>
      </c>
      <c r="K15" s="85">
        <v>9.3000000000008839E-3</v>
      </c>
      <c r="L15" s="84">
        <v>1947974.8645199998</v>
      </c>
      <c r="M15" s="86">
        <v>139.44999999999999</v>
      </c>
      <c r="N15" s="74"/>
      <c r="O15" s="84">
        <v>2716.4510456319999</v>
      </c>
      <c r="P15" s="85">
        <v>1.2528936489371136E-4</v>
      </c>
      <c r="Q15" s="85">
        <f t="shared" si="0"/>
        <v>6.7715889646976354E-3</v>
      </c>
      <c r="R15" s="85">
        <f>O15/'סכום נכסי הקרן'!$C$42</f>
        <v>5.2148122624762208E-5</v>
      </c>
    </row>
    <row r="16" spans="2:33" s="122" customFormat="1" ht="20.25">
      <c r="B16" s="76" t="s">
        <v>276</v>
      </c>
      <c r="C16" s="74" t="s">
        <v>277</v>
      </c>
      <c r="D16" s="87" t="s">
        <v>123</v>
      </c>
      <c r="E16" s="74" t="s">
        <v>275</v>
      </c>
      <c r="F16" s="74"/>
      <c r="G16" s="74"/>
      <c r="H16" s="84">
        <v>3.9999999999996172</v>
      </c>
      <c r="I16" s="87" t="s">
        <v>165</v>
      </c>
      <c r="J16" s="88">
        <v>0.04</v>
      </c>
      <c r="K16" s="85">
        <v>-8.9999999999984667E-4</v>
      </c>
      <c r="L16" s="84">
        <v>1749778.654872</v>
      </c>
      <c r="M16" s="86">
        <v>149</v>
      </c>
      <c r="N16" s="74"/>
      <c r="O16" s="84">
        <v>2607.1702819559996</v>
      </c>
      <c r="P16" s="85">
        <v>1.5061065756599259E-4</v>
      </c>
      <c r="Q16" s="85">
        <f t="shared" si="0"/>
        <v>6.4991730805417083E-3</v>
      </c>
      <c r="R16" s="85">
        <f>O16/'סכום נכסי הקרן'!$C$42</f>
        <v>5.0050243233978684E-5</v>
      </c>
      <c r="AA16" s="123"/>
    </row>
    <row r="17" spans="2:28" s="122" customFormat="1" ht="20.25">
      <c r="B17" s="76" t="s">
        <v>278</v>
      </c>
      <c r="C17" s="74" t="s">
        <v>279</v>
      </c>
      <c r="D17" s="87" t="s">
        <v>123</v>
      </c>
      <c r="E17" s="74" t="s">
        <v>275</v>
      </c>
      <c r="F17" s="74"/>
      <c r="G17" s="74"/>
      <c r="H17" s="84">
        <v>6.9699999999997031</v>
      </c>
      <c r="I17" s="87" t="s">
        <v>165</v>
      </c>
      <c r="J17" s="88">
        <v>7.4999999999999997E-3</v>
      </c>
      <c r="K17" s="85">
        <v>-6.0000000000181295E-4</v>
      </c>
      <c r="L17" s="84">
        <v>2253404.255963</v>
      </c>
      <c r="M17" s="86">
        <v>107.7</v>
      </c>
      <c r="N17" s="74"/>
      <c r="O17" s="84">
        <v>2426.9162234760001</v>
      </c>
      <c r="P17" s="85">
        <v>1.5895856997358095E-4</v>
      </c>
      <c r="Q17" s="85">
        <f t="shared" si="0"/>
        <v>6.0498344498279913E-3</v>
      </c>
      <c r="R17" s="85">
        <f>O17/'סכום נכסי הקרן'!$C$42</f>
        <v>4.6589878740997689E-5</v>
      </c>
      <c r="AB17" s="123"/>
    </row>
    <row r="18" spans="2:28" s="122" customFormat="1">
      <c r="B18" s="76" t="s">
        <v>280</v>
      </c>
      <c r="C18" s="74" t="s">
        <v>281</v>
      </c>
      <c r="D18" s="87" t="s">
        <v>123</v>
      </c>
      <c r="E18" s="74" t="s">
        <v>275</v>
      </c>
      <c r="F18" s="74"/>
      <c r="G18" s="74"/>
      <c r="H18" s="84">
        <v>12.900000000000315</v>
      </c>
      <c r="I18" s="87" t="s">
        <v>165</v>
      </c>
      <c r="J18" s="88">
        <v>0.04</v>
      </c>
      <c r="K18" s="85">
        <v>1.3999999999999757E-3</v>
      </c>
      <c r="L18" s="84">
        <v>16534480.461021001</v>
      </c>
      <c r="M18" s="86">
        <v>196.5</v>
      </c>
      <c r="N18" s="74"/>
      <c r="O18" s="84">
        <v>32490.254072521999</v>
      </c>
      <c r="P18" s="85">
        <v>1.0192877030106705E-3</v>
      </c>
      <c r="Q18" s="85">
        <f t="shared" si="0"/>
        <v>8.099194214874042E-2</v>
      </c>
      <c r="R18" s="85">
        <f>O18/'סכום נכסי הקרן'!$C$42</f>
        <v>6.2372033400269348E-4</v>
      </c>
      <c r="AA18" s="127"/>
    </row>
    <row r="19" spans="2:28" s="122" customFormat="1">
      <c r="B19" s="76" t="s">
        <v>282</v>
      </c>
      <c r="C19" s="74" t="s">
        <v>283</v>
      </c>
      <c r="D19" s="87" t="s">
        <v>123</v>
      </c>
      <c r="E19" s="74" t="s">
        <v>275</v>
      </c>
      <c r="F19" s="74"/>
      <c r="G19" s="74"/>
      <c r="H19" s="84">
        <v>17.340000000000249</v>
      </c>
      <c r="I19" s="87" t="s">
        <v>165</v>
      </c>
      <c r="J19" s="88">
        <v>2.75E-2</v>
      </c>
      <c r="K19" s="85">
        <v>3.0000000000001033E-3</v>
      </c>
      <c r="L19" s="84">
        <v>17767674.953595001</v>
      </c>
      <c r="M19" s="86">
        <v>163.28</v>
      </c>
      <c r="N19" s="74"/>
      <c r="O19" s="84">
        <v>29011.060774999001</v>
      </c>
      <c r="P19" s="85">
        <v>1.0052394683196957E-3</v>
      </c>
      <c r="Q19" s="85">
        <f t="shared" si="0"/>
        <v>7.2318983739480591E-2</v>
      </c>
      <c r="R19" s="85">
        <f>O19/'סכום נכסי הקרן'!$C$42</f>
        <v>5.5692973271200528E-4</v>
      </c>
      <c r="AB19" s="127"/>
    </row>
    <row r="20" spans="2:28" s="122" customFormat="1">
      <c r="B20" s="76" t="s">
        <v>284</v>
      </c>
      <c r="C20" s="74" t="s">
        <v>285</v>
      </c>
      <c r="D20" s="87" t="s">
        <v>123</v>
      </c>
      <c r="E20" s="74" t="s">
        <v>275</v>
      </c>
      <c r="F20" s="74"/>
      <c r="G20" s="74"/>
      <c r="H20" s="84">
        <v>3.3999999999996153</v>
      </c>
      <c r="I20" s="87" t="s">
        <v>165</v>
      </c>
      <c r="J20" s="88">
        <v>1.7500000000000002E-2</v>
      </c>
      <c r="K20" s="85">
        <v>6.0000000000134414E-4</v>
      </c>
      <c r="L20" s="84">
        <v>2871849.7760970001</v>
      </c>
      <c r="M20" s="86">
        <v>108.8</v>
      </c>
      <c r="N20" s="74"/>
      <c r="O20" s="84">
        <v>3124.5723196930007</v>
      </c>
      <c r="P20" s="85">
        <v>1.7122339950345001E-4</v>
      </c>
      <c r="Q20" s="85">
        <f t="shared" si="0"/>
        <v>7.7889566511625445E-3</v>
      </c>
      <c r="R20" s="85">
        <f>O20/'סכום נכסי הקרן'!$C$42</f>
        <v>5.998288860728544E-5</v>
      </c>
    </row>
    <row r="21" spans="2:28" s="122" customFormat="1">
      <c r="B21" s="76" t="s">
        <v>286</v>
      </c>
      <c r="C21" s="74" t="s">
        <v>287</v>
      </c>
      <c r="D21" s="87" t="s">
        <v>123</v>
      </c>
      <c r="E21" s="74" t="s">
        <v>275</v>
      </c>
      <c r="F21" s="74"/>
      <c r="G21" s="74"/>
      <c r="H21" s="84">
        <v>0.57999999989903106</v>
      </c>
      <c r="I21" s="87" t="s">
        <v>165</v>
      </c>
      <c r="J21" s="88">
        <v>1E-3</v>
      </c>
      <c r="K21" s="85">
        <v>1.4999999998422362E-2</v>
      </c>
      <c r="L21" s="84">
        <v>6324.0330209999993</v>
      </c>
      <c r="M21" s="86">
        <v>100.23</v>
      </c>
      <c r="N21" s="74"/>
      <c r="O21" s="84">
        <v>6.3385778079999993</v>
      </c>
      <c r="P21" s="85">
        <v>4.1727811520339329E-7</v>
      </c>
      <c r="Q21" s="85">
        <f t="shared" si="0"/>
        <v>1.5800852956856429E-5</v>
      </c>
      <c r="R21" s="85">
        <f>O21/'סכום נכסי הקרן'!$C$42</f>
        <v>1.2168263931341231E-7</v>
      </c>
    </row>
    <row r="22" spans="2:28" s="122" customFormat="1">
      <c r="B22" s="76" t="s">
        <v>288</v>
      </c>
      <c r="C22" s="74" t="s">
        <v>289</v>
      </c>
      <c r="D22" s="87" t="s">
        <v>123</v>
      </c>
      <c r="E22" s="74" t="s">
        <v>275</v>
      </c>
      <c r="F22" s="74"/>
      <c r="G22" s="74"/>
      <c r="H22" s="84">
        <v>5.4800000000003042</v>
      </c>
      <c r="I22" s="87" t="s">
        <v>165</v>
      </c>
      <c r="J22" s="88">
        <v>7.4999999999999997E-3</v>
      </c>
      <c r="K22" s="85">
        <v>-9.000000000015222E-4</v>
      </c>
      <c r="L22" s="84">
        <v>1865194.096501</v>
      </c>
      <c r="M22" s="86">
        <v>105.65</v>
      </c>
      <c r="N22" s="74"/>
      <c r="O22" s="84">
        <v>1970.5777136300001</v>
      </c>
      <c r="P22" s="85">
        <v>1.3649256701446578E-4</v>
      </c>
      <c r="Q22" s="85">
        <f t="shared" si="0"/>
        <v>4.9122704865794667E-3</v>
      </c>
      <c r="R22" s="85">
        <f>O22/'סכום נכסי הקרן'!$C$42</f>
        <v>3.7829479171818672E-5</v>
      </c>
    </row>
    <row r="23" spans="2:28" s="122" customFormat="1">
      <c r="B23" s="76" t="s">
        <v>290</v>
      </c>
      <c r="C23" s="74" t="s">
        <v>291</v>
      </c>
      <c r="D23" s="87" t="s">
        <v>123</v>
      </c>
      <c r="E23" s="74" t="s">
        <v>275</v>
      </c>
      <c r="F23" s="74"/>
      <c r="G23" s="74"/>
      <c r="H23" s="84">
        <v>8.9599999999998801</v>
      </c>
      <c r="I23" s="87" t="s">
        <v>165</v>
      </c>
      <c r="J23" s="88">
        <v>5.0000000000000001E-3</v>
      </c>
      <c r="K23" s="85">
        <v>-8.0000000000046451E-4</v>
      </c>
      <c r="L23" s="84">
        <v>9744957.1138940006</v>
      </c>
      <c r="M23" s="86">
        <v>106</v>
      </c>
      <c r="N23" s="74"/>
      <c r="O23" s="84">
        <v>10329.654824669002</v>
      </c>
      <c r="P23" s="85">
        <v>9.1454465694701793E-4</v>
      </c>
      <c r="Q23" s="85">
        <f t="shared" si="0"/>
        <v>2.5749838831934629E-2</v>
      </c>
      <c r="R23" s="85">
        <f>O23/'סכום נכסי הקרן'!$C$42</f>
        <v>1.9829994997866052E-4</v>
      </c>
    </row>
    <row r="24" spans="2:28" s="122" customFormat="1">
      <c r="B24" s="76" t="s">
        <v>292</v>
      </c>
      <c r="C24" s="74" t="s">
        <v>293</v>
      </c>
      <c r="D24" s="87" t="s">
        <v>123</v>
      </c>
      <c r="E24" s="74" t="s">
        <v>275</v>
      </c>
      <c r="F24" s="74"/>
      <c r="G24" s="74"/>
      <c r="H24" s="84">
        <v>22.370000000000054</v>
      </c>
      <c r="I24" s="87" t="s">
        <v>165</v>
      </c>
      <c r="J24" s="88">
        <v>0.01</v>
      </c>
      <c r="K24" s="85">
        <v>6.000000000000001E-3</v>
      </c>
      <c r="L24" s="84">
        <v>31074023.793741997</v>
      </c>
      <c r="M24" s="86">
        <v>111.32</v>
      </c>
      <c r="N24" s="74"/>
      <c r="O24" s="84">
        <v>34591.600534889993</v>
      </c>
      <c r="P24" s="85">
        <v>1.9945809748766691E-3</v>
      </c>
      <c r="Q24" s="85">
        <f t="shared" si="0"/>
        <v>8.623019392524793E-2</v>
      </c>
      <c r="R24" s="85">
        <f>O24/'סכום נכסי הקרן'!$C$42</f>
        <v>6.6406020067280374E-4</v>
      </c>
    </row>
    <row r="25" spans="2:28" s="122" customFormat="1">
      <c r="B25" s="76" t="s">
        <v>294</v>
      </c>
      <c r="C25" s="74" t="s">
        <v>295</v>
      </c>
      <c r="D25" s="87" t="s">
        <v>123</v>
      </c>
      <c r="E25" s="74" t="s">
        <v>275</v>
      </c>
      <c r="F25" s="74"/>
      <c r="G25" s="74"/>
      <c r="H25" s="84">
        <v>2.4199999999998165</v>
      </c>
      <c r="I25" s="87" t="s">
        <v>165</v>
      </c>
      <c r="J25" s="88">
        <v>2.75E-2</v>
      </c>
      <c r="K25" s="85">
        <v>1.2999999999987284E-3</v>
      </c>
      <c r="L25" s="84">
        <v>3019072.7989869998</v>
      </c>
      <c r="M25" s="86">
        <v>111.99</v>
      </c>
      <c r="N25" s="74"/>
      <c r="O25" s="84">
        <v>3381.0597353110002</v>
      </c>
      <c r="P25" s="85">
        <v>1.8207762501399171E-4</v>
      </c>
      <c r="Q25" s="85">
        <f t="shared" si="0"/>
        <v>8.4283303501568423E-3</v>
      </c>
      <c r="R25" s="85">
        <f>O25/'סכום נכסי הקרן'!$C$42</f>
        <v>6.490671641668515E-5</v>
      </c>
    </row>
    <row r="26" spans="2:28" s="122" customFormat="1">
      <c r="B26" s="77"/>
      <c r="C26" s="74"/>
      <c r="D26" s="74"/>
      <c r="E26" s="74"/>
      <c r="F26" s="74"/>
      <c r="G26" s="74"/>
      <c r="H26" s="74"/>
      <c r="I26" s="74"/>
      <c r="J26" s="74"/>
      <c r="K26" s="85"/>
      <c r="L26" s="84"/>
      <c r="M26" s="86"/>
      <c r="N26" s="74"/>
      <c r="O26" s="74"/>
      <c r="P26" s="74"/>
      <c r="Q26" s="85"/>
      <c r="R26" s="74"/>
    </row>
    <row r="27" spans="2:28" s="128" customFormat="1">
      <c r="B27" s="112" t="s">
        <v>48</v>
      </c>
      <c r="C27" s="113"/>
      <c r="D27" s="113"/>
      <c r="E27" s="113"/>
      <c r="F27" s="113"/>
      <c r="G27" s="113"/>
      <c r="H27" s="114">
        <v>11.729651349313029</v>
      </c>
      <c r="I27" s="113"/>
      <c r="J27" s="113"/>
      <c r="K27" s="115">
        <v>1.4353751772025412E-2</v>
      </c>
      <c r="L27" s="114"/>
      <c r="M27" s="116"/>
      <c r="N27" s="113"/>
      <c r="O27" s="114">
        <v>215866.81882208909</v>
      </c>
      <c r="P27" s="113"/>
      <c r="Q27" s="115">
        <f t="shared" ref="Q27:Q38" si="1">O27/$O$11</f>
        <v>0.53811437924880912</v>
      </c>
      <c r="R27" s="115">
        <f>O27/'סכום נכסי הקרן'!$C$42</f>
        <v>4.1440280533134371E-3</v>
      </c>
    </row>
    <row r="28" spans="2:28" s="122" customFormat="1">
      <c r="B28" s="75" t="s">
        <v>22</v>
      </c>
      <c r="C28" s="72"/>
      <c r="D28" s="72"/>
      <c r="E28" s="72"/>
      <c r="F28" s="72"/>
      <c r="G28" s="72"/>
      <c r="H28" s="81">
        <v>0.4963999762819406</v>
      </c>
      <c r="I28" s="72"/>
      <c r="J28" s="72"/>
      <c r="K28" s="82">
        <v>2.4906622071172186E-3</v>
      </c>
      <c r="L28" s="81"/>
      <c r="M28" s="83"/>
      <c r="N28" s="72"/>
      <c r="O28" s="81">
        <v>26099.291683736003</v>
      </c>
      <c r="P28" s="72"/>
      <c r="Q28" s="82">
        <f t="shared" si="1"/>
        <v>6.5060504527109278E-2</v>
      </c>
      <c r="R28" s="82">
        <f>O28/'סכום נכסי הקרן'!$C$42</f>
        <v>5.0103205994873705E-4</v>
      </c>
    </row>
    <row r="29" spans="2:28" s="122" customFormat="1">
      <c r="B29" s="76" t="s">
        <v>296</v>
      </c>
      <c r="C29" s="74" t="s">
        <v>297</v>
      </c>
      <c r="D29" s="87" t="s">
        <v>123</v>
      </c>
      <c r="E29" s="74" t="s">
        <v>275</v>
      </c>
      <c r="F29" s="74"/>
      <c r="G29" s="74"/>
      <c r="H29" s="84">
        <v>0.54000000000002146</v>
      </c>
      <c r="I29" s="87" t="s">
        <v>165</v>
      </c>
      <c r="J29" s="88">
        <v>0</v>
      </c>
      <c r="K29" s="85">
        <v>2.2000000000000309E-3</v>
      </c>
      <c r="L29" s="84">
        <v>6564622.8696039999</v>
      </c>
      <c r="M29" s="86">
        <v>99.88</v>
      </c>
      <c r="N29" s="74"/>
      <c r="O29" s="84">
        <v>6556.7453222089998</v>
      </c>
      <c r="P29" s="85">
        <v>7.2940254106711113E-4</v>
      </c>
      <c r="Q29" s="85">
        <f t="shared" si="1"/>
        <v>1.634470252633375E-2</v>
      </c>
      <c r="R29" s="85">
        <f>O29/'סכום נכסי הקרן'!$C$42</f>
        <v>1.2587083416492806E-4</v>
      </c>
    </row>
    <row r="30" spans="2:28" s="122" customFormat="1">
      <c r="B30" s="76" t="s">
        <v>298</v>
      </c>
      <c r="C30" s="74" t="s">
        <v>299</v>
      </c>
      <c r="D30" s="87" t="s">
        <v>123</v>
      </c>
      <c r="E30" s="74" t="s">
        <v>275</v>
      </c>
      <c r="F30" s="74"/>
      <c r="G30" s="74"/>
      <c r="H30" s="84">
        <v>0.7699999999997289</v>
      </c>
      <c r="I30" s="87" t="s">
        <v>165</v>
      </c>
      <c r="J30" s="88">
        <v>0</v>
      </c>
      <c r="K30" s="85">
        <v>2.5999999999976762E-3</v>
      </c>
      <c r="L30" s="84">
        <v>2586861.2677790001</v>
      </c>
      <c r="M30" s="86">
        <v>99.8</v>
      </c>
      <c r="N30" s="74"/>
      <c r="O30" s="84">
        <v>2581.6875452100003</v>
      </c>
      <c r="P30" s="85">
        <v>3.2335765847237502E-4</v>
      </c>
      <c r="Q30" s="85">
        <f t="shared" si="1"/>
        <v>6.4356495286569887E-3</v>
      </c>
      <c r="R30" s="85">
        <f>O30/'סכום נכסי הקרן'!$C$42</f>
        <v>4.9561047272659334E-5</v>
      </c>
    </row>
    <row r="31" spans="2:28" s="122" customFormat="1">
      <c r="B31" s="76" t="s">
        <v>300</v>
      </c>
      <c r="C31" s="74" t="s">
        <v>301</v>
      </c>
      <c r="D31" s="87" t="s">
        <v>123</v>
      </c>
      <c r="E31" s="74" t="s">
        <v>275</v>
      </c>
      <c r="F31" s="74"/>
      <c r="G31" s="74"/>
      <c r="H31" s="84">
        <v>0.58999999999993824</v>
      </c>
      <c r="I31" s="87" t="s">
        <v>165</v>
      </c>
      <c r="J31" s="88">
        <v>0</v>
      </c>
      <c r="K31" s="85">
        <v>2.1999999999987659E-3</v>
      </c>
      <c r="L31" s="84">
        <v>4055976.7793950005</v>
      </c>
      <c r="M31" s="86">
        <v>99.87</v>
      </c>
      <c r="N31" s="74"/>
      <c r="O31" s="84">
        <v>4050.7040095749999</v>
      </c>
      <c r="P31" s="85">
        <v>4.506640865994445E-4</v>
      </c>
      <c r="Q31" s="85">
        <f t="shared" si="1"/>
        <v>1.0097624477570084E-2</v>
      </c>
      <c r="R31" s="85">
        <f>O31/'סכום נכסי הקרן'!$C$42</f>
        <v>7.7761979089443692E-5</v>
      </c>
    </row>
    <row r="32" spans="2:28" s="122" customFormat="1">
      <c r="B32" s="76" t="s">
        <v>302</v>
      </c>
      <c r="C32" s="74" t="s">
        <v>303</v>
      </c>
      <c r="D32" s="87" t="s">
        <v>123</v>
      </c>
      <c r="E32" s="74" t="s">
        <v>275</v>
      </c>
      <c r="F32" s="74"/>
      <c r="G32" s="74"/>
      <c r="H32" s="84">
        <v>0.67000000000004856</v>
      </c>
      <c r="I32" s="87" t="s">
        <v>165</v>
      </c>
      <c r="J32" s="88">
        <v>0</v>
      </c>
      <c r="K32" s="85">
        <v>2.1999999999984289E-3</v>
      </c>
      <c r="L32" s="84">
        <v>2677781.3298069998</v>
      </c>
      <c r="M32" s="86">
        <v>99.85</v>
      </c>
      <c r="N32" s="74"/>
      <c r="O32" s="84">
        <v>2673.7646577610003</v>
      </c>
      <c r="P32" s="85">
        <v>2.9753125886744443E-4</v>
      </c>
      <c r="Q32" s="85">
        <f t="shared" si="1"/>
        <v>6.665180025904183E-3</v>
      </c>
      <c r="R32" s="85">
        <f>O32/'סכום נכסי הקרן'!$C$42</f>
        <v>5.1328665564166755E-5</v>
      </c>
    </row>
    <row r="33" spans="2:18" s="122" customFormat="1">
      <c r="B33" s="76" t="s">
        <v>304</v>
      </c>
      <c r="C33" s="74" t="s">
        <v>305</v>
      </c>
      <c r="D33" s="87" t="s">
        <v>123</v>
      </c>
      <c r="E33" s="74" t="s">
        <v>275</v>
      </c>
      <c r="F33" s="74"/>
      <c r="G33" s="74"/>
      <c r="H33" s="84">
        <v>0.84000000000031694</v>
      </c>
      <c r="I33" s="87" t="s">
        <v>165</v>
      </c>
      <c r="J33" s="88">
        <v>0</v>
      </c>
      <c r="K33" s="85">
        <v>2.1000000000057457E-3</v>
      </c>
      <c r="L33" s="84">
        <v>505628.30214699998</v>
      </c>
      <c r="M33" s="86">
        <v>99.82</v>
      </c>
      <c r="N33" s="74"/>
      <c r="O33" s="84">
        <v>504.71817115100004</v>
      </c>
      <c r="P33" s="85">
        <v>7.2232614592428567E-5</v>
      </c>
      <c r="Q33" s="85">
        <f t="shared" si="1"/>
        <v>1.2581651355521939E-3</v>
      </c>
      <c r="R33" s="85">
        <f>O33/'סכום נכסי הקרן'!$C$42</f>
        <v>9.6891512631712186E-6</v>
      </c>
    </row>
    <row r="34" spans="2:18" s="122" customFormat="1">
      <c r="B34" s="76" t="s">
        <v>306</v>
      </c>
      <c r="C34" s="74" t="s">
        <v>307</v>
      </c>
      <c r="D34" s="87" t="s">
        <v>123</v>
      </c>
      <c r="E34" s="74" t="s">
        <v>275</v>
      </c>
      <c r="F34" s="74"/>
      <c r="G34" s="74"/>
      <c r="H34" s="84">
        <v>1.9999999999940364E-2</v>
      </c>
      <c r="I34" s="87" t="s">
        <v>165</v>
      </c>
      <c r="J34" s="88">
        <v>0</v>
      </c>
      <c r="K34" s="85">
        <v>5.2000000000015333E-3</v>
      </c>
      <c r="L34" s="84">
        <v>2347863.513458</v>
      </c>
      <c r="M34" s="86">
        <v>99.99</v>
      </c>
      <c r="N34" s="74"/>
      <c r="O34" s="84">
        <v>2347.628727107</v>
      </c>
      <c r="P34" s="85">
        <v>1.9565529278816666E-4</v>
      </c>
      <c r="Q34" s="85">
        <f t="shared" si="1"/>
        <v>5.8521860010130738E-3</v>
      </c>
      <c r="R34" s="85">
        <f>O34/'סכום נכסי הקרן'!$C$42</f>
        <v>4.5067784650655248E-5</v>
      </c>
    </row>
    <row r="35" spans="2:18" s="122" customFormat="1">
      <c r="B35" s="76" t="s">
        <v>308</v>
      </c>
      <c r="C35" s="74" t="s">
        <v>309</v>
      </c>
      <c r="D35" s="87" t="s">
        <v>123</v>
      </c>
      <c r="E35" s="74" t="s">
        <v>275</v>
      </c>
      <c r="F35" s="74"/>
      <c r="G35" s="74"/>
      <c r="H35" s="84">
        <v>0.10000000000134669</v>
      </c>
      <c r="I35" s="87" t="s">
        <v>165</v>
      </c>
      <c r="J35" s="88">
        <v>0</v>
      </c>
      <c r="K35" s="85">
        <v>2.1000000000114469E-3</v>
      </c>
      <c r="L35" s="84">
        <v>297086.03450100002</v>
      </c>
      <c r="M35" s="86">
        <v>99.98</v>
      </c>
      <c r="N35" s="74"/>
      <c r="O35" s="84">
        <v>297.026617246</v>
      </c>
      <c r="P35" s="85">
        <v>2.4757169541750001E-5</v>
      </c>
      <c r="Q35" s="85">
        <f t="shared" si="1"/>
        <v>7.4043011627199413E-4</v>
      </c>
      <c r="R35" s="85">
        <f>O35/'סכום נכסי הקרן'!$C$42</f>
        <v>5.702065010105497E-6</v>
      </c>
    </row>
    <row r="36" spans="2:18" s="122" customFormat="1">
      <c r="B36" s="76" t="s">
        <v>310</v>
      </c>
      <c r="C36" s="74" t="s">
        <v>311</v>
      </c>
      <c r="D36" s="87" t="s">
        <v>123</v>
      </c>
      <c r="E36" s="74" t="s">
        <v>275</v>
      </c>
      <c r="F36" s="74"/>
      <c r="G36" s="74"/>
      <c r="H36" s="84">
        <v>0.16999999999930315</v>
      </c>
      <c r="I36" s="87" t="s">
        <v>165</v>
      </c>
      <c r="J36" s="88">
        <v>0</v>
      </c>
      <c r="K36" s="85">
        <v>2.2999999999955916E-3</v>
      </c>
      <c r="L36" s="84">
        <v>703447.21085699985</v>
      </c>
      <c r="M36" s="86">
        <v>99.96</v>
      </c>
      <c r="N36" s="74"/>
      <c r="O36" s="84">
        <v>703.16583189699998</v>
      </c>
      <c r="P36" s="85">
        <v>5.8620600904749988E-5</v>
      </c>
      <c r="Q36" s="85">
        <f t="shared" si="1"/>
        <v>1.7528569105939298E-3</v>
      </c>
      <c r="R36" s="85">
        <f>O36/'סכום נכסי הקרן'!$C$42</f>
        <v>1.3498781097590682E-5</v>
      </c>
    </row>
    <row r="37" spans="2:18" s="122" customFormat="1">
      <c r="B37" s="76" t="s">
        <v>312</v>
      </c>
      <c r="C37" s="74" t="s">
        <v>313</v>
      </c>
      <c r="D37" s="87" t="s">
        <v>123</v>
      </c>
      <c r="E37" s="74" t="s">
        <v>275</v>
      </c>
      <c r="F37" s="74"/>
      <c r="G37" s="74"/>
      <c r="H37" s="84">
        <v>0.34999999999981102</v>
      </c>
      <c r="I37" s="87" t="s">
        <v>165</v>
      </c>
      <c r="J37" s="88">
        <v>0</v>
      </c>
      <c r="K37" s="85">
        <v>2.2999999999991179E-3</v>
      </c>
      <c r="L37" s="84">
        <v>794433.05351300002</v>
      </c>
      <c r="M37" s="86">
        <v>99.92</v>
      </c>
      <c r="N37" s="74"/>
      <c r="O37" s="84">
        <v>793.79750700900001</v>
      </c>
      <c r="P37" s="85">
        <v>8.8270339279222223E-5</v>
      </c>
      <c r="Q37" s="85">
        <f t="shared" si="1"/>
        <v>1.9787842108584903E-3</v>
      </c>
      <c r="R37" s="85">
        <f>O37/'סכום נכסי הקרן'!$C$42</f>
        <v>1.5238651107406593E-5</v>
      </c>
    </row>
    <row r="38" spans="2:18" s="122" customFormat="1">
      <c r="B38" s="76" t="s">
        <v>314</v>
      </c>
      <c r="C38" s="74" t="s">
        <v>315</v>
      </c>
      <c r="D38" s="87" t="s">
        <v>123</v>
      </c>
      <c r="E38" s="74" t="s">
        <v>275</v>
      </c>
      <c r="F38" s="74"/>
      <c r="G38" s="74"/>
      <c r="H38" s="84">
        <v>0.42000000000003218</v>
      </c>
      <c r="I38" s="87" t="s">
        <v>165</v>
      </c>
      <c r="J38" s="88">
        <v>0</v>
      </c>
      <c r="K38" s="85">
        <v>2.1000000000001608E-3</v>
      </c>
      <c r="L38" s="84">
        <v>5595088.8745560003</v>
      </c>
      <c r="M38" s="86">
        <v>99.91</v>
      </c>
      <c r="N38" s="74"/>
      <c r="O38" s="84">
        <v>5590.0532945710002</v>
      </c>
      <c r="P38" s="85">
        <v>6.2167654161733338E-4</v>
      </c>
      <c r="Q38" s="85">
        <f t="shared" si="1"/>
        <v>1.3934925594354591E-2</v>
      </c>
      <c r="R38" s="85">
        <f>O38/'סכום נכסי הקרן'!$C$42</f>
        <v>1.073131007286099E-4</v>
      </c>
    </row>
    <row r="39" spans="2:18" s="122" customFormat="1">
      <c r="B39" s="77"/>
      <c r="C39" s="74"/>
      <c r="D39" s="74"/>
      <c r="E39" s="74"/>
      <c r="F39" s="74"/>
      <c r="G39" s="74"/>
      <c r="H39" s="74"/>
      <c r="I39" s="74"/>
      <c r="J39" s="74"/>
      <c r="K39" s="85"/>
      <c r="L39" s="84"/>
      <c r="M39" s="86"/>
      <c r="N39" s="74"/>
      <c r="O39" s="74"/>
      <c r="P39" s="74"/>
      <c r="Q39" s="85"/>
      <c r="R39" s="74"/>
    </row>
    <row r="40" spans="2:18" s="122" customFormat="1">
      <c r="B40" s="75" t="s">
        <v>23</v>
      </c>
      <c r="C40" s="72"/>
      <c r="D40" s="72"/>
      <c r="E40" s="72"/>
      <c r="F40" s="72"/>
      <c r="G40" s="72"/>
      <c r="H40" s="81">
        <v>13.274593777359321</v>
      </c>
      <c r="I40" s="72"/>
      <c r="J40" s="72"/>
      <c r="K40" s="82">
        <v>1.5985317717441837E-2</v>
      </c>
      <c r="L40" s="81"/>
      <c r="M40" s="83"/>
      <c r="N40" s="72"/>
      <c r="O40" s="81">
        <v>189767.52713835298</v>
      </c>
      <c r="P40" s="72"/>
      <c r="Q40" s="82">
        <f t="shared" ref="Q40:Q55" si="2">O40/$O$11</f>
        <v>0.47305387472169963</v>
      </c>
      <c r="R40" s="82">
        <f>O40/'סכום נכסי הקרן'!$C$42</f>
        <v>3.6429959933646982E-3</v>
      </c>
    </row>
    <row r="41" spans="2:18" s="122" customFormat="1">
      <c r="B41" s="76" t="s">
        <v>316</v>
      </c>
      <c r="C41" s="74" t="s">
        <v>317</v>
      </c>
      <c r="D41" s="87" t="s">
        <v>123</v>
      </c>
      <c r="E41" s="74" t="s">
        <v>275</v>
      </c>
      <c r="F41" s="74"/>
      <c r="G41" s="74"/>
      <c r="H41" s="84">
        <v>5.6399999999996764</v>
      </c>
      <c r="I41" s="87" t="s">
        <v>165</v>
      </c>
      <c r="J41" s="88">
        <v>6.25E-2</v>
      </c>
      <c r="K41" s="85">
        <v>8.2999999999995959E-3</v>
      </c>
      <c r="L41" s="84">
        <v>1983332.0900329999</v>
      </c>
      <c r="M41" s="86">
        <v>137.18</v>
      </c>
      <c r="N41" s="74"/>
      <c r="O41" s="84">
        <v>2720.735025817</v>
      </c>
      <c r="P41" s="85">
        <v>1.2043310537917761E-4</v>
      </c>
      <c r="Q41" s="85">
        <f t="shared" si="2"/>
        <v>6.7822681017254772E-3</v>
      </c>
      <c r="R41" s="85">
        <f>O41/'סכום נכסי הקרן'!$C$42</f>
        <v>5.2230362841963492E-5</v>
      </c>
    </row>
    <row r="42" spans="2:18" s="122" customFormat="1">
      <c r="B42" s="76" t="s">
        <v>318</v>
      </c>
      <c r="C42" s="74" t="s">
        <v>319</v>
      </c>
      <c r="D42" s="87" t="s">
        <v>123</v>
      </c>
      <c r="E42" s="74" t="s">
        <v>275</v>
      </c>
      <c r="F42" s="74"/>
      <c r="G42" s="74"/>
      <c r="H42" s="84">
        <v>3.8000000000003582</v>
      </c>
      <c r="I42" s="87" t="s">
        <v>165</v>
      </c>
      <c r="J42" s="88">
        <v>3.7499999999999999E-2</v>
      </c>
      <c r="K42" s="85">
        <v>5.4999999999991063E-3</v>
      </c>
      <c r="L42" s="84">
        <v>1985812.591546</v>
      </c>
      <c r="M42" s="86">
        <v>112.64</v>
      </c>
      <c r="N42" s="74"/>
      <c r="O42" s="84">
        <v>2236.8193031239998</v>
      </c>
      <c r="P42" s="85">
        <v>1.2237716798091771E-4</v>
      </c>
      <c r="Q42" s="85">
        <f t="shared" si="2"/>
        <v>5.5759594613026152E-3</v>
      </c>
      <c r="R42" s="85">
        <f>O42/'סכום נכסי הקרן'!$C$42</f>
        <v>4.2940559336163946E-5</v>
      </c>
    </row>
    <row r="43" spans="2:18" s="122" customFormat="1">
      <c r="B43" s="76" t="s">
        <v>320</v>
      </c>
      <c r="C43" s="74" t="s">
        <v>321</v>
      </c>
      <c r="D43" s="87" t="s">
        <v>123</v>
      </c>
      <c r="E43" s="74" t="s">
        <v>275</v>
      </c>
      <c r="F43" s="74"/>
      <c r="G43" s="74"/>
      <c r="H43" s="84">
        <v>18.809999999999992</v>
      </c>
      <c r="I43" s="87" t="s">
        <v>165</v>
      </c>
      <c r="J43" s="88">
        <v>3.7499999999999999E-2</v>
      </c>
      <c r="K43" s="85">
        <v>2.1300000000000052E-2</v>
      </c>
      <c r="L43" s="84">
        <v>41133628.289774999</v>
      </c>
      <c r="M43" s="86">
        <v>132.96</v>
      </c>
      <c r="N43" s="74"/>
      <c r="O43" s="84">
        <v>54691.272170067008</v>
      </c>
      <c r="P43" s="85">
        <v>2.598963784759259E-3</v>
      </c>
      <c r="Q43" s="85">
        <f t="shared" si="2"/>
        <v>0.13633480186864072</v>
      </c>
      <c r="R43" s="85">
        <f>O43/'סכום נכסי הקרן'!$C$42</f>
        <v>1.0499166448130679E-3</v>
      </c>
    </row>
    <row r="44" spans="2:18" s="122" customFormat="1">
      <c r="B44" s="76" t="s">
        <v>322</v>
      </c>
      <c r="C44" s="74" t="s">
        <v>323</v>
      </c>
      <c r="D44" s="87" t="s">
        <v>123</v>
      </c>
      <c r="E44" s="74" t="s">
        <v>275</v>
      </c>
      <c r="F44" s="74"/>
      <c r="G44" s="74"/>
      <c r="H44" s="84">
        <v>2.6299999999994306</v>
      </c>
      <c r="I44" s="87" t="s">
        <v>165</v>
      </c>
      <c r="J44" s="88">
        <v>1.2500000000000001E-2</v>
      </c>
      <c r="K44" s="85">
        <v>4.3999999999971527E-3</v>
      </c>
      <c r="L44" s="84">
        <v>1369896.642741</v>
      </c>
      <c r="M44" s="86">
        <v>102.56</v>
      </c>
      <c r="N44" s="74"/>
      <c r="O44" s="84">
        <v>1404.96597236</v>
      </c>
      <c r="P44" s="85">
        <v>1.1790932000705661E-4</v>
      </c>
      <c r="Q44" s="85">
        <f t="shared" si="2"/>
        <v>3.5023094156276979E-3</v>
      </c>
      <c r="R44" s="85">
        <f>O44/'סכום נכסי הקרן'!$C$42</f>
        <v>2.6971344809639913E-5</v>
      </c>
    </row>
    <row r="45" spans="2:18" s="122" customFormat="1">
      <c r="B45" s="76" t="s">
        <v>324</v>
      </c>
      <c r="C45" s="74" t="s">
        <v>325</v>
      </c>
      <c r="D45" s="87" t="s">
        <v>123</v>
      </c>
      <c r="E45" s="74" t="s">
        <v>275</v>
      </c>
      <c r="F45" s="74"/>
      <c r="G45" s="74"/>
      <c r="H45" s="84">
        <v>3.5799999999996079</v>
      </c>
      <c r="I45" s="87" t="s">
        <v>165</v>
      </c>
      <c r="J45" s="88">
        <v>1.4999999999999999E-2</v>
      </c>
      <c r="K45" s="85">
        <v>5.2000000000001177E-3</v>
      </c>
      <c r="L45" s="84">
        <v>3281317.3832129999</v>
      </c>
      <c r="M45" s="86">
        <v>104.07</v>
      </c>
      <c r="N45" s="74"/>
      <c r="O45" s="84">
        <v>3414.8669961730002</v>
      </c>
      <c r="P45" s="85">
        <v>1.9511717780299804E-4</v>
      </c>
      <c r="Q45" s="85">
        <f t="shared" si="2"/>
        <v>8.512605336429056E-3</v>
      </c>
      <c r="R45" s="85">
        <f>O45/'סכום נכסי הקרן'!$C$42</f>
        <v>6.5555719529726252E-5</v>
      </c>
    </row>
    <row r="46" spans="2:18" s="122" customFormat="1">
      <c r="B46" s="76" t="s">
        <v>326</v>
      </c>
      <c r="C46" s="74" t="s">
        <v>327</v>
      </c>
      <c r="D46" s="87" t="s">
        <v>123</v>
      </c>
      <c r="E46" s="74" t="s">
        <v>275</v>
      </c>
      <c r="F46" s="74"/>
      <c r="G46" s="74"/>
      <c r="H46" s="84">
        <v>0.84000000000112851</v>
      </c>
      <c r="I46" s="87" t="s">
        <v>165</v>
      </c>
      <c r="J46" s="88">
        <v>5.0000000000000001E-3</v>
      </c>
      <c r="K46" s="85">
        <v>2.4000000000112846E-3</v>
      </c>
      <c r="L46" s="84">
        <v>176695.95199900001</v>
      </c>
      <c r="M46" s="86">
        <v>100.3</v>
      </c>
      <c r="N46" s="74"/>
      <c r="O46" s="84">
        <v>177.22604297000001</v>
      </c>
      <c r="P46" s="85">
        <v>1.1294932070901327E-5</v>
      </c>
      <c r="Q46" s="85">
        <f t="shared" si="2"/>
        <v>4.4179037158148732E-4</v>
      </c>
      <c r="R46" s="85">
        <f>O46/'סכום נכסי הקרן'!$C$42</f>
        <v>3.4022352200905297E-6</v>
      </c>
    </row>
    <row r="47" spans="2:18" s="122" customFormat="1">
      <c r="B47" s="76" t="s">
        <v>328</v>
      </c>
      <c r="C47" s="74" t="s">
        <v>329</v>
      </c>
      <c r="D47" s="87" t="s">
        <v>123</v>
      </c>
      <c r="E47" s="74" t="s">
        <v>275</v>
      </c>
      <c r="F47" s="74"/>
      <c r="G47" s="74"/>
      <c r="H47" s="84">
        <v>1.7900000000002947</v>
      </c>
      <c r="I47" s="87" t="s">
        <v>165</v>
      </c>
      <c r="J47" s="88">
        <v>5.5E-2</v>
      </c>
      <c r="K47" s="85">
        <v>3.6000000000019627E-3</v>
      </c>
      <c r="L47" s="84">
        <v>1478089.575769</v>
      </c>
      <c r="M47" s="86">
        <v>110.31</v>
      </c>
      <c r="N47" s="74"/>
      <c r="O47" s="84">
        <v>1630.4806049879999</v>
      </c>
      <c r="P47" s="85">
        <v>8.3406403138667354E-5</v>
      </c>
      <c r="Q47" s="85">
        <f t="shared" si="2"/>
        <v>4.0644739354474607E-3</v>
      </c>
      <c r="R47" s="85">
        <f>O47/'סכום נכסי הקרן'!$C$42</f>
        <v>3.1300583407505772E-5</v>
      </c>
    </row>
    <row r="48" spans="2:18" s="122" customFormat="1">
      <c r="B48" s="76" t="s">
        <v>330</v>
      </c>
      <c r="C48" s="74" t="s">
        <v>331</v>
      </c>
      <c r="D48" s="87" t="s">
        <v>123</v>
      </c>
      <c r="E48" s="74" t="s">
        <v>275</v>
      </c>
      <c r="F48" s="74"/>
      <c r="G48" s="74"/>
      <c r="H48" s="84">
        <v>15.119999999999948</v>
      </c>
      <c r="I48" s="87" t="s">
        <v>165</v>
      </c>
      <c r="J48" s="88">
        <v>5.5E-2</v>
      </c>
      <c r="K48" s="85">
        <v>1.88999999999999E-2</v>
      </c>
      <c r="L48" s="84">
        <v>40012402.636845998</v>
      </c>
      <c r="M48" s="86">
        <v>165.1</v>
      </c>
      <c r="N48" s="74"/>
      <c r="O48" s="84">
        <v>66060.476588594</v>
      </c>
      <c r="P48" s="85">
        <v>2.1884281945411701E-3</v>
      </c>
      <c r="Q48" s="85">
        <f t="shared" si="2"/>
        <v>0.16467603750463111</v>
      </c>
      <c r="R48" s="85">
        <f>O48/'סכום נכסי הקרן'!$C$42</f>
        <v>1.2681729859743331E-3</v>
      </c>
    </row>
    <row r="49" spans="2:18" s="122" customFormat="1">
      <c r="B49" s="76" t="s">
        <v>332</v>
      </c>
      <c r="C49" s="74" t="s">
        <v>333</v>
      </c>
      <c r="D49" s="87" t="s">
        <v>123</v>
      </c>
      <c r="E49" s="74" t="s">
        <v>275</v>
      </c>
      <c r="F49" s="74"/>
      <c r="G49" s="74"/>
      <c r="H49" s="84">
        <v>2.8800000000002628</v>
      </c>
      <c r="I49" s="87" t="s">
        <v>165</v>
      </c>
      <c r="J49" s="88">
        <v>4.2500000000000003E-2</v>
      </c>
      <c r="K49" s="85">
        <v>4.8999999999991212E-3</v>
      </c>
      <c r="L49" s="84">
        <v>2049667.3708949997</v>
      </c>
      <c r="M49" s="86">
        <v>111.16</v>
      </c>
      <c r="N49" s="74"/>
      <c r="O49" s="84">
        <v>2278.4102494800004</v>
      </c>
      <c r="P49" s="85">
        <v>1.2113022790019099E-4</v>
      </c>
      <c r="Q49" s="85">
        <f t="shared" si="2"/>
        <v>5.6796376755036369E-3</v>
      </c>
      <c r="R49" s="85">
        <f>O49/'סכום נכסי הקרן'!$C$42</f>
        <v>4.3738987039891634E-5</v>
      </c>
    </row>
    <row r="50" spans="2:18" s="122" customFormat="1">
      <c r="B50" s="76" t="s">
        <v>334</v>
      </c>
      <c r="C50" s="74" t="s">
        <v>335</v>
      </c>
      <c r="D50" s="87" t="s">
        <v>123</v>
      </c>
      <c r="E50" s="74" t="s">
        <v>275</v>
      </c>
      <c r="F50" s="74"/>
      <c r="G50" s="74"/>
      <c r="H50" s="84">
        <v>6.6200000000007186</v>
      </c>
      <c r="I50" s="87" t="s">
        <v>165</v>
      </c>
      <c r="J50" s="88">
        <v>0.02</v>
      </c>
      <c r="K50" s="85">
        <v>8.9000000000029351E-3</v>
      </c>
      <c r="L50" s="84">
        <v>2567880.3779309997</v>
      </c>
      <c r="M50" s="86">
        <v>107.5</v>
      </c>
      <c r="N50" s="74"/>
      <c r="O50" s="84">
        <v>2760.4714112709999</v>
      </c>
      <c r="P50" s="85">
        <v>1.5767822220181176E-4</v>
      </c>
      <c r="Q50" s="85">
        <f t="shared" si="2"/>
        <v>6.881323252993508E-3</v>
      </c>
      <c r="R50" s="85">
        <f>O50/'סכום נכסי הקרן'!$C$42</f>
        <v>5.2993188258844107E-5</v>
      </c>
    </row>
    <row r="51" spans="2:18" s="122" customFormat="1">
      <c r="B51" s="76" t="s">
        <v>336</v>
      </c>
      <c r="C51" s="74" t="s">
        <v>337</v>
      </c>
      <c r="D51" s="87" t="s">
        <v>123</v>
      </c>
      <c r="E51" s="74" t="s">
        <v>275</v>
      </c>
      <c r="F51" s="74"/>
      <c r="G51" s="74"/>
      <c r="H51" s="84">
        <v>9.5700000000003485</v>
      </c>
      <c r="I51" s="87" t="s">
        <v>165</v>
      </c>
      <c r="J51" s="88">
        <v>0.01</v>
      </c>
      <c r="K51" s="85">
        <v>1.0700000000000378E-2</v>
      </c>
      <c r="L51" s="84">
        <v>21005381.153200001</v>
      </c>
      <c r="M51" s="86">
        <v>99.3</v>
      </c>
      <c r="N51" s="74"/>
      <c r="O51" s="84">
        <v>20858.343432403002</v>
      </c>
      <c r="P51" s="85">
        <v>3.8910599223839788E-3</v>
      </c>
      <c r="Q51" s="85">
        <f t="shared" si="2"/>
        <v>5.1995830528899591E-2</v>
      </c>
      <c r="R51" s="85">
        <f>O51/'סכום נכסי הקרן'!$C$42</f>
        <v>4.0042078167077343E-4</v>
      </c>
    </row>
    <row r="52" spans="2:18" s="122" customFormat="1">
      <c r="B52" s="76" t="s">
        <v>338</v>
      </c>
      <c r="C52" s="74" t="s">
        <v>339</v>
      </c>
      <c r="D52" s="87" t="s">
        <v>123</v>
      </c>
      <c r="E52" s="74" t="s">
        <v>275</v>
      </c>
      <c r="F52" s="74"/>
      <c r="G52" s="74"/>
      <c r="H52" s="84">
        <v>1.070000000004022</v>
      </c>
      <c r="I52" s="87" t="s">
        <v>165</v>
      </c>
      <c r="J52" s="88">
        <v>0.01</v>
      </c>
      <c r="K52" s="85">
        <v>2.5000000000000001E-3</v>
      </c>
      <c r="L52" s="84">
        <v>39105.638723999997</v>
      </c>
      <c r="M52" s="86">
        <v>101.73</v>
      </c>
      <c r="N52" s="74"/>
      <c r="O52" s="84">
        <v>39.782168012</v>
      </c>
      <c r="P52" s="85">
        <v>2.6473579605474622E-6</v>
      </c>
      <c r="Q52" s="85">
        <f t="shared" si="2"/>
        <v>9.9169278362287388E-5</v>
      </c>
      <c r="R52" s="85">
        <f>O52/'סכום נכסי הקרן'!$C$42</f>
        <v>7.6370431158865503E-7</v>
      </c>
    </row>
    <row r="53" spans="2:18" s="122" customFormat="1">
      <c r="B53" s="76" t="s">
        <v>340</v>
      </c>
      <c r="C53" s="74" t="s">
        <v>341</v>
      </c>
      <c r="D53" s="87" t="s">
        <v>123</v>
      </c>
      <c r="E53" s="74" t="s">
        <v>275</v>
      </c>
      <c r="F53" s="74"/>
      <c r="G53" s="74"/>
      <c r="H53" s="84">
        <v>2.3100000000010588</v>
      </c>
      <c r="I53" s="87" t="s">
        <v>165</v>
      </c>
      <c r="J53" s="88">
        <v>7.4999999999999997E-3</v>
      </c>
      <c r="K53" s="85">
        <v>4.1000000000008001E-3</v>
      </c>
      <c r="L53" s="84">
        <v>1109493.631763</v>
      </c>
      <c r="M53" s="86">
        <v>101.3</v>
      </c>
      <c r="N53" s="74"/>
      <c r="O53" s="84">
        <v>1123.9170474509999</v>
      </c>
      <c r="P53" s="85">
        <v>1.0715274842466689E-4</v>
      </c>
      <c r="Q53" s="85">
        <f t="shared" si="2"/>
        <v>2.8017086072626277E-3</v>
      </c>
      <c r="R53" s="85">
        <f>O53/'סכום נכסי הקרן'!$C$42</f>
        <v>2.1576005982062303E-5</v>
      </c>
    </row>
    <row r="54" spans="2:18" s="122" customFormat="1">
      <c r="B54" s="76" t="s">
        <v>342</v>
      </c>
      <c r="C54" s="74" t="s">
        <v>343</v>
      </c>
      <c r="D54" s="87" t="s">
        <v>123</v>
      </c>
      <c r="E54" s="74" t="s">
        <v>275</v>
      </c>
      <c r="F54" s="74"/>
      <c r="G54" s="74"/>
      <c r="H54" s="84">
        <v>5.1699999999996713</v>
      </c>
      <c r="I54" s="87" t="s">
        <v>165</v>
      </c>
      <c r="J54" s="88">
        <v>1.7500000000000002E-2</v>
      </c>
      <c r="K54" s="85">
        <v>7.3999999999993706E-3</v>
      </c>
      <c r="L54" s="84">
        <v>5378708.6723619998</v>
      </c>
      <c r="M54" s="86">
        <v>106.39</v>
      </c>
      <c r="N54" s="74"/>
      <c r="O54" s="84">
        <v>5722.4082596640001</v>
      </c>
      <c r="P54" s="85">
        <v>2.7573978148384232E-4</v>
      </c>
      <c r="Q54" s="85">
        <f t="shared" si="2"/>
        <v>1.4264861015973122E-2</v>
      </c>
      <c r="R54" s="85">
        <f>O54/'סכום נכסי הקרן'!$C$42</f>
        <v>1.0985393906279017E-4</v>
      </c>
    </row>
    <row r="55" spans="2:18" s="122" customFormat="1">
      <c r="B55" s="76" t="s">
        <v>344</v>
      </c>
      <c r="C55" s="74" t="s">
        <v>345</v>
      </c>
      <c r="D55" s="87" t="s">
        <v>123</v>
      </c>
      <c r="E55" s="74" t="s">
        <v>275</v>
      </c>
      <c r="F55" s="74"/>
      <c r="G55" s="74"/>
      <c r="H55" s="84">
        <v>7.7899999999997824</v>
      </c>
      <c r="I55" s="87" t="s">
        <v>165</v>
      </c>
      <c r="J55" s="88">
        <v>2.2499999999999999E-2</v>
      </c>
      <c r="K55" s="85">
        <v>1.0099999999999679E-2</v>
      </c>
      <c r="L55" s="84">
        <v>22166878.875553001</v>
      </c>
      <c r="M55" s="86">
        <v>111.19</v>
      </c>
      <c r="N55" s="74"/>
      <c r="O55" s="84">
        <v>24647.351865979002</v>
      </c>
      <c r="P55" s="85">
        <v>1.4232977447380169E-3</v>
      </c>
      <c r="Q55" s="85">
        <f t="shared" si="2"/>
        <v>6.14410983673193E-2</v>
      </c>
      <c r="R55" s="85">
        <f>O55/'סכום נכסי הקרן'!$C$42</f>
        <v>4.7315895110625793E-4</v>
      </c>
    </row>
    <row r="56" spans="2:18" s="122" customFormat="1">
      <c r="B56" s="77"/>
      <c r="C56" s="74"/>
      <c r="D56" s="74"/>
      <c r="E56" s="74"/>
      <c r="F56" s="74"/>
      <c r="G56" s="74"/>
      <c r="H56" s="74"/>
      <c r="I56" s="74"/>
      <c r="J56" s="74"/>
      <c r="K56" s="85"/>
      <c r="L56" s="84"/>
      <c r="M56" s="86"/>
      <c r="N56" s="74"/>
      <c r="O56" s="74"/>
      <c r="P56" s="74"/>
      <c r="Q56" s="85"/>
      <c r="R56" s="74"/>
    </row>
    <row r="57" spans="2:18" s="122" customFormat="1">
      <c r="B57" s="71" t="s">
        <v>237</v>
      </c>
      <c r="C57" s="72"/>
      <c r="D57" s="72"/>
      <c r="E57" s="72"/>
      <c r="F57" s="72"/>
      <c r="G57" s="72"/>
      <c r="H57" s="81">
        <v>18.749999999999893</v>
      </c>
      <c r="I57" s="72"/>
      <c r="J57" s="72"/>
      <c r="K57" s="82">
        <v>3.4899999999999737E-2</v>
      </c>
      <c r="L57" s="81"/>
      <c r="M57" s="83"/>
      <c r="N57" s="72"/>
      <c r="O57" s="81">
        <v>62631.679555188995</v>
      </c>
      <c r="P57" s="72"/>
      <c r="Q57" s="82">
        <f t="shared" ref="Q57:Q59" si="3">O57/$O$11</f>
        <v>0.15612870726986466</v>
      </c>
      <c r="R57" s="82">
        <f>O57/'סכום נכסי הקרן'!$C$42</f>
        <v>1.2023498494076203E-3</v>
      </c>
    </row>
    <row r="58" spans="2:18" s="128" customFormat="1">
      <c r="B58" s="112" t="s">
        <v>65</v>
      </c>
      <c r="C58" s="113"/>
      <c r="D58" s="113"/>
      <c r="E58" s="113"/>
      <c r="F58" s="113"/>
      <c r="G58" s="113"/>
      <c r="H58" s="114">
        <v>18.749999999999893</v>
      </c>
      <c r="I58" s="113"/>
      <c r="J58" s="113"/>
      <c r="K58" s="115">
        <v>3.4899999999999737E-2</v>
      </c>
      <c r="L58" s="114"/>
      <c r="M58" s="116"/>
      <c r="N58" s="113"/>
      <c r="O58" s="114">
        <v>62631.679555188995</v>
      </c>
      <c r="P58" s="113"/>
      <c r="Q58" s="115">
        <f t="shared" si="3"/>
        <v>0.15612870726986466</v>
      </c>
      <c r="R58" s="115">
        <f>O58/'סכום נכסי הקרן'!$C$42</f>
        <v>1.2023498494076203E-3</v>
      </c>
    </row>
    <row r="59" spans="2:18" s="122" customFormat="1">
      <c r="B59" s="76" t="s">
        <v>346</v>
      </c>
      <c r="C59" s="74" t="s">
        <v>347</v>
      </c>
      <c r="D59" s="87" t="s">
        <v>28</v>
      </c>
      <c r="E59" s="74" t="s">
        <v>348</v>
      </c>
      <c r="F59" s="74" t="s">
        <v>349</v>
      </c>
      <c r="G59" s="74"/>
      <c r="H59" s="84">
        <v>18.749999999999893</v>
      </c>
      <c r="I59" s="87" t="s">
        <v>164</v>
      </c>
      <c r="J59" s="88">
        <v>3.3750000000000002E-2</v>
      </c>
      <c r="K59" s="85">
        <v>3.4899999999999737E-2</v>
      </c>
      <c r="L59" s="84">
        <v>17904987.3024</v>
      </c>
      <c r="M59" s="86">
        <v>98.120699999999999</v>
      </c>
      <c r="N59" s="74"/>
      <c r="O59" s="84">
        <v>62631.679555188995</v>
      </c>
      <c r="P59" s="85">
        <v>8.9524936512000008E-3</v>
      </c>
      <c r="Q59" s="85">
        <f t="shared" si="3"/>
        <v>0.15612870726986466</v>
      </c>
      <c r="R59" s="85">
        <f>O59/'סכום נכסי הקרן'!$C$42</f>
        <v>1.2023498494076203E-3</v>
      </c>
    </row>
    <row r="60" spans="2:18">
      <c r="C60" s="1"/>
      <c r="D60" s="1"/>
    </row>
    <row r="61" spans="2:18">
      <c r="C61" s="1"/>
      <c r="D61" s="1"/>
    </row>
    <row r="62" spans="2:18">
      <c r="C62" s="1"/>
      <c r="D62" s="1"/>
    </row>
    <row r="63" spans="2:18">
      <c r="B63" s="89" t="s">
        <v>115</v>
      </c>
      <c r="C63" s="90"/>
      <c r="D63" s="90"/>
    </row>
    <row r="64" spans="2:18">
      <c r="B64" s="89" t="s">
        <v>243</v>
      </c>
      <c r="C64" s="90"/>
      <c r="D64" s="90"/>
    </row>
    <row r="65" spans="2:4">
      <c r="B65" s="172" t="s">
        <v>251</v>
      </c>
      <c r="C65" s="172"/>
      <c r="D65" s="172"/>
    </row>
    <row r="66" spans="2:4">
      <c r="C66" s="1"/>
      <c r="D66" s="1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5:D65"/>
  </mergeCells>
  <phoneticPr fontId="5" type="noConversion"/>
  <dataValidations count="1">
    <dataValidation allowBlank="1" showInputMessage="1" showErrorMessage="1" sqref="N10:Q10 N9 N1:N7 C5:C29 O1:Q9 E1:I30 D1:D29 C66:D1048576 C32:D6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T409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48.42578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17">
      <c r="B1" s="47" t="s">
        <v>180</v>
      </c>
      <c r="C1" s="68" t="s" vm="1">
        <v>270</v>
      </c>
    </row>
    <row r="2" spans="2:17">
      <c r="B2" s="47" t="s">
        <v>179</v>
      </c>
      <c r="C2" s="68" t="s">
        <v>271</v>
      </c>
    </row>
    <row r="3" spans="2:17">
      <c r="B3" s="47" t="s">
        <v>181</v>
      </c>
      <c r="C3" s="68" t="s">
        <v>272</v>
      </c>
    </row>
    <row r="4" spans="2:17">
      <c r="B4" s="47" t="s">
        <v>182</v>
      </c>
      <c r="C4" s="68">
        <v>2102</v>
      </c>
    </row>
    <row r="6" spans="2:17" ht="26.25" customHeight="1">
      <c r="B6" s="163" t="s">
        <v>225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5"/>
    </row>
    <row r="7" spans="2:17" s="3" customFormat="1" ht="78.75">
      <c r="B7" s="22" t="s">
        <v>119</v>
      </c>
      <c r="C7" s="30" t="s">
        <v>47</v>
      </c>
      <c r="D7" s="30" t="s">
        <v>68</v>
      </c>
      <c r="E7" s="30" t="s">
        <v>14</v>
      </c>
      <c r="F7" s="30" t="s">
        <v>69</v>
      </c>
      <c r="G7" s="30" t="s">
        <v>107</v>
      </c>
      <c r="H7" s="30" t="s">
        <v>17</v>
      </c>
      <c r="I7" s="30" t="s">
        <v>106</v>
      </c>
      <c r="J7" s="30" t="s">
        <v>16</v>
      </c>
      <c r="K7" s="30" t="s">
        <v>218</v>
      </c>
      <c r="L7" s="30" t="s">
        <v>245</v>
      </c>
      <c r="M7" s="30" t="s">
        <v>219</v>
      </c>
      <c r="N7" s="30" t="s">
        <v>61</v>
      </c>
      <c r="O7" s="30" t="s">
        <v>183</v>
      </c>
      <c r="P7" s="31" t="s">
        <v>185</v>
      </c>
    </row>
    <row r="8" spans="2:17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252</v>
      </c>
      <c r="M8" s="32" t="s">
        <v>248</v>
      </c>
      <c r="N8" s="32" t="s">
        <v>19</v>
      </c>
      <c r="O8" s="32" t="s">
        <v>19</v>
      </c>
      <c r="P8" s="33" t="s">
        <v>19</v>
      </c>
    </row>
    <row r="9" spans="2:17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7" s="4" customFormat="1" ht="18" customHeight="1">
      <c r="B10" s="96" t="s">
        <v>224</v>
      </c>
      <c r="C10" s="72"/>
      <c r="D10" s="72"/>
      <c r="E10" s="72"/>
      <c r="F10" s="72"/>
      <c r="G10" s="72"/>
      <c r="H10" s="81">
        <v>2.8500000000000005</v>
      </c>
      <c r="I10" s="72"/>
      <c r="J10" s="72"/>
      <c r="K10" s="94">
        <v>8.829999999999999E-2</v>
      </c>
      <c r="L10" s="81"/>
      <c r="M10" s="81">
        <v>15445.159960000001</v>
      </c>
      <c r="N10" s="72"/>
      <c r="O10" s="82">
        <f>M10/$M$10</f>
        <v>1</v>
      </c>
      <c r="P10" s="82">
        <f>M10/'סכום נכסי הקרן'!$C$42</f>
        <v>2.9650307773750344E-4</v>
      </c>
      <c r="Q10" s="126"/>
    </row>
    <row r="11" spans="2:17" s="90" customFormat="1" ht="20.25" customHeight="1">
      <c r="B11" s="71" t="s">
        <v>31</v>
      </c>
      <c r="C11" s="72"/>
      <c r="D11" s="72"/>
      <c r="E11" s="72"/>
      <c r="F11" s="72"/>
      <c r="G11" s="72"/>
      <c r="H11" s="81">
        <v>2.8500000000000005</v>
      </c>
      <c r="I11" s="72"/>
      <c r="J11" s="72"/>
      <c r="K11" s="94">
        <v>8.829999999999999E-2</v>
      </c>
      <c r="L11" s="81"/>
      <c r="M11" s="81">
        <v>15445.159960000001</v>
      </c>
      <c r="N11" s="72"/>
      <c r="O11" s="82">
        <f t="shared" ref="O11:O13" si="0">M11/$M$10</f>
        <v>1</v>
      </c>
      <c r="P11" s="82">
        <f>M11/'סכום נכסי הקרן'!$C$42</f>
        <v>2.9650307773750344E-4</v>
      </c>
      <c r="Q11" s="128"/>
    </row>
    <row r="12" spans="2:17">
      <c r="B12" s="92" t="s">
        <v>33</v>
      </c>
      <c r="C12" s="72"/>
      <c r="D12" s="72"/>
      <c r="E12" s="72"/>
      <c r="F12" s="72"/>
      <c r="G12" s="72"/>
      <c r="H12" s="81">
        <v>2.8500000000000005</v>
      </c>
      <c r="I12" s="72"/>
      <c r="J12" s="72"/>
      <c r="K12" s="94">
        <v>8.829999999999999E-2</v>
      </c>
      <c r="L12" s="81"/>
      <c r="M12" s="81">
        <v>15445.159960000001</v>
      </c>
      <c r="N12" s="72"/>
      <c r="O12" s="82">
        <f t="shared" si="0"/>
        <v>1</v>
      </c>
      <c r="P12" s="82">
        <f>M12/'סכום נכסי הקרן'!$C$42</f>
        <v>2.9650307773750344E-4</v>
      </c>
      <c r="Q12" s="122"/>
    </row>
    <row r="13" spans="2:17">
      <c r="B13" s="147" t="s">
        <v>3378</v>
      </c>
      <c r="C13" s="74" t="s">
        <v>3272</v>
      </c>
      <c r="D13" s="87" t="s">
        <v>159</v>
      </c>
      <c r="E13" s="74" t="s">
        <v>678</v>
      </c>
      <c r="F13" s="74" t="s">
        <v>163</v>
      </c>
      <c r="G13" s="97">
        <v>40618</v>
      </c>
      <c r="H13" s="84">
        <v>2.8500000000000005</v>
      </c>
      <c r="I13" s="87" t="s">
        <v>165</v>
      </c>
      <c r="J13" s="88">
        <v>7.1500000000000008E-2</v>
      </c>
      <c r="K13" s="88">
        <v>8.829999999999999E-2</v>
      </c>
      <c r="L13" s="84">
        <v>15141459.550000001</v>
      </c>
      <c r="M13" s="84">
        <v>15445.159960000001</v>
      </c>
      <c r="N13" s="74"/>
      <c r="O13" s="85">
        <f t="shared" si="0"/>
        <v>1</v>
      </c>
      <c r="P13" s="85">
        <f>M13/'סכום נכסי הקרן'!$C$42</f>
        <v>2.9650307773750344E-4</v>
      </c>
      <c r="Q13" s="122"/>
    </row>
    <row r="14" spans="2:17"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84"/>
      <c r="M14" s="84"/>
      <c r="N14" s="74"/>
      <c r="O14" s="85"/>
      <c r="P14" s="74"/>
      <c r="Q14" s="122"/>
    </row>
    <row r="15" spans="2:17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7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20">
      <c r="B17" s="89" t="s">
        <v>261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20">
      <c r="B18" s="89" t="s">
        <v>115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20">
      <c r="B19" s="89" t="s">
        <v>251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2"/>
      <c r="R31" s="2"/>
      <c r="S31" s="2"/>
      <c r="T31" s="2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2"/>
      <c r="R32" s="2"/>
      <c r="S32" s="2"/>
      <c r="T32" s="2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2"/>
      <c r="R33" s="2"/>
      <c r="S33" s="2"/>
      <c r="T33" s="2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2"/>
      <c r="R34" s="2"/>
      <c r="S34" s="2"/>
      <c r="T34" s="2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2"/>
      <c r="R35" s="2"/>
      <c r="S35" s="2"/>
      <c r="T35" s="2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2"/>
      <c r="R36" s="2"/>
      <c r="S36" s="2"/>
      <c r="T36" s="2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"/>
      <c r="R37" s="2"/>
      <c r="S37" s="2"/>
      <c r="T37" s="2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2"/>
      <c r="R38" s="2"/>
      <c r="S38" s="2"/>
      <c r="T38" s="2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2"/>
      <c r="R39" s="2"/>
      <c r="S39" s="2"/>
      <c r="T39" s="2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2"/>
      <c r="R40" s="2"/>
      <c r="S40" s="2"/>
      <c r="T40" s="2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2"/>
      <c r="R41" s="2"/>
      <c r="S41" s="2"/>
      <c r="T41" s="2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2"/>
      <c r="R42" s="2"/>
      <c r="S42" s="2"/>
      <c r="T42" s="2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D114" s="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E31:XFD33 D1:P23 B1:B23 Q31:AC33 Q34:XFD1048576 Q1:XFD30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180</v>
      </c>
      <c r="C1" s="68" t="s" vm="1">
        <v>270</v>
      </c>
    </row>
    <row r="2" spans="2:67">
      <c r="B2" s="47" t="s">
        <v>179</v>
      </c>
      <c r="C2" s="68" t="s">
        <v>271</v>
      </c>
    </row>
    <row r="3" spans="2:67">
      <c r="B3" s="47" t="s">
        <v>181</v>
      </c>
      <c r="C3" s="68" t="s">
        <v>272</v>
      </c>
    </row>
    <row r="4" spans="2:67">
      <c r="B4" s="47" t="s">
        <v>182</v>
      </c>
      <c r="C4" s="68">
        <v>2102</v>
      </c>
    </row>
    <row r="6" spans="2:67" ht="26.25" customHeight="1">
      <c r="B6" s="169" t="s">
        <v>210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4"/>
      <c r="BO6" s="3"/>
    </row>
    <row r="7" spans="2:67" ht="26.25" customHeight="1">
      <c r="B7" s="169" t="s">
        <v>93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4"/>
      <c r="AZ7" s="42"/>
      <c r="BJ7" s="3"/>
      <c r="BO7" s="3"/>
    </row>
    <row r="8" spans="2:67" s="3" customFormat="1" ht="78.75">
      <c r="B8" s="37" t="s">
        <v>118</v>
      </c>
      <c r="C8" s="13" t="s">
        <v>47</v>
      </c>
      <c r="D8" s="13" t="s">
        <v>122</v>
      </c>
      <c r="E8" s="13" t="s">
        <v>228</v>
      </c>
      <c r="F8" s="13" t="s">
        <v>120</v>
      </c>
      <c r="G8" s="13" t="s">
        <v>68</v>
      </c>
      <c r="H8" s="13" t="s">
        <v>14</v>
      </c>
      <c r="I8" s="13" t="s">
        <v>69</v>
      </c>
      <c r="J8" s="13" t="s">
        <v>107</v>
      </c>
      <c r="K8" s="13" t="s">
        <v>17</v>
      </c>
      <c r="L8" s="13" t="s">
        <v>106</v>
      </c>
      <c r="M8" s="13" t="s">
        <v>16</v>
      </c>
      <c r="N8" s="13" t="s">
        <v>18</v>
      </c>
      <c r="O8" s="13" t="s">
        <v>245</v>
      </c>
      <c r="P8" s="13" t="s">
        <v>244</v>
      </c>
      <c r="Q8" s="13" t="s">
        <v>64</v>
      </c>
      <c r="R8" s="13" t="s">
        <v>61</v>
      </c>
      <c r="S8" s="13" t="s">
        <v>183</v>
      </c>
      <c r="T8" s="38" t="s">
        <v>185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252</v>
      </c>
      <c r="P9" s="16"/>
      <c r="Q9" s="16" t="s">
        <v>248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116</v>
      </c>
      <c r="R10" s="19" t="s">
        <v>117</v>
      </c>
      <c r="S10" s="44" t="s">
        <v>186</v>
      </c>
      <c r="T10" s="61" t="s">
        <v>229</v>
      </c>
      <c r="U10" s="5"/>
      <c r="BJ10" s="1"/>
      <c r="BK10" s="3"/>
      <c r="BL10" s="1"/>
      <c r="BO10" s="1"/>
    </row>
    <row r="11" spans="2:67" s="4" customFormat="1" ht="18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5"/>
      <c r="BJ11" s="1"/>
      <c r="BK11" s="3"/>
      <c r="BL11" s="1"/>
      <c r="BO11" s="1"/>
    </row>
    <row r="12" spans="2:67" ht="20.25">
      <c r="B12" s="89" t="s">
        <v>261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BK12" s="4"/>
    </row>
    <row r="13" spans="2:67">
      <c r="B13" s="89" t="s">
        <v>115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67">
      <c r="B14" s="89" t="s">
        <v>243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67">
      <c r="B15" s="89" t="s">
        <v>251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67" ht="20.2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BJ16" s="4"/>
    </row>
    <row r="17" spans="2:20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2:20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2:20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2:20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2:20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2:20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2:20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2:20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2:20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2:20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2:20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2:20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2:20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2:20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2:20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2:2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2:2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2:20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2:20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2:20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2:20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2:20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2:20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2:20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2:20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2:20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2:20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2:20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2:20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2:20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5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F363"/>
  <sheetViews>
    <sheetView rightToLeft="1" zoomScale="90" zoomScaleNormal="90" workbookViewId="0">
      <selection activeCell="G104" sqref="G104:G131"/>
    </sheetView>
  </sheetViews>
  <sheetFormatPr defaultColWidth="9.140625" defaultRowHeight="18"/>
  <cols>
    <col min="1" max="1" width="6.28515625" style="1" customWidth="1"/>
    <col min="2" max="2" width="43" style="2" bestFit="1" customWidth="1"/>
    <col min="3" max="3" width="35.42578125" style="2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9" style="1" bestFit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32">
      <c r="B1" s="47" t="s">
        <v>180</v>
      </c>
      <c r="C1" s="68" t="s" vm="1">
        <v>270</v>
      </c>
    </row>
    <row r="2" spans="2:32">
      <c r="B2" s="47" t="s">
        <v>179</v>
      </c>
      <c r="C2" s="68" t="s">
        <v>271</v>
      </c>
    </row>
    <row r="3" spans="2:32">
      <c r="B3" s="47" t="s">
        <v>181</v>
      </c>
      <c r="C3" s="68" t="s">
        <v>272</v>
      </c>
    </row>
    <row r="4" spans="2:32">
      <c r="B4" s="47" t="s">
        <v>182</v>
      </c>
      <c r="C4" s="68">
        <v>2102</v>
      </c>
    </row>
    <row r="6" spans="2:32" ht="26.25" customHeight="1">
      <c r="B6" s="163" t="s">
        <v>210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5"/>
      <c r="AF6" s="3"/>
    </row>
    <row r="7" spans="2:32" ht="26.25" customHeight="1">
      <c r="B7" s="163" t="s">
        <v>95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/>
      <c r="AB7" s="3"/>
      <c r="AF7" s="3"/>
    </row>
    <row r="8" spans="2:32" s="3" customFormat="1" ht="78.75">
      <c r="B8" s="22" t="s">
        <v>118</v>
      </c>
      <c r="C8" s="30" t="s">
        <v>47</v>
      </c>
      <c r="D8" s="30" t="s">
        <v>122</v>
      </c>
      <c r="E8" s="30" t="s">
        <v>228</v>
      </c>
      <c r="F8" s="30" t="s">
        <v>120</v>
      </c>
      <c r="G8" s="30" t="s">
        <v>68</v>
      </c>
      <c r="H8" s="30" t="s">
        <v>106</v>
      </c>
      <c r="I8" s="13" t="s">
        <v>245</v>
      </c>
      <c r="J8" s="13" t="s">
        <v>244</v>
      </c>
      <c r="K8" s="30" t="s">
        <v>260</v>
      </c>
      <c r="L8" s="13" t="s">
        <v>64</v>
      </c>
      <c r="M8" s="13" t="s">
        <v>61</v>
      </c>
      <c r="N8" s="13" t="s">
        <v>183</v>
      </c>
      <c r="O8" s="14" t="s">
        <v>185</v>
      </c>
      <c r="AB8" s="1"/>
      <c r="AC8" s="1"/>
      <c r="AD8" s="1"/>
      <c r="AF8" s="4"/>
    </row>
    <row r="9" spans="2:32" s="3" customFormat="1" ht="24" customHeight="1">
      <c r="B9" s="15"/>
      <c r="C9" s="16"/>
      <c r="D9" s="16"/>
      <c r="E9" s="16"/>
      <c r="F9" s="16"/>
      <c r="G9" s="16"/>
      <c r="H9" s="16"/>
      <c r="I9" s="16" t="s">
        <v>252</v>
      </c>
      <c r="J9" s="16"/>
      <c r="K9" s="16" t="s">
        <v>248</v>
      </c>
      <c r="L9" s="16" t="s">
        <v>248</v>
      </c>
      <c r="M9" s="16" t="s">
        <v>19</v>
      </c>
      <c r="N9" s="16" t="s">
        <v>19</v>
      </c>
      <c r="O9" s="17" t="s">
        <v>19</v>
      </c>
      <c r="AB9" s="1"/>
      <c r="AD9" s="1"/>
      <c r="AF9" s="4"/>
    </row>
    <row r="10" spans="2:3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AB10" s="1"/>
      <c r="AC10" s="3"/>
      <c r="AD10" s="1"/>
      <c r="AF10" s="1"/>
    </row>
    <row r="11" spans="2:32" s="123" customFormat="1" ht="18" customHeight="1">
      <c r="B11" s="69" t="s">
        <v>30</v>
      </c>
      <c r="C11" s="70"/>
      <c r="D11" s="70"/>
      <c r="E11" s="70"/>
      <c r="F11" s="70"/>
      <c r="G11" s="70"/>
      <c r="H11" s="70"/>
      <c r="I11" s="78"/>
      <c r="J11" s="80"/>
      <c r="K11" s="78">
        <v>4810.8798407070008</v>
      </c>
      <c r="L11" s="78">
        <v>7608956.0604538685</v>
      </c>
      <c r="M11" s="70"/>
      <c r="N11" s="79">
        <f>L11/$L$11</f>
        <v>1</v>
      </c>
      <c r="O11" s="79">
        <f>L11/'סכום נכסי הקרן'!$C$42</f>
        <v>0.1460702832561665</v>
      </c>
      <c r="AB11" s="122"/>
      <c r="AC11" s="127"/>
      <c r="AD11" s="122"/>
      <c r="AF11" s="122"/>
    </row>
    <row r="12" spans="2:32" s="122" customFormat="1" ht="20.25">
      <c r="B12" s="71" t="s">
        <v>238</v>
      </c>
      <c r="C12" s="72"/>
      <c r="D12" s="72"/>
      <c r="E12" s="72"/>
      <c r="F12" s="72"/>
      <c r="G12" s="72"/>
      <c r="H12" s="72"/>
      <c r="I12" s="81"/>
      <c r="J12" s="83"/>
      <c r="K12" s="81">
        <v>2552.4853170160004</v>
      </c>
      <c r="L12" s="81">
        <v>4849883.4624661049</v>
      </c>
      <c r="M12" s="72"/>
      <c r="N12" s="82">
        <f t="shared" ref="N12:N41" si="0">L12/$L$11</f>
        <v>0.63739144028869754</v>
      </c>
      <c r="O12" s="82">
        <f>L12/'סכום נכסי הקרן'!$C$42</f>
        <v>9.3103948228025979E-2</v>
      </c>
      <c r="AC12" s="123"/>
    </row>
    <row r="13" spans="2:32" s="122" customFormat="1">
      <c r="B13" s="92" t="s">
        <v>1156</v>
      </c>
      <c r="C13" s="72"/>
      <c r="D13" s="72"/>
      <c r="E13" s="72"/>
      <c r="F13" s="72"/>
      <c r="G13" s="72"/>
      <c r="H13" s="72"/>
      <c r="I13" s="81"/>
      <c r="J13" s="83"/>
      <c r="K13" s="81">
        <v>633.05105062999996</v>
      </c>
      <c r="L13" s="81">
        <v>3147922.9497501175</v>
      </c>
      <c r="M13" s="72"/>
      <c r="N13" s="82">
        <f t="shared" si="0"/>
        <v>0.41371285689384651</v>
      </c>
      <c r="O13" s="82">
        <f>L13/'סכום נכסי הקרן'!$C$42</f>
        <v>6.0431154193202039E-2</v>
      </c>
    </row>
    <row r="14" spans="2:32" s="122" customFormat="1">
      <c r="B14" s="77" t="s">
        <v>1157</v>
      </c>
      <c r="C14" s="74" t="s">
        <v>1158</v>
      </c>
      <c r="D14" s="87" t="s">
        <v>123</v>
      </c>
      <c r="E14" s="87" t="s">
        <v>352</v>
      </c>
      <c r="F14" s="74" t="s">
        <v>1159</v>
      </c>
      <c r="G14" s="87" t="s">
        <v>191</v>
      </c>
      <c r="H14" s="87" t="s">
        <v>165</v>
      </c>
      <c r="I14" s="84">
        <v>504909.64536899998</v>
      </c>
      <c r="J14" s="86">
        <v>24100</v>
      </c>
      <c r="K14" s="74"/>
      <c r="L14" s="84">
        <v>121683.22469548398</v>
      </c>
      <c r="M14" s="85">
        <v>9.8940486067156906E-3</v>
      </c>
      <c r="N14" s="85">
        <f t="shared" si="0"/>
        <v>1.599210505734287E-2</v>
      </c>
      <c r="O14" s="85">
        <f>L14/'סכום נכסי הקרן'!$C$42</f>
        <v>2.3359713155884456E-3</v>
      </c>
    </row>
    <row r="15" spans="2:32" s="122" customFormat="1">
      <c r="B15" s="77" t="s">
        <v>1160</v>
      </c>
      <c r="C15" s="74" t="s">
        <v>1161</v>
      </c>
      <c r="D15" s="87" t="s">
        <v>123</v>
      </c>
      <c r="E15" s="87" t="s">
        <v>352</v>
      </c>
      <c r="F15" s="74">
        <v>1760</v>
      </c>
      <c r="G15" s="87" t="s">
        <v>755</v>
      </c>
      <c r="H15" s="87" t="s">
        <v>165</v>
      </c>
      <c r="I15" s="84">
        <v>36557.336052999999</v>
      </c>
      <c r="J15" s="86">
        <v>37960</v>
      </c>
      <c r="K15" s="84">
        <v>97.745187447999996</v>
      </c>
      <c r="L15" s="84">
        <v>13974.909952079001</v>
      </c>
      <c r="M15" s="85">
        <v>3.4233786597599026E-4</v>
      </c>
      <c r="N15" s="85">
        <f t="shared" si="0"/>
        <v>1.8366395916926096E-3</v>
      </c>
      <c r="O15" s="85">
        <f>L15/'סכום נכסי הקרן'!$C$42</f>
        <v>2.6827846539802946E-4</v>
      </c>
    </row>
    <row r="16" spans="2:32" s="122" customFormat="1" ht="20.25">
      <c r="B16" s="77" t="s">
        <v>1162</v>
      </c>
      <c r="C16" s="74" t="s">
        <v>1163</v>
      </c>
      <c r="D16" s="87" t="s">
        <v>123</v>
      </c>
      <c r="E16" s="87" t="s">
        <v>352</v>
      </c>
      <c r="F16" s="74" t="s">
        <v>455</v>
      </c>
      <c r="G16" s="87" t="s">
        <v>3376</v>
      </c>
      <c r="H16" s="87" t="s">
        <v>165</v>
      </c>
      <c r="I16" s="84">
        <v>1414307.8199</v>
      </c>
      <c r="J16" s="86">
        <v>5200</v>
      </c>
      <c r="K16" s="74"/>
      <c r="L16" s="84">
        <v>73544.006634788006</v>
      </c>
      <c r="M16" s="85">
        <v>1.075606039316176E-2</v>
      </c>
      <c r="N16" s="85">
        <f t="shared" si="0"/>
        <v>9.6654529281643871E-3</v>
      </c>
      <c r="O16" s="85">
        <f>L16/'סכום נכסי הקרן'!$C$42</f>
        <v>1.4118354470161159E-3</v>
      </c>
      <c r="AB16" s="123"/>
    </row>
    <row r="17" spans="2:15" s="122" customFormat="1">
      <c r="B17" s="77" t="s">
        <v>1164</v>
      </c>
      <c r="C17" s="74" t="s">
        <v>1165</v>
      </c>
      <c r="D17" s="87" t="s">
        <v>123</v>
      </c>
      <c r="E17" s="87" t="s">
        <v>352</v>
      </c>
      <c r="F17" s="74" t="s">
        <v>744</v>
      </c>
      <c r="G17" s="87" t="s">
        <v>745</v>
      </c>
      <c r="H17" s="87" t="s">
        <v>165</v>
      </c>
      <c r="I17" s="84">
        <v>372109.16554099997</v>
      </c>
      <c r="J17" s="86">
        <v>46240</v>
      </c>
      <c r="K17" s="74"/>
      <c r="L17" s="84">
        <v>172063.27814513797</v>
      </c>
      <c r="M17" s="85">
        <v>8.4190774977470854E-3</v>
      </c>
      <c r="N17" s="85">
        <f t="shared" si="0"/>
        <v>2.2613256901219972E-2</v>
      </c>
      <c r="O17" s="85">
        <f>L17/'סכום נכסי הקרן'!$C$42</f>
        <v>3.303124840905663E-3</v>
      </c>
    </row>
    <row r="18" spans="2:15" s="122" customFormat="1">
      <c r="B18" s="77" t="s">
        <v>1166</v>
      </c>
      <c r="C18" s="74" t="s">
        <v>1167</v>
      </c>
      <c r="D18" s="87" t="s">
        <v>123</v>
      </c>
      <c r="E18" s="87" t="s">
        <v>352</v>
      </c>
      <c r="F18" s="74" t="s">
        <v>853</v>
      </c>
      <c r="G18" s="87" t="s">
        <v>721</v>
      </c>
      <c r="H18" s="87" t="s">
        <v>165</v>
      </c>
      <c r="I18" s="84">
        <v>99546.254952999981</v>
      </c>
      <c r="J18" s="86">
        <v>148890</v>
      </c>
      <c r="K18" s="74"/>
      <c r="L18" s="84">
        <v>148214.41900001801</v>
      </c>
      <c r="M18" s="85">
        <v>2.6497033565591469E-2</v>
      </c>
      <c r="N18" s="85">
        <f t="shared" si="0"/>
        <v>1.9478942685756177E-2</v>
      </c>
      <c r="O18" s="85">
        <f>L18/'סכום נכסי הקרן'!$C$42</f>
        <v>2.8452946756390373E-3</v>
      </c>
    </row>
    <row r="19" spans="2:15" s="122" customFormat="1">
      <c r="B19" s="77" t="s">
        <v>1168</v>
      </c>
      <c r="C19" s="74" t="s">
        <v>1169</v>
      </c>
      <c r="D19" s="87" t="s">
        <v>123</v>
      </c>
      <c r="E19" s="87" t="s">
        <v>352</v>
      </c>
      <c r="F19" s="74" t="s">
        <v>463</v>
      </c>
      <c r="G19" s="87" t="s">
        <v>3376</v>
      </c>
      <c r="H19" s="87" t="s">
        <v>165</v>
      </c>
      <c r="I19" s="84">
        <v>3179585.8276490001</v>
      </c>
      <c r="J19" s="86">
        <v>2100</v>
      </c>
      <c r="K19" s="74"/>
      <c r="L19" s="84">
        <v>66771.302380620007</v>
      </c>
      <c r="M19" s="85">
        <v>8.3346483809626955E-3</v>
      </c>
      <c r="N19" s="85">
        <f t="shared" si="0"/>
        <v>8.7753565469580533E-3</v>
      </c>
      <c r="O19" s="85">
        <f>L19/'סכום נכסי הקרן'!$C$42</f>
        <v>1.2818188164880179E-3</v>
      </c>
    </row>
    <row r="20" spans="2:15" s="122" customFormat="1">
      <c r="B20" s="77" t="s">
        <v>1170</v>
      </c>
      <c r="C20" s="74" t="s">
        <v>1171</v>
      </c>
      <c r="D20" s="87" t="s">
        <v>123</v>
      </c>
      <c r="E20" s="87" t="s">
        <v>352</v>
      </c>
      <c r="F20" s="74" t="s">
        <v>1172</v>
      </c>
      <c r="G20" s="87" t="s">
        <v>149</v>
      </c>
      <c r="H20" s="87" t="s">
        <v>165</v>
      </c>
      <c r="I20" s="84">
        <v>192391.29332200001</v>
      </c>
      <c r="J20" s="86">
        <v>2578</v>
      </c>
      <c r="K20" s="74"/>
      <c r="L20" s="84">
        <v>4959.8475418469998</v>
      </c>
      <c r="M20" s="85">
        <v>1.086407694664694E-3</v>
      </c>
      <c r="N20" s="85">
        <f t="shared" si="0"/>
        <v>6.5184336753170162E-4</v>
      </c>
      <c r="O20" s="85">
        <f>L20/'סכום נכסי הקרן'!$C$42</f>
        <v>9.5214945334009111E-5</v>
      </c>
    </row>
    <row r="21" spans="2:15" s="122" customFormat="1">
      <c r="B21" s="77" t="s">
        <v>1173</v>
      </c>
      <c r="C21" s="74" t="s">
        <v>1174</v>
      </c>
      <c r="D21" s="87" t="s">
        <v>123</v>
      </c>
      <c r="E21" s="87" t="s">
        <v>352</v>
      </c>
      <c r="F21" s="74" t="s">
        <v>552</v>
      </c>
      <c r="G21" s="87" t="s">
        <v>192</v>
      </c>
      <c r="H21" s="87" t="s">
        <v>165</v>
      </c>
      <c r="I21" s="84">
        <v>34913509.078783996</v>
      </c>
      <c r="J21" s="86">
        <v>256.8</v>
      </c>
      <c r="K21" s="74"/>
      <c r="L21" s="84">
        <v>89657.891314784007</v>
      </c>
      <c r="M21" s="85">
        <v>1.2624729323197493E-2</v>
      </c>
      <c r="N21" s="85">
        <f t="shared" si="0"/>
        <v>1.1783205291559533E-2</v>
      </c>
      <c r="O21" s="85">
        <f>L21/'סכום נכסי הקרן'!$C$42</f>
        <v>1.7211761346036609E-3</v>
      </c>
    </row>
    <row r="22" spans="2:15" s="122" customFormat="1">
      <c r="B22" s="77" t="s">
        <v>1175</v>
      </c>
      <c r="C22" s="74" t="s">
        <v>1176</v>
      </c>
      <c r="D22" s="87" t="s">
        <v>123</v>
      </c>
      <c r="E22" s="87" t="s">
        <v>352</v>
      </c>
      <c r="F22" s="74" t="s">
        <v>369</v>
      </c>
      <c r="G22" s="87" t="s">
        <v>362</v>
      </c>
      <c r="H22" s="87" t="s">
        <v>165</v>
      </c>
      <c r="I22" s="84">
        <v>850357.59974500001</v>
      </c>
      <c r="J22" s="86">
        <v>8676</v>
      </c>
      <c r="K22" s="74"/>
      <c r="L22" s="84">
        <v>73777.025353913996</v>
      </c>
      <c r="M22" s="85">
        <v>8.4756031169229071E-3</v>
      </c>
      <c r="N22" s="85">
        <f t="shared" si="0"/>
        <v>9.6960771974169153E-3</v>
      </c>
      <c r="O22" s="85">
        <f>L22/'סכום נכסי הקרן'!$C$42</f>
        <v>1.4163087427003457E-3</v>
      </c>
    </row>
    <row r="23" spans="2:15" s="122" customFormat="1">
      <c r="B23" s="77" t="s">
        <v>1177</v>
      </c>
      <c r="C23" s="74" t="s">
        <v>1178</v>
      </c>
      <c r="D23" s="87" t="s">
        <v>123</v>
      </c>
      <c r="E23" s="87" t="s">
        <v>352</v>
      </c>
      <c r="F23" s="74" t="s">
        <v>711</v>
      </c>
      <c r="G23" s="87" t="s">
        <v>492</v>
      </c>
      <c r="H23" s="87" t="s">
        <v>165</v>
      </c>
      <c r="I23" s="84">
        <v>37238146.711603999</v>
      </c>
      <c r="J23" s="86">
        <v>97.1</v>
      </c>
      <c r="K23" s="74"/>
      <c r="L23" s="84">
        <v>36158.240457978005</v>
      </c>
      <c r="M23" s="85">
        <v>1.1616181773824421E-2</v>
      </c>
      <c r="N23" s="85">
        <f t="shared" si="0"/>
        <v>4.7520632489788869E-3</v>
      </c>
      <c r="O23" s="85">
        <f>L23/'סכום נכסי הקרן'!$C$42</f>
        <v>6.9413522482956493E-4</v>
      </c>
    </row>
    <row r="24" spans="2:15" s="122" customFormat="1">
      <c r="B24" s="77" t="s">
        <v>1179</v>
      </c>
      <c r="C24" s="74" t="s">
        <v>1180</v>
      </c>
      <c r="D24" s="87" t="s">
        <v>123</v>
      </c>
      <c r="E24" s="87" t="s">
        <v>352</v>
      </c>
      <c r="F24" s="74" t="s">
        <v>421</v>
      </c>
      <c r="G24" s="87" t="s">
        <v>362</v>
      </c>
      <c r="H24" s="87" t="s">
        <v>165</v>
      </c>
      <c r="I24" s="84">
        <v>12781592.226005999</v>
      </c>
      <c r="J24" s="86">
        <v>1050</v>
      </c>
      <c r="K24" s="84">
        <v>535.30586318200005</v>
      </c>
      <c r="L24" s="84">
        <v>134742.02423624901</v>
      </c>
      <c r="M24" s="85">
        <v>1.0980589031663733E-2</v>
      </c>
      <c r="N24" s="85">
        <f t="shared" si="0"/>
        <v>1.7708345687070737E-2</v>
      </c>
      <c r="O24" s="85">
        <f>L24/'סכום נכסי הקרן'!$C$42</f>
        <v>2.5866630705085368E-3</v>
      </c>
    </row>
    <row r="25" spans="2:15" s="122" customFormat="1">
      <c r="B25" s="77" t="s">
        <v>1181</v>
      </c>
      <c r="C25" s="74" t="s">
        <v>1182</v>
      </c>
      <c r="D25" s="87" t="s">
        <v>123</v>
      </c>
      <c r="E25" s="87" t="s">
        <v>352</v>
      </c>
      <c r="F25" s="74" t="s">
        <v>943</v>
      </c>
      <c r="G25" s="87" t="s">
        <v>149</v>
      </c>
      <c r="H25" s="87" t="s">
        <v>165</v>
      </c>
      <c r="I25" s="84">
        <v>17892338.789189</v>
      </c>
      <c r="J25" s="86">
        <v>297</v>
      </c>
      <c r="K25" s="74"/>
      <c r="L25" s="84">
        <v>53140.246207261</v>
      </c>
      <c r="M25" s="85">
        <v>1.5242899008144208E-2</v>
      </c>
      <c r="N25" s="85">
        <f t="shared" si="0"/>
        <v>6.9839076195284564E-3</v>
      </c>
      <c r="O25" s="85">
        <f>L25/'סכום נכסי הקרן'!$C$42</f>
        <v>1.0201413642194211E-3</v>
      </c>
    </row>
    <row r="26" spans="2:15" s="122" customFormat="1">
      <c r="B26" s="77" t="s">
        <v>1183</v>
      </c>
      <c r="C26" s="74" t="s">
        <v>1184</v>
      </c>
      <c r="D26" s="87" t="s">
        <v>123</v>
      </c>
      <c r="E26" s="87" t="s">
        <v>352</v>
      </c>
      <c r="F26" s="74" t="s">
        <v>644</v>
      </c>
      <c r="G26" s="87" t="s">
        <v>488</v>
      </c>
      <c r="H26" s="87" t="s">
        <v>165</v>
      </c>
      <c r="I26" s="84">
        <v>2980300.5115899998</v>
      </c>
      <c r="J26" s="86">
        <v>1700</v>
      </c>
      <c r="K26" s="74"/>
      <c r="L26" s="84">
        <v>50665.108697031996</v>
      </c>
      <c r="M26" s="85">
        <v>1.1634833743805705E-2</v>
      </c>
      <c r="N26" s="85">
        <f t="shared" si="0"/>
        <v>6.658614965639565E-3</v>
      </c>
      <c r="O26" s="85">
        <f>L26/'סכום נכסי הקרן'!$C$42</f>
        <v>9.7262577412472056E-4</v>
      </c>
    </row>
    <row r="27" spans="2:15" s="122" customFormat="1">
      <c r="B27" s="77" t="s">
        <v>1185</v>
      </c>
      <c r="C27" s="74" t="s">
        <v>1186</v>
      </c>
      <c r="D27" s="87" t="s">
        <v>123</v>
      </c>
      <c r="E27" s="87" t="s">
        <v>352</v>
      </c>
      <c r="F27" s="74" t="s">
        <v>487</v>
      </c>
      <c r="G27" s="87" t="s">
        <v>488</v>
      </c>
      <c r="H27" s="87" t="s">
        <v>165</v>
      </c>
      <c r="I27" s="84">
        <v>2246879.6646890002</v>
      </c>
      <c r="J27" s="86">
        <v>1940</v>
      </c>
      <c r="K27" s="74"/>
      <c r="L27" s="84">
        <v>43589.465494960001</v>
      </c>
      <c r="M27" s="85">
        <v>1.0480886858555721E-2</v>
      </c>
      <c r="N27" s="85">
        <f t="shared" si="0"/>
        <v>5.728705113899675E-3</v>
      </c>
      <c r="O27" s="85">
        <f>L27/'סכום נכסי הקרן'!$C$42</f>
        <v>8.3679357867837503E-4</v>
      </c>
    </row>
    <row r="28" spans="2:15" s="122" customFormat="1">
      <c r="B28" s="77" t="s">
        <v>1187</v>
      </c>
      <c r="C28" s="74" t="s">
        <v>1188</v>
      </c>
      <c r="D28" s="87" t="s">
        <v>123</v>
      </c>
      <c r="E28" s="87" t="s">
        <v>352</v>
      </c>
      <c r="F28" s="74" t="s">
        <v>1189</v>
      </c>
      <c r="G28" s="87" t="s">
        <v>1190</v>
      </c>
      <c r="H28" s="87" t="s">
        <v>165</v>
      </c>
      <c r="I28" s="84">
        <v>590657.05460999999</v>
      </c>
      <c r="J28" s="86">
        <v>5700</v>
      </c>
      <c r="K28" s="74"/>
      <c r="L28" s="84">
        <v>33667.452090473002</v>
      </c>
      <c r="M28" s="85">
        <v>5.5300787997558838E-3</v>
      </c>
      <c r="N28" s="85">
        <f t="shared" si="0"/>
        <v>4.4247136956741427E-3</v>
      </c>
      <c r="O28" s="85">
        <f>L28/'סכום נכסי הקרן'!$C$42</f>
        <v>6.4631918285456126E-4</v>
      </c>
    </row>
    <row r="29" spans="2:15" s="122" customFormat="1">
      <c r="B29" s="77" t="s">
        <v>1191</v>
      </c>
      <c r="C29" s="74" t="s">
        <v>1192</v>
      </c>
      <c r="D29" s="87" t="s">
        <v>123</v>
      </c>
      <c r="E29" s="87" t="s">
        <v>352</v>
      </c>
      <c r="F29" s="74" t="s">
        <v>966</v>
      </c>
      <c r="G29" s="87" t="s">
        <v>967</v>
      </c>
      <c r="H29" s="87" t="s">
        <v>165</v>
      </c>
      <c r="I29" s="84">
        <v>1260963.870775</v>
      </c>
      <c r="J29" s="86">
        <v>3258</v>
      </c>
      <c r="K29" s="74"/>
      <c r="L29" s="84">
        <v>41082.202909840002</v>
      </c>
      <c r="M29" s="85">
        <v>1.153754492739838E-3</v>
      </c>
      <c r="N29" s="85">
        <f t="shared" si="0"/>
        <v>5.3991904518094274E-3</v>
      </c>
      <c r="O29" s="85">
        <f>L29/'סכום נכסי הקרן'!$C$42</f>
        <v>7.8866127864979266E-4</v>
      </c>
    </row>
    <row r="30" spans="2:15" s="122" customFormat="1">
      <c r="B30" s="77" t="s">
        <v>1193</v>
      </c>
      <c r="C30" s="74" t="s">
        <v>1194</v>
      </c>
      <c r="D30" s="87" t="s">
        <v>123</v>
      </c>
      <c r="E30" s="87" t="s">
        <v>352</v>
      </c>
      <c r="F30" s="74" t="s">
        <v>774</v>
      </c>
      <c r="G30" s="87" t="s">
        <v>548</v>
      </c>
      <c r="H30" s="87" t="s">
        <v>165</v>
      </c>
      <c r="I30" s="84">
        <v>16173856.770662</v>
      </c>
      <c r="J30" s="86">
        <v>1128</v>
      </c>
      <c r="K30" s="74"/>
      <c r="L30" s="84">
        <v>182441.10437307204</v>
      </c>
      <c r="M30" s="85">
        <v>1.2631373565915514E-2</v>
      </c>
      <c r="N30" s="85">
        <f t="shared" si="0"/>
        <v>2.3977153097423664E-2</v>
      </c>
      <c r="O30" s="85">
        <f>L30/'סכום נכסי הקרן'!$C$42</f>
        <v>3.5023495446171449E-3</v>
      </c>
    </row>
    <row r="31" spans="2:15" s="122" customFormat="1">
      <c r="B31" s="77" t="s">
        <v>1195</v>
      </c>
      <c r="C31" s="74" t="s">
        <v>1196</v>
      </c>
      <c r="D31" s="87" t="s">
        <v>123</v>
      </c>
      <c r="E31" s="87" t="s">
        <v>352</v>
      </c>
      <c r="F31" s="74" t="s">
        <v>375</v>
      </c>
      <c r="G31" s="87" t="s">
        <v>362</v>
      </c>
      <c r="H31" s="87" t="s">
        <v>165</v>
      </c>
      <c r="I31" s="84">
        <v>18774243.151174001</v>
      </c>
      <c r="J31" s="86">
        <v>1960</v>
      </c>
      <c r="K31" s="74"/>
      <c r="L31" s="84">
        <v>367975.16576301301</v>
      </c>
      <c r="M31" s="85">
        <v>1.2902407398856567E-2</v>
      </c>
      <c r="N31" s="85">
        <f t="shared" si="0"/>
        <v>4.8360795204942159E-2</v>
      </c>
      <c r="O31" s="85">
        <f>L31/'סכום נכסי הקרן'!$C$42</f>
        <v>7.0640750540793594E-3</v>
      </c>
    </row>
    <row r="32" spans="2:15" s="122" customFormat="1">
      <c r="B32" s="77" t="s">
        <v>1197</v>
      </c>
      <c r="C32" s="74" t="s">
        <v>1198</v>
      </c>
      <c r="D32" s="87" t="s">
        <v>123</v>
      </c>
      <c r="E32" s="87" t="s">
        <v>352</v>
      </c>
      <c r="F32" s="74" t="s">
        <v>517</v>
      </c>
      <c r="G32" s="87" t="s">
        <v>3376</v>
      </c>
      <c r="H32" s="87" t="s">
        <v>165</v>
      </c>
      <c r="I32" s="84">
        <v>8114643.1559319999</v>
      </c>
      <c r="J32" s="86">
        <v>771</v>
      </c>
      <c r="K32" s="74"/>
      <c r="L32" s="84">
        <v>62563.898732234004</v>
      </c>
      <c r="M32" s="85">
        <v>9.9819621222213203E-3</v>
      </c>
      <c r="N32" s="85">
        <f t="shared" si="0"/>
        <v>8.222402420931068E-3</v>
      </c>
      <c r="O32" s="85">
        <f>L32/'סכום נכסי הקרן'!$C$42</f>
        <v>1.2010486506715901E-3</v>
      </c>
    </row>
    <row r="33" spans="2:15" s="122" customFormat="1">
      <c r="B33" s="77" t="s">
        <v>1199</v>
      </c>
      <c r="C33" s="74" t="s">
        <v>1200</v>
      </c>
      <c r="D33" s="87" t="s">
        <v>123</v>
      </c>
      <c r="E33" s="87" t="s">
        <v>352</v>
      </c>
      <c r="F33" s="74" t="s">
        <v>380</v>
      </c>
      <c r="G33" s="87" t="s">
        <v>362</v>
      </c>
      <c r="H33" s="87" t="s">
        <v>165</v>
      </c>
      <c r="I33" s="84">
        <v>3040662.2684789998</v>
      </c>
      <c r="J33" s="86">
        <v>6623</v>
      </c>
      <c r="K33" s="74"/>
      <c r="L33" s="84">
        <v>201383.06204133498</v>
      </c>
      <c r="M33" s="85">
        <v>1.2938844727800446E-2</v>
      </c>
      <c r="N33" s="85">
        <f t="shared" si="0"/>
        <v>2.6466582332888729E-2</v>
      </c>
      <c r="O33" s="85">
        <f>L33/'סכום נכסי הקרן'!$C$42</f>
        <v>3.8659811781877086E-3</v>
      </c>
    </row>
    <row r="34" spans="2:15" s="122" customFormat="1">
      <c r="B34" s="77" t="s">
        <v>1201</v>
      </c>
      <c r="C34" s="74" t="s">
        <v>1202</v>
      </c>
      <c r="D34" s="87" t="s">
        <v>123</v>
      </c>
      <c r="E34" s="87" t="s">
        <v>352</v>
      </c>
      <c r="F34" s="74" t="s">
        <v>520</v>
      </c>
      <c r="G34" s="87" t="s">
        <v>3376</v>
      </c>
      <c r="H34" s="87" t="s">
        <v>165</v>
      </c>
      <c r="I34" s="84">
        <v>708533.79312900011</v>
      </c>
      <c r="J34" s="86">
        <v>13830</v>
      </c>
      <c r="K34" s="74"/>
      <c r="L34" s="84">
        <v>97990.223588911002</v>
      </c>
      <c r="M34" s="85">
        <v>1.4935833221623831E-2</v>
      </c>
      <c r="N34" s="85">
        <f t="shared" si="0"/>
        <v>1.2878274340181425E-2</v>
      </c>
      <c r="O34" s="85">
        <f>L34/'סכום נכסי הקרן'!$C$42</f>
        <v>1.8811331807209216E-3</v>
      </c>
    </row>
    <row r="35" spans="2:15" s="122" customFormat="1">
      <c r="B35" s="77" t="s">
        <v>1203</v>
      </c>
      <c r="C35" s="74" t="s">
        <v>1204</v>
      </c>
      <c r="D35" s="87" t="s">
        <v>123</v>
      </c>
      <c r="E35" s="87" t="s">
        <v>352</v>
      </c>
      <c r="F35" s="74" t="s">
        <v>1205</v>
      </c>
      <c r="G35" s="87" t="s">
        <v>193</v>
      </c>
      <c r="H35" s="87" t="s">
        <v>165</v>
      </c>
      <c r="I35" s="84">
        <v>124268.476283</v>
      </c>
      <c r="J35" s="86">
        <v>52350</v>
      </c>
      <c r="K35" s="74"/>
      <c r="L35" s="84">
        <v>65054.547334211995</v>
      </c>
      <c r="M35" s="85">
        <v>2.0000151332042184E-3</v>
      </c>
      <c r="N35" s="85">
        <f t="shared" si="0"/>
        <v>8.5497336056809276E-3</v>
      </c>
      <c r="O35" s="85">
        <f>L35/'סכום נכסי הקרן'!$C$42</f>
        <v>1.2488620095465787E-3</v>
      </c>
    </row>
    <row r="36" spans="2:15" s="122" customFormat="1">
      <c r="B36" s="77" t="s">
        <v>1206</v>
      </c>
      <c r="C36" s="74" t="s">
        <v>1207</v>
      </c>
      <c r="D36" s="87" t="s">
        <v>123</v>
      </c>
      <c r="E36" s="87" t="s">
        <v>352</v>
      </c>
      <c r="F36" s="74" t="s">
        <v>405</v>
      </c>
      <c r="G36" s="87" t="s">
        <v>362</v>
      </c>
      <c r="H36" s="87" t="s">
        <v>165</v>
      </c>
      <c r="I36" s="84">
        <v>17122410.915476002</v>
      </c>
      <c r="J36" s="86">
        <v>2131</v>
      </c>
      <c r="K36" s="74"/>
      <c r="L36" s="84">
        <v>364878.57660768199</v>
      </c>
      <c r="M36" s="85">
        <v>1.2822058875791945E-2</v>
      </c>
      <c r="N36" s="85">
        <f t="shared" si="0"/>
        <v>4.7953828844415389E-2</v>
      </c>
      <c r="O36" s="85">
        <f>L36/'סכום נכסי הקרן'!$C$42</f>
        <v>7.0046293625214825E-3</v>
      </c>
    </row>
    <row r="37" spans="2:15" s="122" customFormat="1">
      <c r="B37" s="77" t="s">
        <v>1208</v>
      </c>
      <c r="C37" s="74" t="s">
        <v>1209</v>
      </c>
      <c r="D37" s="87" t="s">
        <v>123</v>
      </c>
      <c r="E37" s="87" t="s">
        <v>352</v>
      </c>
      <c r="F37" s="74" t="s">
        <v>1210</v>
      </c>
      <c r="G37" s="87" t="s">
        <v>967</v>
      </c>
      <c r="H37" s="87" t="s">
        <v>165</v>
      </c>
      <c r="I37" s="84">
        <v>343141.93733799999</v>
      </c>
      <c r="J37" s="86">
        <v>17380</v>
      </c>
      <c r="K37" s="74"/>
      <c r="L37" s="84">
        <v>59638.068709387997</v>
      </c>
      <c r="M37" s="85">
        <v>2.5245056414996071E-3</v>
      </c>
      <c r="N37" s="85">
        <f t="shared" si="0"/>
        <v>7.8378779211705201E-3</v>
      </c>
      <c r="O37" s="85">
        <f>L37/'סכום נכסי הקרן'!$C$42</f>
        <v>1.1448810480726313E-3</v>
      </c>
    </row>
    <row r="38" spans="2:15" s="122" customFormat="1">
      <c r="B38" s="77" t="s">
        <v>1211</v>
      </c>
      <c r="C38" s="74" t="s">
        <v>1212</v>
      </c>
      <c r="D38" s="87" t="s">
        <v>123</v>
      </c>
      <c r="E38" s="87" t="s">
        <v>352</v>
      </c>
      <c r="F38" s="74" t="s">
        <v>440</v>
      </c>
      <c r="G38" s="87" t="s">
        <v>3376</v>
      </c>
      <c r="H38" s="87" t="s">
        <v>165</v>
      </c>
      <c r="I38" s="84">
        <v>1229879.0018889999</v>
      </c>
      <c r="J38" s="86">
        <v>20480</v>
      </c>
      <c r="K38" s="74"/>
      <c r="L38" s="84">
        <v>251879.21958676702</v>
      </c>
      <c r="M38" s="85">
        <v>1.0141428313241984E-2</v>
      </c>
      <c r="N38" s="85">
        <f t="shared" si="0"/>
        <v>3.3102993049974667E-2</v>
      </c>
      <c r="O38" s="85">
        <f>L38/'סכום נכסי הקרן'!$C$42</f>
        <v>4.8353635714367101E-3</v>
      </c>
    </row>
    <row r="39" spans="2:15" s="122" customFormat="1">
      <c r="B39" s="77" t="s">
        <v>1213</v>
      </c>
      <c r="C39" s="74" t="s">
        <v>1214</v>
      </c>
      <c r="D39" s="87" t="s">
        <v>123</v>
      </c>
      <c r="E39" s="87" t="s">
        <v>352</v>
      </c>
      <c r="F39" s="74" t="s">
        <v>542</v>
      </c>
      <c r="G39" s="87" t="s">
        <v>154</v>
      </c>
      <c r="H39" s="87" t="s">
        <v>165</v>
      </c>
      <c r="I39" s="84">
        <v>4105868.2447070004</v>
      </c>
      <c r="J39" s="86">
        <v>2010</v>
      </c>
      <c r="K39" s="74"/>
      <c r="L39" s="84">
        <v>82527.951719725999</v>
      </c>
      <c r="M39" s="85">
        <v>1.7240216802334649E-2</v>
      </c>
      <c r="N39" s="85">
        <f t="shared" si="0"/>
        <v>1.084615958668097E-2</v>
      </c>
      <c r="O39" s="85">
        <f>L39/'סכום נכסי הקרן'!$C$42</f>
        <v>1.5843016030680753E-3</v>
      </c>
    </row>
    <row r="40" spans="2:15" s="122" customFormat="1">
      <c r="B40" s="77" t="s">
        <v>1215</v>
      </c>
      <c r="C40" s="74" t="s">
        <v>1216</v>
      </c>
      <c r="D40" s="87" t="s">
        <v>123</v>
      </c>
      <c r="E40" s="87" t="s">
        <v>352</v>
      </c>
      <c r="F40" s="74" t="s">
        <v>754</v>
      </c>
      <c r="G40" s="87" t="s">
        <v>755</v>
      </c>
      <c r="H40" s="87" t="s">
        <v>165</v>
      </c>
      <c r="I40" s="84">
        <v>1462847.2642059999</v>
      </c>
      <c r="J40" s="86">
        <v>9250</v>
      </c>
      <c r="K40" s="74"/>
      <c r="L40" s="84">
        <v>135313.37193908001</v>
      </c>
      <c r="M40" s="85">
        <v>1.2632657741771049E-2</v>
      </c>
      <c r="N40" s="85">
        <f t="shared" si="0"/>
        <v>1.7783434529520553E-2</v>
      </c>
      <c r="O40" s="85">
        <f>L40/'סכום נכסי הקרן'!$C$42</f>
        <v>2.5976313189945595E-3</v>
      </c>
    </row>
    <row r="41" spans="2:15" s="122" customFormat="1">
      <c r="B41" s="77" t="s">
        <v>1217</v>
      </c>
      <c r="C41" s="74" t="s">
        <v>1218</v>
      </c>
      <c r="D41" s="87" t="s">
        <v>123</v>
      </c>
      <c r="E41" s="87" t="s">
        <v>352</v>
      </c>
      <c r="F41" s="74" t="s">
        <v>885</v>
      </c>
      <c r="G41" s="87" t="s">
        <v>886</v>
      </c>
      <c r="H41" s="87" t="s">
        <v>165</v>
      </c>
      <c r="I41" s="84">
        <v>5226404.3297589999</v>
      </c>
      <c r="J41" s="86">
        <v>2269</v>
      </c>
      <c r="K41" s="74"/>
      <c r="L41" s="84">
        <v>118587.11424223299</v>
      </c>
      <c r="M41" s="85">
        <v>1.467073560599824E-2</v>
      </c>
      <c r="N41" s="85">
        <f t="shared" si="0"/>
        <v>1.5585201609793414E-2</v>
      </c>
      <c r="O41" s="85">
        <f>L41/'סכום נכסי הקרן'!$C$42</f>
        <v>2.2765348137469862E-3</v>
      </c>
    </row>
    <row r="42" spans="2:15" s="122" customFormat="1">
      <c r="B42" s="73"/>
      <c r="C42" s="74"/>
      <c r="D42" s="74"/>
      <c r="E42" s="74"/>
      <c r="F42" s="74"/>
      <c r="G42" s="74"/>
      <c r="H42" s="74"/>
      <c r="I42" s="84"/>
      <c r="J42" s="86"/>
      <c r="K42" s="74"/>
      <c r="L42" s="74"/>
      <c r="M42" s="74"/>
      <c r="N42" s="85"/>
      <c r="O42" s="74"/>
    </row>
    <row r="43" spans="2:15" s="122" customFormat="1">
      <c r="B43" s="92" t="s">
        <v>1219</v>
      </c>
      <c r="C43" s="72"/>
      <c r="D43" s="72"/>
      <c r="E43" s="72"/>
      <c r="F43" s="72"/>
      <c r="G43" s="72"/>
      <c r="H43" s="72"/>
      <c r="I43" s="81"/>
      <c r="J43" s="83"/>
      <c r="K43" s="81">
        <v>1755.1427991109999</v>
      </c>
      <c r="L43" s="81">
        <v>1433190.4013560722</v>
      </c>
      <c r="M43" s="72"/>
      <c r="N43" s="82">
        <f t="shared" ref="N43:N83" si="1">L43/$L$11</f>
        <v>0.18835572054421659</v>
      </c>
      <c r="O43" s="82">
        <f>L43/'סכום נכסי הקרן'!$C$42</f>
        <v>2.751317345281306E-2</v>
      </c>
    </row>
    <row r="44" spans="2:15" s="122" customFormat="1">
      <c r="B44" s="77" t="s">
        <v>1220</v>
      </c>
      <c r="C44" s="74" t="s">
        <v>1221</v>
      </c>
      <c r="D44" s="87" t="s">
        <v>123</v>
      </c>
      <c r="E44" s="87" t="s">
        <v>352</v>
      </c>
      <c r="F44" s="74" t="s">
        <v>912</v>
      </c>
      <c r="G44" s="87" t="s">
        <v>492</v>
      </c>
      <c r="H44" s="87" t="s">
        <v>165</v>
      </c>
      <c r="I44" s="84">
        <v>3341595.5624180003</v>
      </c>
      <c r="J44" s="86">
        <v>2496</v>
      </c>
      <c r="K44" s="74"/>
      <c r="L44" s="84">
        <v>83406.225237940991</v>
      </c>
      <c r="M44" s="85">
        <v>2.3309190583571154E-2</v>
      </c>
      <c r="N44" s="85">
        <f t="shared" si="1"/>
        <v>1.0961585870028783E-2</v>
      </c>
      <c r="O44" s="85">
        <f>L44/'סכום נכסי הקרן'!$C$42</f>
        <v>1.6011619529718965E-3</v>
      </c>
    </row>
    <row r="45" spans="2:15" s="122" customFormat="1">
      <c r="B45" s="77" t="s">
        <v>1222</v>
      </c>
      <c r="C45" s="74" t="s">
        <v>1223</v>
      </c>
      <c r="D45" s="87" t="s">
        <v>123</v>
      </c>
      <c r="E45" s="87" t="s">
        <v>352</v>
      </c>
      <c r="F45" s="74" t="s">
        <v>681</v>
      </c>
      <c r="G45" s="87" t="s">
        <v>682</v>
      </c>
      <c r="H45" s="87" t="s">
        <v>165</v>
      </c>
      <c r="I45" s="84">
        <v>2893975.9646660001</v>
      </c>
      <c r="J45" s="86">
        <v>585</v>
      </c>
      <c r="K45" s="74"/>
      <c r="L45" s="84">
        <v>16929.759394545999</v>
      </c>
      <c r="M45" s="85">
        <v>1.3732426089791538E-2</v>
      </c>
      <c r="N45" s="85">
        <f t="shared" si="1"/>
        <v>2.2249779417882658E-3</v>
      </c>
      <c r="O45" s="85">
        <f>L45/'סכום נכסי הקרן'!$C$42</f>
        <v>3.2500315819573432E-4</v>
      </c>
    </row>
    <row r="46" spans="2:15" s="122" customFormat="1">
      <c r="B46" s="77" t="s">
        <v>1224</v>
      </c>
      <c r="C46" s="74" t="s">
        <v>1225</v>
      </c>
      <c r="D46" s="87" t="s">
        <v>123</v>
      </c>
      <c r="E46" s="87" t="s">
        <v>352</v>
      </c>
      <c r="F46" s="74" t="s">
        <v>898</v>
      </c>
      <c r="G46" s="87" t="s">
        <v>488</v>
      </c>
      <c r="H46" s="87" t="s">
        <v>165</v>
      </c>
      <c r="I46" s="84">
        <v>187703.39305499999</v>
      </c>
      <c r="J46" s="86">
        <v>9525</v>
      </c>
      <c r="K46" s="74"/>
      <c r="L46" s="84">
        <v>17878.748188486999</v>
      </c>
      <c r="M46" s="85">
        <v>1.2790767008635759E-2</v>
      </c>
      <c r="N46" s="85">
        <f t="shared" si="1"/>
        <v>2.3496979147255774E-3</v>
      </c>
      <c r="O46" s="85">
        <f>L46/'סכום נכסי הקרן'!$C$42</f>
        <v>3.4322103997038887E-4</v>
      </c>
    </row>
    <row r="47" spans="2:15" s="122" customFormat="1">
      <c r="B47" s="77" t="s">
        <v>1226</v>
      </c>
      <c r="C47" s="74" t="s">
        <v>1227</v>
      </c>
      <c r="D47" s="87" t="s">
        <v>123</v>
      </c>
      <c r="E47" s="87" t="s">
        <v>352</v>
      </c>
      <c r="F47" s="74" t="s">
        <v>1228</v>
      </c>
      <c r="G47" s="87" t="s">
        <v>886</v>
      </c>
      <c r="H47" s="87" t="s">
        <v>165</v>
      </c>
      <c r="I47" s="84">
        <v>3015585.3292689999</v>
      </c>
      <c r="J47" s="86">
        <v>1226</v>
      </c>
      <c r="K47" s="74"/>
      <c r="L47" s="84">
        <v>36971.076136839001</v>
      </c>
      <c r="M47" s="85">
        <v>2.7712991858547628E-2</v>
      </c>
      <c r="N47" s="85">
        <f t="shared" si="1"/>
        <v>4.8588894249224652E-3</v>
      </c>
      <c r="O47" s="85">
        <f>L47/'סכום נכסי הקרן'!$C$42</f>
        <v>7.0973935460881641E-4</v>
      </c>
    </row>
    <row r="48" spans="2:15" s="122" customFormat="1">
      <c r="B48" s="77" t="s">
        <v>1229</v>
      </c>
      <c r="C48" s="74" t="s">
        <v>1230</v>
      </c>
      <c r="D48" s="87" t="s">
        <v>123</v>
      </c>
      <c r="E48" s="87" t="s">
        <v>352</v>
      </c>
      <c r="F48" s="74" t="s">
        <v>1231</v>
      </c>
      <c r="G48" s="87" t="s">
        <v>193</v>
      </c>
      <c r="H48" s="87" t="s">
        <v>165</v>
      </c>
      <c r="I48" s="84">
        <v>39443.570194</v>
      </c>
      <c r="J48" s="86">
        <v>3456</v>
      </c>
      <c r="K48" s="74"/>
      <c r="L48" s="84">
        <v>1363.1697859120004</v>
      </c>
      <c r="M48" s="85">
        <v>1.1426053991097755E-3</v>
      </c>
      <c r="N48" s="85">
        <f t="shared" si="1"/>
        <v>1.7915332603861672E-4</v>
      </c>
      <c r="O48" s="85">
        <f>L48/'סכום נכסי הקרן'!$C$42</f>
        <v>2.616897708074509E-5</v>
      </c>
    </row>
    <row r="49" spans="2:15" s="122" customFormat="1">
      <c r="B49" s="77" t="s">
        <v>1232</v>
      </c>
      <c r="C49" s="74" t="s">
        <v>1233</v>
      </c>
      <c r="D49" s="87" t="s">
        <v>123</v>
      </c>
      <c r="E49" s="87" t="s">
        <v>352</v>
      </c>
      <c r="F49" s="74" t="s">
        <v>915</v>
      </c>
      <c r="G49" s="87" t="s">
        <v>191</v>
      </c>
      <c r="H49" s="87" t="s">
        <v>165</v>
      </c>
      <c r="I49" s="84">
        <v>17032497.339170001</v>
      </c>
      <c r="J49" s="86">
        <v>356.8</v>
      </c>
      <c r="K49" s="74"/>
      <c r="L49" s="84">
        <v>60771.950506159003</v>
      </c>
      <c r="M49" s="85">
        <v>2.257802159416274E-2</v>
      </c>
      <c r="N49" s="85">
        <f t="shared" si="1"/>
        <v>7.9868972856880979E-3</v>
      </c>
      <c r="O49" s="85">
        <f>L49/'סכום נכסי הקרן'!$C$42</f>
        <v>1.1666483488583677E-3</v>
      </c>
    </row>
    <row r="50" spans="2:15" s="122" customFormat="1">
      <c r="B50" s="77" t="s">
        <v>1234</v>
      </c>
      <c r="C50" s="74" t="s">
        <v>1235</v>
      </c>
      <c r="D50" s="87" t="s">
        <v>123</v>
      </c>
      <c r="E50" s="87" t="s">
        <v>352</v>
      </c>
      <c r="F50" s="74" t="s">
        <v>903</v>
      </c>
      <c r="G50" s="87" t="s">
        <v>191</v>
      </c>
      <c r="H50" s="87" t="s">
        <v>165</v>
      </c>
      <c r="I50" s="84">
        <v>7854742.1478610002</v>
      </c>
      <c r="J50" s="86">
        <v>1021</v>
      </c>
      <c r="K50" s="74"/>
      <c r="L50" s="84">
        <v>80196.917329077012</v>
      </c>
      <c r="M50" s="85">
        <v>1.7518586973083852E-2</v>
      </c>
      <c r="N50" s="85">
        <f t="shared" si="1"/>
        <v>1.0539805551760976E-2</v>
      </c>
      <c r="O50" s="85">
        <f>L50/'סכום נכסי הקרן'!$C$42</f>
        <v>1.539552382410642E-3</v>
      </c>
    </row>
    <row r="51" spans="2:15" s="122" customFormat="1">
      <c r="B51" s="77" t="s">
        <v>1236</v>
      </c>
      <c r="C51" s="74" t="s">
        <v>1237</v>
      </c>
      <c r="D51" s="87" t="s">
        <v>123</v>
      </c>
      <c r="E51" s="87" t="s">
        <v>352</v>
      </c>
      <c r="F51" s="74" t="s">
        <v>1238</v>
      </c>
      <c r="G51" s="87" t="s">
        <v>721</v>
      </c>
      <c r="H51" s="87" t="s">
        <v>165</v>
      </c>
      <c r="I51" s="84">
        <v>176278.99096200001</v>
      </c>
      <c r="J51" s="86">
        <v>6874</v>
      </c>
      <c r="K51" s="74"/>
      <c r="L51" s="84">
        <v>12117.417838811003</v>
      </c>
      <c r="M51" s="85">
        <v>4.8520220042714444E-3</v>
      </c>
      <c r="N51" s="85">
        <f t="shared" si="1"/>
        <v>1.5925204118064269E-3</v>
      </c>
      <c r="O51" s="85">
        <f>L51/'סכום נכסי הקרן'!$C$42</f>
        <v>2.3261990764379171E-4</v>
      </c>
    </row>
    <row r="52" spans="2:15" s="122" customFormat="1">
      <c r="B52" s="77" t="s">
        <v>1239</v>
      </c>
      <c r="C52" s="74" t="s">
        <v>1240</v>
      </c>
      <c r="D52" s="87" t="s">
        <v>123</v>
      </c>
      <c r="E52" s="87" t="s">
        <v>352</v>
      </c>
      <c r="F52" s="74" t="s">
        <v>1241</v>
      </c>
      <c r="G52" s="87" t="s">
        <v>1242</v>
      </c>
      <c r="H52" s="87" t="s">
        <v>165</v>
      </c>
      <c r="I52" s="84">
        <v>456569.80086900003</v>
      </c>
      <c r="J52" s="86">
        <v>4910</v>
      </c>
      <c r="K52" s="74"/>
      <c r="L52" s="84">
        <v>22417.577222685999</v>
      </c>
      <c r="M52" s="85">
        <v>1.8461640145368954E-2</v>
      </c>
      <c r="N52" s="85">
        <f t="shared" si="1"/>
        <v>2.9462093149935746E-3</v>
      </c>
      <c r="O52" s="85">
        <f>L52/'סכום נכסי הקרן'!$C$42</f>
        <v>4.3035362917306767E-4</v>
      </c>
    </row>
    <row r="53" spans="2:15" s="122" customFormat="1">
      <c r="B53" s="77" t="s">
        <v>1243</v>
      </c>
      <c r="C53" s="74" t="s">
        <v>1244</v>
      </c>
      <c r="D53" s="87" t="s">
        <v>123</v>
      </c>
      <c r="E53" s="87" t="s">
        <v>352</v>
      </c>
      <c r="F53" s="74" t="s">
        <v>482</v>
      </c>
      <c r="G53" s="87" t="s">
        <v>3376</v>
      </c>
      <c r="H53" s="87" t="s">
        <v>165</v>
      </c>
      <c r="I53" s="84">
        <v>89006.066527999996</v>
      </c>
      <c r="J53" s="86">
        <v>207340</v>
      </c>
      <c r="K53" s="74"/>
      <c r="L53" s="84">
        <v>184545.17833919899</v>
      </c>
      <c r="M53" s="85">
        <v>4.1654783317694351E-2</v>
      </c>
      <c r="N53" s="85">
        <f t="shared" si="1"/>
        <v>2.4253679068846009E-2</v>
      </c>
      <c r="O53" s="85">
        <f>L53/'סכום נכסי הקרן'!$C$42</f>
        <v>3.5427417715904932E-3</v>
      </c>
    </row>
    <row r="54" spans="2:15" s="122" customFormat="1">
      <c r="B54" s="77" t="s">
        <v>1245</v>
      </c>
      <c r="C54" s="74" t="s">
        <v>1246</v>
      </c>
      <c r="D54" s="87" t="s">
        <v>123</v>
      </c>
      <c r="E54" s="87" t="s">
        <v>352</v>
      </c>
      <c r="F54" s="74" t="s">
        <v>1247</v>
      </c>
      <c r="G54" s="87" t="s">
        <v>682</v>
      </c>
      <c r="H54" s="87" t="s">
        <v>165</v>
      </c>
      <c r="I54" s="84">
        <v>212920.38178800003</v>
      </c>
      <c r="J54" s="86">
        <v>9800</v>
      </c>
      <c r="K54" s="74"/>
      <c r="L54" s="84">
        <v>20866.197415262999</v>
      </c>
      <c r="M54" s="85">
        <v>1.1381326169503736E-2</v>
      </c>
      <c r="N54" s="85">
        <f t="shared" si="1"/>
        <v>2.7423206612679986E-3</v>
      </c>
      <c r="O54" s="85">
        <f>L54/'סכום נכסי הקרן'!$C$42</f>
        <v>4.0057155577065439E-4</v>
      </c>
    </row>
    <row r="55" spans="2:15" s="122" customFormat="1">
      <c r="B55" s="77" t="s">
        <v>1248</v>
      </c>
      <c r="C55" s="74" t="s">
        <v>1249</v>
      </c>
      <c r="D55" s="87" t="s">
        <v>123</v>
      </c>
      <c r="E55" s="87" t="s">
        <v>352</v>
      </c>
      <c r="F55" s="74" t="s">
        <v>1250</v>
      </c>
      <c r="G55" s="87" t="s">
        <v>159</v>
      </c>
      <c r="H55" s="87" t="s">
        <v>165</v>
      </c>
      <c r="I55" s="84">
        <v>201483.932096</v>
      </c>
      <c r="J55" s="86">
        <v>24770</v>
      </c>
      <c r="K55" s="74"/>
      <c r="L55" s="84">
        <v>49907.569980084998</v>
      </c>
      <c r="M55" s="85">
        <v>3.7841003667771184E-2</v>
      </c>
      <c r="N55" s="85">
        <f t="shared" si="1"/>
        <v>6.5590561416789218E-3</v>
      </c>
      <c r="O55" s="85">
        <f>L55/'סכום נכסי הקרן'!$C$42</f>
        <v>9.5808318850813866E-4</v>
      </c>
    </row>
    <row r="56" spans="2:15" s="122" customFormat="1">
      <c r="B56" s="77" t="s">
        <v>1251</v>
      </c>
      <c r="C56" s="74" t="s">
        <v>1252</v>
      </c>
      <c r="D56" s="87" t="s">
        <v>123</v>
      </c>
      <c r="E56" s="87" t="s">
        <v>352</v>
      </c>
      <c r="F56" s="74" t="s">
        <v>1253</v>
      </c>
      <c r="G56" s="87" t="s">
        <v>886</v>
      </c>
      <c r="H56" s="87" t="s">
        <v>165</v>
      </c>
      <c r="I56" s="84">
        <v>407035.98266899993</v>
      </c>
      <c r="J56" s="86">
        <v>5140</v>
      </c>
      <c r="K56" s="74"/>
      <c r="L56" s="84">
        <v>20921.649509169998</v>
      </c>
      <c r="M56" s="85">
        <v>2.8979498686817904E-2</v>
      </c>
      <c r="N56" s="85">
        <f t="shared" si="1"/>
        <v>2.7496084013293723E-3</v>
      </c>
      <c r="O56" s="85">
        <f>L56/'סכום נכסי הקרן'!$C$42</f>
        <v>4.016360780257165E-4</v>
      </c>
    </row>
    <row r="57" spans="2:15" s="122" customFormat="1">
      <c r="B57" s="77" t="s">
        <v>1254</v>
      </c>
      <c r="C57" s="74" t="s">
        <v>1255</v>
      </c>
      <c r="D57" s="87" t="s">
        <v>123</v>
      </c>
      <c r="E57" s="87" t="s">
        <v>352</v>
      </c>
      <c r="F57" s="74" t="s">
        <v>1256</v>
      </c>
      <c r="G57" s="87" t="s">
        <v>1257</v>
      </c>
      <c r="H57" s="87" t="s">
        <v>165</v>
      </c>
      <c r="I57" s="84">
        <v>180446.154802</v>
      </c>
      <c r="J57" s="86">
        <v>23400</v>
      </c>
      <c r="K57" s="74"/>
      <c r="L57" s="84">
        <v>42224.400223662</v>
      </c>
      <c r="M57" s="85">
        <v>2.6525861951151392E-2</v>
      </c>
      <c r="N57" s="85">
        <f t="shared" si="1"/>
        <v>5.549302675450507E-3</v>
      </c>
      <c r="O57" s="85">
        <f>L57/'סכום נכסי הקרן'!$C$42</f>
        <v>8.1058821367725807E-4</v>
      </c>
    </row>
    <row r="58" spans="2:15" s="122" customFormat="1">
      <c r="B58" s="77" t="s">
        <v>1258</v>
      </c>
      <c r="C58" s="74" t="s">
        <v>1259</v>
      </c>
      <c r="D58" s="87" t="s">
        <v>123</v>
      </c>
      <c r="E58" s="87" t="s">
        <v>352</v>
      </c>
      <c r="F58" s="74" t="s">
        <v>1260</v>
      </c>
      <c r="G58" s="87" t="s">
        <v>1257</v>
      </c>
      <c r="H58" s="87" t="s">
        <v>165</v>
      </c>
      <c r="I58" s="84">
        <v>522248.85116600001</v>
      </c>
      <c r="J58" s="86">
        <v>11160</v>
      </c>
      <c r="K58" s="74"/>
      <c r="L58" s="84">
        <v>58282.971790109012</v>
      </c>
      <c r="M58" s="85">
        <v>2.3187689952042557E-2</v>
      </c>
      <c r="N58" s="85">
        <f t="shared" si="1"/>
        <v>7.6597855641490561E-3</v>
      </c>
      <c r="O58" s="85">
        <f>L58/'סכום נכסי הקרן'!$C$42</f>
        <v>1.1188670470367477E-3</v>
      </c>
    </row>
    <row r="59" spans="2:15" s="122" customFormat="1">
      <c r="B59" s="77" t="s">
        <v>1261</v>
      </c>
      <c r="C59" s="74" t="s">
        <v>1262</v>
      </c>
      <c r="D59" s="87" t="s">
        <v>123</v>
      </c>
      <c r="E59" s="87" t="s">
        <v>352</v>
      </c>
      <c r="F59" s="74" t="s">
        <v>771</v>
      </c>
      <c r="G59" s="87" t="s">
        <v>160</v>
      </c>
      <c r="H59" s="87" t="s">
        <v>165</v>
      </c>
      <c r="I59" s="84">
        <v>3289723.0452439999</v>
      </c>
      <c r="J59" s="86">
        <v>950.5</v>
      </c>
      <c r="K59" s="74"/>
      <c r="L59" s="84">
        <v>31268.817545938</v>
      </c>
      <c r="M59" s="85">
        <v>1.6448615226220001E-2</v>
      </c>
      <c r="N59" s="85">
        <f t="shared" si="1"/>
        <v>4.1094753731660844E-3</v>
      </c>
      <c r="O59" s="85">
        <f>L59/'סכום נכסי הקרן'!$C$42</f>
        <v>6.002722317926105E-4</v>
      </c>
    </row>
    <row r="60" spans="2:15" s="122" customFormat="1">
      <c r="B60" s="77" t="s">
        <v>1263</v>
      </c>
      <c r="C60" s="74" t="s">
        <v>1264</v>
      </c>
      <c r="D60" s="87" t="s">
        <v>123</v>
      </c>
      <c r="E60" s="87" t="s">
        <v>352</v>
      </c>
      <c r="F60" s="74" t="s">
        <v>940</v>
      </c>
      <c r="G60" s="87" t="s">
        <v>149</v>
      </c>
      <c r="H60" s="87" t="s">
        <v>165</v>
      </c>
      <c r="I60" s="84">
        <v>230850605.162696</v>
      </c>
      <c r="J60" s="86">
        <v>33</v>
      </c>
      <c r="K60" s="74"/>
      <c r="L60" s="84">
        <v>76180.699704468992</v>
      </c>
      <c r="M60" s="85">
        <v>4.4557891532024795E-2</v>
      </c>
      <c r="N60" s="85">
        <f t="shared" si="1"/>
        <v>1.0011977871761408E-2</v>
      </c>
      <c r="O60" s="85">
        <f>L60/'סכום נכסי הקרן'!$C$42</f>
        <v>1.46245244368266E-3</v>
      </c>
    </row>
    <row r="61" spans="2:15" s="122" customFormat="1">
      <c r="B61" s="77" t="s">
        <v>1265</v>
      </c>
      <c r="C61" s="74" t="s">
        <v>1266</v>
      </c>
      <c r="D61" s="87" t="s">
        <v>123</v>
      </c>
      <c r="E61" s="87" t="s">
        <v>352</v>
      </c>
      <c r="F61" s="74" t="s">
        <v>499</v>
      </c>
      <c r="G61" s="87" t="s">
        <v>3376</v>
      </c>
      <c r="H61" s="87" t="s">
        <v>165</v>
      </c>
      <c r="I61" s="84">
        <v>40463.732133999998</v>
      </c>
      <c r="J61" s="86">
        <v>64800</v>
      </c>
      <c r="K61" s="84">
        <v>323.70985707099999</v>
      </c>
      <c r="L61" s="84">
        <v>26544.208279860002</v>
      </c>
      <c r="M61" s="85">
        <v>7.4878813607811845E-3</v>
      </c>
      <c r="N61" s="85">
        <f t="shared" si="1"/>
        <v>3.4885479780621389E-3</v>
      </c>
      <c r="O61" s="85">
        <f>L61/'סכום נכסי הקרן'!$C$42</f>
        <v>5.0957319130826354E-4</v>
      </c>
    </row>
    <row r="62" spans="2:15" s="122" customFormat="1">
      <c r="B62" s="77" t="s">
        <v>1267</v>
      </c>
      <c r="C62" s="74" t="s">
        <v>1268</v>
      </c>
      <c r="D62" s="87" t="s">
        <v>123</v>
      </c>
      <c r="E62" s="87" t="s">
        <v>352</v>
      </c>
      <c r="F62" s="74" t="s">
        <v>1269</v>
      </c>
      <c r="G62" s="87" t="s">
        <v>488</v>
      </c>
      <c r="H62" s="87" t="s">
        <v>165</v>
      </c>
      <c r="I62" s="84">
        <v>677697.41330599994</v>
      </c>
      <c r="J62" s="86">
        <v>2959</v>
      </c>
      <c r="K62" s="74"/>
      <c r="L62" s="84">
        <v>20053.066460218</v>
      </c>
      <c r="M62" s="85">
        <v>1.0018460281783095E-2</v>
      </c>
      <c r="N62" s="85">
        <f t="shared" si="1"/>
        <v>2.6354556789255331E-3</v>
      </c>
      <c r="O62" s="85">
        <f>L62/'סכום נכסי הקרן'!$C$42</f>
        <v>3.8496175752972522E-4</v>
      </c>
    </row>
    <row r="63" spans="2:15" s="122" customFormat="1">
      <c r="B63" s="77" t="s">
        <v>1270</v>
      </c>
      <c r="C63" s="74" t="s">
        <v>1271</v>
      </c>
      <c r="D63" s="87" t="s">
        <v>123</v>
      </c>
      <c r="E63" s="87" t="s">
        <v>352</v>
      </c>
      <c r="F63" s="74" t="s">
        <v>1272</v>
      </c>
      <c r="G63" s="87" t="s">
        <v>154</v>
      </c>
      <c r="H63" s="87" t="s">
        <v>165</v>
      </c>
      <c r="I63" s="84">
        <v>90622.622264999984</v>
      </c>
      <c r="J63" s="86">
        <v>14030</v>
      </c>
      <c r="K63" s="74"/>
      <c r="L63" s="84">
        <v>12714.353903847001</v>
      </c>
      <c r="M63" s="85">
        <v>7.1341172289220165E-3</v>
      </c>
      <c r="N63" s="85">
        <f t="shared" si="1"/>
        <v>1.6709721810495774E-3</v>
      </c>
      <c r="O63" s="85">
        <f>L63/'סכום נכסי הקרן'!$C$42</f>
        <v>2.4407937979908611E-4</v>
      </c>
    </row>
    <row r="64" spans="2:15" s="122" customFormat="1">
      <c r="B64" s="77" t="s">
        <v>1273</v>
      </c>
      <c r="C64" s="74" t="s">
        <v>1274</v>
      </c>
      <c r="D64" s="87" t="s">
        <v>123</v>
      </c>
      <c r="E64" s="87" t="s">
        <v>352</v>
      </c>
      <c r="F64" s="74" t="s">
        <v>606</v>
      </c>
      <c r="G64" s="87" t="s">
        <v>3376</v>
      </c>
      <c r="H64" s="87" t="s">
        <v>165</v>
      </c>
      <c r="I64" s="84">
        <v>207518.590906</v>
      </c>
      <c r="J64" s="86">
        <v>8629</v>
      </c>
      <c r="K64" s="84">
        <v>171.35811566699999</v>
      </c>
      <c r="L64" s="84">
        <v>18078.137324955998</v>
      </c>
      <c r="M64" s="85">
        <v>5.7131708562986813E-3</v>
      </c>
      <c r="N64" s="85">
        <f t="shared" si="1"/>
        <v>2.3759024472376372E-3</v>
      </c>
      <c r="O64" s="85">
        <f>L64/'סכום נכסי הקרן'!$C$42</f>
        <v>3.4704874345702086E-4</v>
      </c>
    </row>
    <row r="65" spans="2:15" s="122" customFormat="1">
      <c r="B65" s="77" t="s">
        <v>1275</v>
      </c>
      <c r="C65" s="74" t="s">
        <v>1276</v>
      </c>
      <c r="D65" s="87" t="s">
        <v>123</v>
      </c>
      <c r="E65" s="87" t="s">
        <v>352</v>
      </c>
      <c r="F65" s="74" t="s">
        <v>1277</v>
      </c>
      <c r="G65" s="87" t="s">
        <v>1257</v>
      </c>
      <c r="H65" s="87" t="s">
        <v>165</v>
      </c>
      <c r="I65" s="84">
        <v>1495557.6820700001</v>
      </c>
      <c r="J65" s="86">
        <v>5810</v>
      </c>
      <c r="K65" s="74"/>
      <c r="L65" s="84">
        <v>86891.901328250999</v>
      </c>
      <c r="M65" s="85">
        <v>2.406874770347861E-2</v>
      </c>
      <c r="N65" s="85">
        <f t="shared" si="1"/>
        <v>1.1419687620468131E-2</v>
      </c>
      <c r="O65" s="85">
        <f>L65/'סכום נכסי הקרן'!$C$42</f>
        <v>1.6680770054187178E-3</v>
      </c>
    </row>
    <row r="66" spans="2:15" s="122" customFormat="1">
      <c r="B66" s="77" t="s">
        <v>1278</v>
      </c>
      <c r="C66" s="74" t="s">
        <v>1279</v>
      </c>
      <c r="D66" s="87" t="s">
        <v>123</v>
      </c>
      <c r="E66" s="87" t="s">
        <v>352</v>
      </c>
      <c r="F66" s="74" t="s">
        <v>1280</v>
      </c>
      <c r="G66" s="87" t="s">
        <v>1242</v>
      </c>
      <c r="H66" s="87" t="s">
        <v>165</v>
      </c>
      <c r="I66" s="84">
        <v>2750592.8722649999</v>
      </c>
      <c r="J66" s="86">
        <v>2236</v>
      </c>
      <c r="K66" s="74"/>
      <c r="L66" s="84">
        <v>61503.256624738999</v>
      </c>
      <c r="M66" s="85">
        <v>2.5457379032526019E-2</v>
      </c>
      <c r="N66" s="85">
        <f t="shared" si="1"/>
        <v>8.0830085147147474E-3</v>
      </c>
      <c r="O66" s="85">
        <f>L66/'סכום נכסי הקרן'!$C$42</f>
        <v>1.1806873433063889E-3</v>
      </c>
    </row>
    <row r="67" spans="2:15" s="122" customFormat="1">
      <c r="B67" s="77" t="s">
        <v>1281</v>
      </c>
      <c r="C67" s="74" t="s">
        <v>1282</v>
      </c>
      <c r="D67" s="87" t="s">
        <v>123</v>
      </c>
      <c r="E67" s="87" t="s">
        <v>352</v>
      </c>
      <c r="F67" s="74" t="s">
        <v>1283</v>
      </c>
      <c r="G67" s="87" t="s">
        <v>886</v>
      </c>
      <c r="H67" s="87" t="s">
        <v>165</v>
      </c>
      <c r="I67" s="84">
        <v>155333.57674700001</v>
      </c>
      <c r="J67" s="86">
        <v>8896</v>
      </c>
      <c r="K67" s="74"/>
      <c r="L67" s="84">
        <v>13818.474987452002</v>
      </c>
      <c r="M67" s="85">
        <v>1.755462928941609E-2</v>
      </c>
      <c r="N67" s="85">
        <f t="shared" si="1"/>
        <v>1.8160802714147545E-3</v>
      </c>
      <c r="O67" s="85">
        <f>L67/'סכום נכסי הקרן'!$C$42</f>
        <v>2.6527535966148889E-4</v>
      </c>
    </row>
    <row r="68" spans="2:15" s="122" customFormat="1">
      <c r="B68" s="77" t="s">
        <v>1284</v>
      </c>
      <c r="C68" s="74" t="s">
        <v>1285</v>
      </c>
      <c r="D68" s="87" t="s">
        <v>123</v>
      </c>
      <c r="E68" s="87" t="s">
        <v>352</v>
      </c>
      <c r="F68" s="74" t="s">
        <v>625</v>
      </c>
      <c r="G68" s="87" t="s">
        <v>488</v>
      </c>
      <c r="H68" s="87" t="s">
        <v>165</v>
      </c>
      <c r="I68" s="84">
        <v>624916.567775</v>
      </c>
      <c r="J68" s="86">
        <v>4006</v>
      </c>
      <c r="K68" s="74"/>
      <c r="L68" s="84">
        <v>25034.157705060003</v>
      </c>
      <c r="M68" s="85">
        <v>9.876679246204766E-3</v>
      </c>
      <c r="N68" s="85">
        <f t="shared" si="1"/>
        <v>3.2900909804395341E-3</v>
      </c>
      <c r="O68" s="85">
        <f>L68/'סכום נכסי הקרן'!$C$42</f>
        <v>4.805845214513613E-4</v>
      </c>
    </row>
    <row r="69" spans="2:15" s="122" customFormat="1">
      <c r="B69" s="77" t="s">
        <v>1286</v>
      </c>
      <c r="C69" s="74" t="s">
        <v>1287</v>
      </c>
      <c r="D69" s="87" t="s">
        <v>123</v>
      </c>
      <c r="E69" s="87" t="s">
        <v>352</v>
      </c>
      <c r="F69" s="74" t="s">
        <v>1288</v>
      </c>
      <c r="G69" s="87" t="s">
        <v>1190</v>
      </c>
      <c r="H69" s="87" t="s">
        <v>165</v>
      </c>
      <c r="I69" s="84">
        <v>118804.59584999998</v>
      </c>
      <c r="J69" s="86">
        <v>11700</v>
      </c>
      <c r="K69" s="74"/>
      <c r="L69" s="84">
        <v>13900.137714504999</v>
      </c>
      <c r="M69" s="85">
        <v>4.2421702706996233E-3</v>
      </c>
      <c r="N69" s="85">
        <f t="shared" si="1"/>
        <v>1.8268127196513035E-3</v>
      </c>
      <c r="O69" s="85">
        <f>L69/'סכום נכסי הקרן'!$C$42</f>
        <v>2.6684305141543377E-4</v>
      </c>
    </row>
    <row r="70" spans="2:15" s="122" customFormat="1">
      <c r="B70" s="77" t="s">
        <v>1289</v>
      </c>
      <c r="C70" s="74" t="s">
        <v>1290</v>
      </c>
      <c r="D70" s="87" t="s">
        <v>123</v>
      </c>
      <c r="E70" s="87" t="s">
        <v>352</v>
      </c>
      <c r="F70" s="74" t="s">
        <v>1291</v>
      </c>
      <c r="G70" s="87" t="s">
        <v>149</v>
      </c>
      <c r="H70" s="87" t="s">
        <v>165</v>
      </c>
      <c r="I70" s="84">
        <v>1818544.204232</v>
      </c>
      <c r="J70" s="86">
        <v>1260</v>
      </c>
      <c r="K70" s="74"/>
      <c r="L70" s="84">
        <v>22913.656973883</v>
      </c>
      <c r="M70" s="85">
        <v>1.8522986423923152E-2</v>
      </c>
      <c r="N70" s="85">
        <f t="shared" si="1"/>
        <v>3.0114061366410647E-3</v>
      </c>
      <c r="O70" s="85">
        <f>L70/'סכום נכסי הקרן'!$C$42</f>
        <v>4.3987694737851837E-4</v>
      </c>
    </row>
    <row r="71" spans="2:15" s="122" customFormat="1">
      <c r="B71" s="77" t="s">
        <v>1292</v>
      </c>
      <c r="C71" s="74" t="s">
        <v>1293</v>
      </c>
      <c r="D71" s="87" t="s">
        <v>123</v>
      </c>
      <c r="E71" s="87" t="s">
        <v>352</v>
      </c>
      <c r="F71" s="74" t="s">
        <v>701</v>
      </c>
      <c r="G71" s="87" t="s">
        <v>192</v>
      </c>
      <c r="H71" s="87" t="s">
        <v>165</v>
      </c>
      <c r="I71" s="84">
        <v>1571676.9649680001</v>
      </c>
      <c r="J71" s="86">
        <v>1040</v>
      </c>
      <c r="K71" s="74"/>
      <c r="L71" s="84">
        <v>16345.44043567</v>
      </c>
      <c r="M71" s="85">
        <v>1.0536259243641564E-2</v>
      </c>
      <c r="N71" s="85">
        <f t="shared" si="1"/>
        <v>2.1481843640315367E-3</v>
      </c>
      <c r="O71" s="85">
        <f>L71/'סכום נכסי הקרן'!$C$42</f>
        <v>3.1378589854055443E-4</v>
      </c>
    </row>
    <row r="72" spans="2:15" s="122" customFormat="1">
      <c r="B72" s="77" t="s">
        <v>1294</v>
      </c>
      <c r="C72" s="74" t="s">
        <v>1295</v>
      </c>
      <c r="D72" s="87" t="s">
        <v>123</v>
      </c>
      <c r="E72" s="87" t="s">
        <v>352</v>
      </c>
      <c r="F72" s="74" t="s">
        <v>1296</v>
      </c>
      <c r="G72" s="87" t="s">
        <v>154</v>
      </c>
      <c r="H72" s="87" t="s">
        <v>165</v>
      </c>
      <c r="I72" s="84">
        <v>246035.82955699999</v>
      </c>
      <c r="J72" s="86">
        <v>5784</v>
      </c>
      <c r="K72" s="74"/>
      <c r="L72" s="84">
        <v>14230.712381596999</v>
      </c>
      <c r="M72" s="85">
        <v>2.2584791666085298E-2</v>
      </c>
      <c r="N72" s="85">
        <f t="shared" si="1"/>
        <v>1.8702581889726601E-3</v>
      </c>
      <c r="O72" s="85">
        <f>L72/'סכום נכסי הקרן'!$C$42</f>
        <v>2.7318914342540145E-4</v>
      </c>
    </row>
    <row r="73" spans="2:15" s="122" customFormat="1">
      <c r="B73" s="77" t="s">
        <v>1297</v>
      </c>
      <c r="C73" s="74" t="s">
        <v>1298</v>
      </c>
      <c r="D73" s="87" t="s">
        <v>123</v>
      </c>
      <c r="E73" s="87" t="s">
        <v>352</v>
      </c>
      <c r="F73" s="74" t="s">
        <v>1299</v>
      </c>
      <c r="G73" s="87" t="s">
        <v>721</v>
      </c>
      <c r="H73" s="87" t="s">
        <v>165</v>
      </c>
      <c r="I73" s="84">
        <v>102600.89377500002</v>
      </c>
      <c r="J73" s="86">
        <v>25990</v>
      </c>
      <c r="K73" s="74"/>
      <c r="L73" s="84">
        <v>26665.972291992999</v>
      </c>
      <c r="M73" s="85">
        <v>1.3315814465209236E-2</v>
      </c>
      <c r="N73" s="85">
        <f t="shared" si="1"/>
        <v>3.5045507005336016E-3</v>
      </c>
      <c r="O73" s="85">
        <f>L73/'סכום נכסי הקרן'!$C$42</f>
        <v>5.1191071351253993E-4</v>
      </c>
    </row>
    <row r="74" spans="2:15" s="122" customFormat="1">
      <c r="B74" s="77" t="s">
        <v>1300</v>
      </c>
      <c r="C74" s="74" t="s">
        <v>1301</v>
      </c>
      <c r="D74" s="87" t="s">
        <v>123</v>
      </c>
      <c r="E74" s="87" t="s">
        <v>352</v>
      </c>
      <c r="F74" s="74" t="s">
        <v>1302</v>
      </c>
      <c r="G74" s="87" t="s">
        <v>188</v>
      </c>
      <c r="H74" s="87" t="s">
        <v>165</v>
      </c>
      <c r="I74" s="84">
        <v>35698.150322000001</v>
      </c>
      <c r="J74" s="86">
        <v>11790</v>
      </c>
      <c r="K74" s="74"/>
      <c r="L74" s="84">
        <v>4208.8119229169997</v>
      </c>
      <c r="M74" s="85">
        <v>2.6410913645228602E-3</v>
      </c>
      <c r="N74" s="85">
        <f t="shared" si="1"/>
        <v>5.5313920720235403E-4</v>
      </c>
      <c r="O74" s="85">
        <f>L74/'סכום נכסי הקרן'!$C$42</f>
        <v>8.0797200676139218E-5</v>
      </c>
    </row>
    <row r="75" spans="2:15" s="122" customFormat="1">
      <c r="B75" s="77" t="s">
        <v>1303</v>
      </c>
      <c r="C75" s="74" t="s">
        <v>1304</v>
      </c>
      <c r="D75" s="87" t="s">
        <v>123</v>
      </c>
      <c r="E75" s="87" t="s">
        <v>352</v>
      </c>
      <c r="F75" s="74" t="s">
        <v>639</v>
      </c>
      <c r="G75" s="87" t="s">
        <v>492</v>
      </c>
      <c r="H75" s="87" t="s">
        <v>165</v>
      </c>
      <c r="I75" s="84">
        <v>264672.43966500001</v>
      </c>
      <c r="J75" s="86">
        <v>29840</v>
      </c>
      <c r="K75" s="74"/>
      <c r="L75" s="84">
        <v>78978.255996136999</v>
      </c>
      <c r="M75" s="85">
        <v>2.600168892660689E-2</v>
      </c>
      <c r="N75" s="85">
        <f t="shared" si="1"/>
        <v>1.0379644115256726E-2</v>
      </c>
      <c r="O75" s="85">
        <f>L75/'סכום נכסי הקרן'!$C$42</f>
        <v>1.5161575560137517E-3</v>
      </c>
    </row>
    <row r="76" spans="2:15" s="122" customFormat="1">
      <c r="B76" s="77" t="s">
        <v>1305</v>
      </c>
      <c r="C76" s="74" t="s">
        <v>1306</v>
      </c>
      <c r="D76" s="87" t="s">
        <v>123</v>
      </c>
      <c r="E76" s="87" t="s">
        <v>352</v>
      </c>
      <c r="F76" s="74" t="s">
        <v>1307</v>
      </c>
      <c r="G76" s="87" t="s">
        <v>548</v>
      </c>
      <c r="H76" s="87" t="s">
        <v>165</v>
      </c>
      <c r="I76" s="84">
        <v>148974.82719000001</v>
      </c>
      <c r="J76" s="86">
        <v>11670</v>
      </c>
      <c r="K76" s="74"/>
      <c r="L76" s="84">
        <v>17385.362333039</v>
      </c>
      <c r="M76" s="85">
        <v>1.560279946752996E-2</v>
      </c>
      <c r="N76" s="85">
        <f t="shared" si="1"/>
        <v>2.2848551358308116E-3</v>
      </c>
      <c r="O76" s="85">
        <f>L76/'סכום נכסי הקרן'!$C$42</f>
        <v>3.3374943689011343E-4</v>
      </c>
    </row>
    <row r="77" spans="2:15" s="122" customFormat="1">
      <c r="B77" s="77" t="s">
        <v>1308</v>
      </c>
      <c r="C77" s="74" t="s">
        <v>1309</v>
      </c>
      <c r="D77" s="87" t="s">
        <v>123</v>
      </c>
      <c r="E77" s="87" t="s">
        <v>352</v>
      </c>
      <c r="F77" s="74" t="s">
        <v>872</v>
      </c>
      <c r="G77" s="87" t="s">
        <v>192</v>
      </c>
      <c r="H77" s="87" t="s">
        <v>165</v>
      </c>
      <c r="I77" s="84">
        <v>2110752.3627129998</v>
      </c>
      <c r="J77" s="86">
        <v>1323</v>
      </c>
      <c r="K77" s="74"/>
      <c r="L77" s="84">
        <v>27925.253758694995</v>
      </c>
      <c r="M77" s="85">
        <v>1.1498925605295111E-2</v>
      </c>
      <c r="N77" s="85">
        <f t="shared" si="1"/>
        <v>3.6700506004800448E-3</v>
      </c>
      <c r="O77" s="85">
        <f>L77/'סכום נכסי הקרן'!$C$42</f>
        <v>5.3608533077658402E-4</v>
      </c>
    </row>
    <row r="78" spans="2:15" s="122" customFormat="1">
      <c r="B78" s="77" t="s">
        <v>1310</v>
      </c>
      <c r="C78" s="74" t="s">
        <v>1311</v>
      </c>
      <c r="D78" s="87" t="s">
        <v>123</v>
      </c>
      <c r="E78" s="87" t="s">
        <v>352</v>
      </c>
      <c r="F78" s="74" t="s">
        <v>1312</v>
      </c>
      <c r="G78" s="87" t="s">
        <v>1313</v>
      </c>
      <c r="H78" s="87" t="s">
        <v>165</v>
      </c>
      <c r="I78" s="84">
        <v>184786.01947299999</v>
      </c>
      <c r="J78" s="86">
        <v>2149</v>
      </c>
      <c r="K78" s="74"/>
      <c r="L78" s="84">
        <v>3971.0515584740001</v>
      </c>
      <c r="M78" s="85">
        <v>4.1506509978443728E-3</v>
      </c>
      <c r="N78" s="85">
        <f t="shared" si="1"/>
        <v>5.2189177160751402E-4</v>
      </c>
      <c r="O78" s="85">
        <f>L78/'סכום נכסי הקרן'!$C$42</f>
        <v>7.6232878907772121E-5</v>
      </c>
    </row>
    <row r="79" spans="2:15" s="122" customFormat="1">
      <c r="B79" s="77" t="s">
        <v>1314</v>
      </c>
      <c r="C79" s="74" t="s">
        <v>1315</v>
      </c>
      <c r="D79" s="87" t="s">
        <v>123</v>
      </c>
      <c r="E79" s="87" t="s">
        <v>352</v>
      </c>
      <c r="F79" s="74" t="s">
        <v>1316</v>
      </c>
      <c r="G79" s="87" t="s">
        <v>1190</v>
      </c>
      <c r="H79" s="87" t="s">
        <v>165</v>
      </c>
      <c r="I79" s="84">
        <v>164732.765274</v>
      </c>
      <c r="J79" s="86">
        <v>3075</v>
      </c>
      <c r="K79" s="74"/>
      <c r="L79" s="84">
        <v>5065.5325321760001</v>
      </c>
      <c r="M79" s="85">
        <v>4.2864291317726323E-3</v>
      </c>
      <c r="N79" s="85">
        <f t="shared" si="1"/>
        <v>6.6573291946094438E-4</v>
      </c>
      <c r="O79" s="85">
        <f>L79/'סכום נכסי הקרן'!$C$42</f>
        <v>9.7243796118614829E-5</v>
      </c>
    </row>
    <row r="80" spans="2:15" s="122" customFormat="1">
      <c r="B80" s="77" t="s">
        <v>1317</v>
      </c>
      <c r="C80" s="74" t="s">
        <v>1318</v>
      </c>
      <c r="D80" s="87" t="s">
        <v>123</v>
      </c>
      <c r="E80" s="87" t="s">
        <v>352</v>
      </c>
      <c r="F80" s="74" t="s">
        <v>1319</v>
      </c>
      <c r="G80" s="87" t="s">
        <v>755</v>
      </c>
      <c r="H80" s="87" t="s">
        <v>165</v>
      </c>
      <c r="I80" s="84">
        <v>241124.07279500001</v>
      </c>
      <c r="J80" s="86">
        <v>8571</v>
      </c>
      <c r="K80" s="84">
        <v>765.48317793600006</v>
      </c>
      <c r="L80" s="84">
        <v>21432.227457159999</v>
      </c>
      <c r="M80" s="85">
        <v>1.9171013395392133E-2</v>
      </c>
      <c r="N80" s="85">
        <f t="shared" si="1"/>
        <v>2.8167106350567603E-3</v>
      </c>
      <c r="O80" s="85">
        <f>L80/'סכום נכסי הקרן'!$C$42</f>
        <v>4.1143772031339759E-4</v>
      </c>
    </row>
    <row r="81" spans="2:15" s="122" customFormat="1">
      <c r="B81" s="77" t="s">
        <v>1320</v>
      </c>
      <c r="C81" s="74" t="s">
        <v>1321</v>
      </c>
      <c r="D81" s="87" t="s">
        <v>123</v>
      </c>
      <c r="E81" s="87" t="s">
        <v>352</v>
      </c>
      <c r="F81" s="74" t="s">
        <v>535</v>
      </c>
      <c r="G81" s="87" t="s">
        <v>3376</v>
      </c>
      <c r="H81" s="87" t="s">
        <v>165</v>
      </c>
      <c r="I81" s="84">
        <v>2909362.6378659997</v>
      </c>
      <c r="J81" s="86">
        <v>1726</v>
      </c>
      <c r="K81" s="84">
        <v>494.591648437</v>
      </c>
      <c r="L81" s="84">
        <v>50710.190777999989</v>
      </c>
      <c r="M81" s="85">
        <v>1.63036874639363E-2</v>
      </c>
      <c r="N81" s="85">
        <f t="shared" si="1"/>
        <v>6.6645398363589922E-3</v>
      </c>
      <c r="O81" s="85">
        <f>L81/'סכום נכסי הקרן'!$C$42</f>
        <v>9.7349122166896351E-4</v>
      </c>
    </row>
    <row r="82" spans="2:15" s="122" customFormat="1">
      <c r="B82" s="77" t="s">
        <v>1322</v>
      </c>
      <c r="C82" s="74" t="s">
        <v>1323</v>
      </c>
      <c r="D82" s="87" t="s">
        <v>123</v>
      </c>
      <c r="E82" s="87" t="s">
        <v>352</v>
      </c>
      <c r="F82" s="74" t="s">
        <v>1324</v>
      </c>
      <c r="G82" s="87" t="s">
        <v>154</v>
      </c>
      <c r="H82" s="87" t="s">
        <v>165</v>
      </c>
      <c r="I82" s="84">
        <v>159613.57929600001</v>
      </c>
      <c r="J82" s="86">
        <v>19640</v>
      </c>
      <c r="K82" s="74"/>
      <c r="L82" s="84">
        <v>31348.106973710997</v>
      </c>
      <c r="M82" s="85">
        <v>1.1586702304795377E-2</v>
      </c>
      <c r="N82" s="85">
        <f t="shared" si="1"/>
        <v>4.1198959127437922E-3</v>
      </c>
      <c r="O82" s="85">
        <f>L82/'סכום נכסי הקרן'!$C$42</f>
        <v>6.0179436296040826E-4</v>
      </c>
    </row>
    <row r="83" spans="2:15" s="122" customFormat="1">
      <c r="B83" s="77" t="s">
        <v>1325</v>
      </c>
      <c r="C83" s="74" t="s">
        <v>1326</v>
      </c>
      <c r="D83" s="87" t="s">
        <v>123</v>
      </c>
      <c r="E83" s="87" t="s">
        <v>352</v>
      </c>
      <c r="F83" s="74" t="s">
        <v>1327</v>
      </c>
      <c r="G83" s="87" t="s">
        <v>149</v>
      </c>
      <c r="H83" s="87" t="s">
        <v>165</v>
      </c>
      <c r="I83" s="84">
        <v>17343207.941429</v>
      </c>
      <c r="J83" s="86">
        <v>99.3</v>
      </c>
      <c r="K83" s="74"/>
      <c r="L83" s="84">
        <v>17221.805485378998</v>
      </c>
      <c r="M83" s="85">
        <v>1.5432409251037275E-2</v>
      </c>
      <c r="N83" s="85">
        <f t="shared" si="1"/>
        <v>2.2633598286742806E-3</v>
      </c>
      <c r="O83" s="85">
        <f>L83/'סכום נכסי הקרן'!$C$42</f>
        <v>3.3060961128508065E-4</v>
      </c>
    </row>
    <row r="84" spans="2:15" s="122" customFormat="1">
      <c r="B84" s="73"/>
      <c r="C84" s="74"/>
      <c r="D84" s="74"/>
      <c r="E84" s="74"/>
      <c r="F84" s="74"/>
      <c r="G84" s="74"/>
      <c r="H84" s="74"/>
      <c r="I84" s="84"/>
      <c r="J84" s="86"/>
      <c r="K84" s="74"/>
      <c r="L84" s="74"/>
      <c r="M84" s="74"/>
      <c r="N84" s="85"/>
      <c r="O84" s="74"/>
    </row>
    <row r="85" spans="2:15" s="122" customFormat="1">
      <c r="B85" s="92" t="s">
        <v>29</v>
      </c>
      <c r="C85" s="72"/>
      <c r="D85" s="72"/>
      <c r="E85" s="72"/>
      <c r="F85" s="72"/>
      <c r="G85" s="72"/>
      <c r="H85" s="72"/>
      <c r="I85" s="81"/>
      <c r="J85" s="83"/>
      <c r="K85" s="81">
        <v>164.291467275</v>
      </c>
      <c r="L85" s="81">
        <v>268770.11135991296</v>
      </c>
      <c r="M85" s="72"/>
      <c r="N85" s="82">
        <f t="shared" ref="N85:N127" si="2">L85/$L$11</f>
        <v>3.5322862850634074E-2</v>
      </c>
      <c r="O85" s="82">
        <f>L85/'סכום נכסי הקרן'!$C$42</f>
        <v>5.1596205820108399E-3</v>
      </c>
    </row>
    <row r="86" spans="2:15" s="122" customFormat="1">
      <c r="B86" s="77" t="s">
        <v>1328</v>
      </c>
      <c r="C86" s="74" t="s">
        <v>1329</v>
      </c>
      <c r="D86" s="87" t="s">
        <v>123</v>
      </c>
      <c r="E86" s="87" t="s">
        <v>352</v>
      </c>
      <c r="F86" s="74" t="s">
        <v>1330</v>
      </c>
      <c r="G86" s="87" t="s">
        <v>1331</v>
      </c>
      <c r="H86" s="87" t="s">
        <v>165</v>
      </c>
      <c r="I86" s="84">
        <v>6734959.6099920003</v>
      </c>
      <c r="J86" s="86">
        <v>223.5</v>
      </c>
      <c r="K86" s="74"/>
      <c r="L86" s="84">
        <v>15052.634729724998</v>
      </c>
      <c r="M86" s="85">
        <v>2.268785361532543E-2</v>
      </c>
      <c r="N86" s="85">
        <f t="shared" si="2"/>
        <v>1.978278572005201E-3</v>
      </c>
      <c r="O86" s="85">
        <f>L86/'סכום נכסי הקרן'!$C$42</f>
        <v>2.8896771137240423E-4</v>
      </c>
    </row>
    <row r="87" spans="2:15" s="122" customFormat="1">
      <c r="B87" s="77" t="s">
        <v>1332</v>
      </c>
      <c r="C87" s="74" t="s">
        <v>1333</v>
      </c>
      <c r="D87" s="87" t="s">
        <v>123</v>
      </c>
      <c r="E87" s="87" t="s">
        <v>352</v>
      </c>
      <c r="F87" s="74" t="s">
        <v>1334</v>
      </c>
      <c r="G87" s="87" t="s">
        <v>1242</v>
      </c>
      <c r="H87" s="87" t="s">
        <v>165</v>
      </c>
      <c r="I87" s="84">
        <v>92981.189893999996</v>
      </c>
      <c r="J87" s="86">
        <v>2400</v>
      </c>
      <c r="K87" s="74"/>
      <c r="L87" s="84">
        <v>2231.5485574599998</v>
      </c>
      <c r="M87" s="85">
        <v>1.9290351108527479E-2</v>
      </c>
      <c r="N87" s="85">
        <f t="shared" si="2"/>
        <v>2.9327920147391277E-4</v>
      </c>
      <c r="O87" s="85">
        <f>L87/'סכום נכסי הקרן'!$C$42</f>
        <v>4.2839376032436764E-5</v>
      </c>
    </row>
    <row r="88" spans="2:15" s="122" customFormat="1">
      <c r="B88" s="77" t="s">
        <v>1335</v>
      </c>
      <c r="C88" s="74" t="s">
        <v>1336</v>
      </c>
      <c r="D88" s="87" t="s">
        <v>123</v>
      </c>
      <c r="E88" s="87" t="s">
        <v>352</v>
      </c>
      <c r="F88" s="74" t="s">
        <v>1337</v>
      </c>
      <c r="G88" s="87" t="s">
        <v>159</v>
      </c>
      <c r="H88" s="87" t="s">
        <v>165</v>
      </c>
      <c r="I88" s="84">
        <v>1215363.690097</v>
      </c>
      <c r="J88" s="86">
        <v>259.3</v>
      </c>
      <c r="K88" s="74"/>
      <c r="L88" s="84">
        <v>3151.4380478650005</v>
      </c>
      <c r="M88" s="85">
        <v>2.2102384162643054E-2</v>
      </c>
      <c r="N88" s="85">
        <f t="shared" si="2"/>
        <v>4.1417482540660375E-4</v>
      </c>
      <c r="O88" s="85">
        <f>L88/'סכום נכסי הקרן'!$C$42</f>
        <v>6.0498634064715916E-5</v>
      </c>
    </row>
    <row r="89" spans="2:15" s="122" customFormat="1">
      <c r="B89" s="77" t="s">
        <v>1338</v>
      </c>
      <c r="C89" s="74" t="s">
        <v>1339</v>
      </c>
      <c r="D89" s="87" t="s">
        <v>123</v>
      </c>
      <c r="E89" s="87" t="s">
        <v>352</v>
      </c>
      <c r="F89" s="74" t="s">
        <v>1340</v>
      </c>
      <c r="G89" s="87" t="s">
        <v>159</v>
      </c>
      <c r="H89" s="87" t="s">
        <v>165</v>
      </c>
      <c r="I89" s="84">
        <v>386865.78850899992</v>
      </c>
      <c r="J89" s="86">
        <v>1423</v>
      </c>
      <c r="K89" s="74"/>
      <c r="L89" s="84">
        <v>5505.100170488</v>
      </c>
      <c r="M89" s="85">
        <v>2.914298550217299E-2</v>
      </c>
      <c r="N89" s="85">
        <f t="shared" si="2"/>
        <v>7.2350268903506121E-4</v>
      </c>
      <c r="O89" s="85">
        <f>L89/'סכום נכסי הקרן'!$C$42</f>
        <v>1.0568224272394955E-4</v>
      </c>
    </row>
    <row r="90" spans="2:15" s="122" customFormat="1">
      <c r="B90" s="77" t="s">
        <v>1341</v>
      </c>
      <c r="C90" s="74" t="s">
        <v>1342</v>
      </c>
      <c r="D90" s="87" t="s">
        <v>123</v>
      </c>
      <c r="E90" s="87" t="s">
        <v>352</v>
      </c>
      <c r="F90" s="74" t="s">
        <v>1343</v>
      </c>
      <c r="G90" s="87" t="s">
        <v>154</v>
      </c>
      <c r="H90" s="87" t="s">
        <v>165</v>
      </c>
      <c r="I90" s="84">
        <v>41772.345975999997</v>
      </c>
      <c r="J90" s="86">
        <v>9999</v>
      </c>
      <c r="K90" s="74"/>
      <c r="L90" s="84">
        <v>4176.8168741239997</v>
      </c>
      <c r="M90" s="85">
        <v>4.1626652691579471E-3</v>
      </c>
      <c r="N90" s="85">
        <f t="shared" si="2"/>
        <v>5.4893428756044827E-4</v>
      </c>
      <c r="O90" s="85">
        <f>L90/'סכום נכסי הקרן'!$C$42</f>
        <v>8.0182986872976634E-5</v>
      </c>
    </row>
    <row r="91" spans="2:15" s="122" customFormat="1">
      <c r="B91" s="77" t="s">
        <v>1344</v>
      </c>
      <c r="C91" s="74" t="s">
        <v>1345</v>
      </c>
      <c r="D91" s="87" t="s">
        <v>123</v>
      </c>
      <c r="E91" s="87" t="s">
        <v>352</v>
      </c>
      <c r="F91" s="74" t="s">
        <v>1346</v>
      </c>
      <c r="G91" s="87" t="s">
        <v>1347</v>
      </c>
      <c r="H91" s="87" t="s">
        <v>165</v>
      </c>
      <c r="I91" s="84">
        <v>5706569.2734829998</v>
      </c>
      <c r="J91" s="86">
        <v>140</v>
      </c>
      <c r="K91" s="74"/>
      <c r="L91" s="84">
        <v>7989.1969828770007</v>
      </c>
      <c r="M91" s="85">
        <v>1.3487422980034051E-2</v>
      </c>
      <c r="N91" s="85">
        <f t="shared" si="2"/>
        <v>1.0499728109088925E-3</v>
      </c>
      <c r="O91" s="85">
        <f>L91/'סכום נכסי הקרן'!$C$42</f>
        <v>1.5336982590073527E-4</v>
      </c>
    </row>
    <row r="92" spans="2:15" s="122" customFormat="1">
      <c r="B92" s="77" t="s">
        <v>1348</v>
      </c>
      <c r="C92" s="74" t="s">
        <v>1349</v>
      </c>
      <c r="D92" s="87" t="s">
        <v>123</v>
      </c>
      <c r="E92" s="87" t="s">
        <v>352</v>
      </c>
      <c r="F92" s="74" t="s">
        <v>1350</v>
      </c>
      <c r="G92" s="87" t="s">
        <v>1351</v>
      </c>
      <c r="H92" s="87" t="s">
        <v>165</v>
      </c>
      <c r="I92" s="84">
        <v>608936.16533700004</v>
      </c>
      <c r="J92" s="86">
        <v>274.39999999999998</v>
      </c>
      <c r="K92" s="74"/>
      <c r="L92" s="84">
        <v>1670.9208382429999</v>
      </c>
      <c r="M92" s="85">
        <v>3.154564399319372E-2</v>
      </c>
      <c r="N92" s="85">
        <f t="shared" si="2"/>
        <v>2.1959922293772989E-4</v>
      </c>
      <c r="O92" s="85">
        <f>L92/'סכום נכסי הקרן'!$C$42</f>
        <v>3.2076920697348259E-5</v>
      </c>
    </row>
    <row r="93" spans="2:15" s="122" customFormat="1">
      <c r="B93" s="77" t="s">
        <v>1352</v>
      </c>
      <c r="C93" s="74" t="s">
        <v>1353</v>
      </c>
      <c r="D93" s="87" t="s">
        <v>123</v>
      </c>
      <c r="E93" s="87" t="s">
        <v>352</v>
      </c>
      <c r="F93" s="74" t="s">
        <v>1354</v>
      </c>
      <c r="G93" s="87" t="s">
        <v>190</v>
      </c>
      <c r="H93" s="87" t="s">
        <v>165</v>
      </c>
      <c r="I93" s="84">
        <v>365481.83552199998</v>
      </c>
      <c r="J93" s="86">
        <v>556.70000000000005</v>
      </c>
      <c r="K93" s="74"/>
      <c r="L93" s="84">
        <v>2034.6373787499999</v>
      </c>
      <c r="M93" s="85">
        <v>8.4866567340834819E-3</v>
      </c>
      <c r="N93" s="85">
        <f t="shared" si="2"/>
        <v>2.674003322643232E-4</v>
      </c>
      <c r="O93" s="85">
        <f>L93/'סכום נכסי הקרן'!$C$42</f>
        <v>3.9059242276642724E-5</v>
      </c>
    </row>
    <row r="94" spans="2:15" s="122" customFormat="1">
      <c r="B94" s="77" t="s">
        <v>1355</v>
      </c>
      <c r="C94" s="74" t="s">
        <v>1356</v>
      </c>
      <c r="D94" s="87" t="s">
        <v>123</v>
      </c>
      <c r="E94" s="87" t="s">
        <v>352</v>
      </c>
      <c r="F94" s="74" t="s">
        <v>1357</v>
      </c>
      <c r="G94" s="87" t="s">
        <v>721</v>
      </c>
      <c r="H94" s="87" t="s">
        <v>165</v>
      </c>
      <c r="I94" s="84">
        <v>383134.01163199998</v>
      </c>
      <c r="J94" s="86">
        <v>1103</v>
      </c>
      <c r="K94" s="74"/>
      <c r="L94" s="84">
        <v>4225.9681483029999</v>
      </c>
      <c r="M94" s="85">
        <v>1.3686400827269662E-2</v>
      </c>
      <c r="N94" s="85">
        <f t="shared" si="2"/>
        <v>5.5539394822723214E-4</v>
      </c>
      <c r="O94" s="85">
        <f>L94/'סכום נכסי הקרן'!$C$42</f>
        <v>8.1126551336312469E-5</v>
      </c>
    </row>
    <row r="95" spans="2:15" s="122" customFormat="1">
      <c r="B95" s="77" t="s">
        <v>1358</v>
      </c>
      <c r="C95" s="74" t="s">
        <v>1359</v>
      </c>
      <c r="D95" s="87" t="s">
        <v>123</v>
      </c>
      <c r="E95" s="87" t="s">
        <v>352</v>
      </c>
      <c r="F95" s="74" t="s">
        <v>1360</v>
      </c>
      <c r="G95" s="87" t="s">
        <v>159</v>
      </c>
      <c r="H95" s="87" t="s">
        <v>165</v>
      </c>
      <c r="I95" s="84">
        <v>204532.44549000001</v>
      </c>
      <c r="J95" s="86">
        <v>1674</v>
      </c>
      <c r="K95" s="74"/>
      <c r="L95" s="84">
        <v>3423.8731375070001</v>
      </c>
      <c r="M95" s="85">
        <v>3.0745616324008896E-2</v>
      </c>
      <c r="N95" s="85">
        <f t="shared" si="2"/>
        <v>4.4997935463209505E-4</v>
      </c>
      <c r="O95" s="85">
        <f>L95/'סכום נכסי הקרן'!$C$42</f>
        <v>6.5728611790537127E-5</v>
      </c>
    </row>
    <row r="96" spans="2:15" s="122" customFormat="1">
      <c r="B96" s="77" t="s">
        <v>1361</v>
      </c>
      <c r="C96" s="74" t="s">
        <v>1362</v>
      </c>
      <c r="D96" s="87" t="s">
        <v>123</v>
      </c>
      <c r="E96" s="87" t="s">
        <v>352</v>
      </c>
      <c r="F96" s="74" t="s">
        <v>1363</v>
      </c>
      <c r="G96" s="87" t="s">
        <v>1351</v>
      </c>
      <c r="H96" s="87" t="s">
        <v>165</v>
      </c>
      <c r="I96" s="84">
        <v>89168.963892999993</v>
      </c>
      <c r="J96" s="86">
        <v>12180</v>
      </c>
      <c r="K96" s="74"/>
      <c r="L96" s="84">
        <v>10860.779802696998</v>
      </c>
      <c r="M96" s="85">
        <v>1.763139145722761E-2</v>
      </c>
      <c r="N96" s="85">
        <f t="shared" si="2"/>
        <v>1.4273679222756822E-3</v>
      </c>
      <c r="O96" s="85">
        <f>L96/'סכום נכסי הקרן'!$C$42</f>
        <v>2.0849603671757472E-4</v>
      </c>
    </row>
    <row r="97" spans="2:15" s="122" customFormat="1">
      <c r="B97" s="77" t="s">
        <v>1364</v>
      </c>
      <c r="C97" s="74" t="s">
        <v>1365</v>
      </c>
      <c r="D97" s="87" t="s">
        <v>123</v>
      </c>
      <c r="E97" s="87" t="s">
        <v>352</v>
      </c>
      <c r="F97" s="74" t="s">
        <v>1366</v>
      </c>
      <c r="G97" s="87" t="s">
        <v>682</v>
      </c>
      <c r="H97" s="87" t="s">
        <v>165</v>
      </c>
      <c r="I97" s="84">
        <v>223646.838865</v>
      </c>
      <c r="J97" s="86">
        <v>8198</v>
      </c>
      <c r="K97" s="74"/>
      <c r="L97" s="84">
        <v>18334.567850138003</v>
      </c>
      <c r="M97" s="85">
        <v>1.768863068567211E-2</v>
      </c>
      <c r="N97" s="85">
        <f t="shared" si="2"/>
        <v>2.4096035914083539E-3</v>
      </c>
      <c r="O97" s="85">
        <f>L97/'סכום נכסי הקרן'!$C$42</f>
        <v>3.5197147913209437E-4</v>
      </c>
    </row>
    <row r="98" spans="2:15" s="122" customFormat="1">
      <c r="B98" s="77" t="s">
        <v>1367</v>
      </c>
      <c r="C98" s="74" t="s">
        <v>1368</v>
      </c>
      <c r="D98" s="87" t="s">
        <v>123</v>
      </c>
      <c r="E98" s="87" t="s">
        <v>352</v>
      </c>
      <c r="F98" s="74" t="s">
        <v>1369</v>
      </c>
      <c r="G98" s="87" t="s">
        <v>886</v>
      </c>
      <c r="H98" s="87" t="s">
        <v>165</v>
      </c>
      <c r="I98" s="84">
        <v>33993.611185000002</v>
      </c>
      <c r="J98" s="86">
        <v>0</v>
      </c>
      <c r="K98" s="74"/>
      <c r="L98" s="84">
        <v>3.3411000000000002E-5</v>
      </c>
      <c r="M98" s="85">
        <v>2.1502273777286928E-2</v>
      </c>
      <c r="N98" s="85">
        <f t="shared" si="2"/>
        <v>4.3910097173050386E-12</v>
      </c>
      <c r="O98" s="85">
        <f>L98/'סכום נכסי הקרן'!$C$42</f>
        <v>6.4139603318732657E-13</v>
      </c>
    </row>
    <row r="99" spans="2:15" s="122" customFormat="1">
      <c r="B99" s="77" t="s">
        <v>1370</v>
      </c>
      <c r="C99" s="74" t="s">
        <v>1371</v>
      </c>
      <c r="D99" s="87" t="s">
        <v>123</v>
      </c>
      <c r="E99" s="87" t="s">
        <v>352</v>
      </c>
      <c r="F99" s="74" t="s">
        <v>1372</v>
      </c>
      <c r="G99" s="87" t="s">
        <v>1347</v>
      </c>
      <c r="H99" s="87" t="s">
        <v>165</v>
      </c>
      <c r="I99" s="84">
        <v>380835.317263</v>
      </c>
      <c r="J99" s="86">
        <v>569.5</v>
      </c>
      <c r="K99" s="74"/>
      <c r="L99" s="84">
        <v>2168.857133818</v>
      </c>
      <c r="M99" s="85">
        <v>1.4062560526102205E-2</v>
      </c>
      <c r="N99" s="85">
        <f t="shared" si="2"/>
        <v>2.8504003920987674E-4</v>
      </c>
      <c r="O99" s="85">
        <f>L99/'סכום נכסי הקרן'!$C$42</f>
        <v>4.1635879266735501E-5</v>
      </c>
    </row>
    <row r="100" spans="2:15" s="122" customFormat="1">
      <c r="B100" s="77" t="s">
        <v>1373</v>
      </c>
      <c r="C100" s="74" t="s">
        <v>1374</v>
      </c>
      <c r="D100" s="87" t="s">
        <v>123</v>
      </c>
      <c r="E100" s="87" t="s">
        <v>352</v>
      </c>
      <c r="F100" s="74" t="s">
        <v>1375</v>
      </c>
      <c r="G100" s="87" t="s">
        <v>188</v>
      </c>
      <c r="H100" s="87" t="s">
        <v>165</v>
      </c>
      <c r="I100" s="84">
        <v>235593.647956</v>
      </c>
      <c r="J100" s="86">
        <v>358</v>
      </c>
      <c r="K100" s="74"/>
      <c r="L100" s="84">
        <v>843.42525968200005</v>
      </c>
      <c r="M100" s="85">
        <v>3.9053780288382481E-2</v>
      </c>
      <c r="N100" s="85">
        <f t="shared" si="2"/>
        <v>1.1084638325953093E-4</v>
      </c>
      <c r="O100" s="85">
        <f>L100/'סכום נכסי הקרן'!$C$42</f>
        <v>1.6191362600641273E-5</v>
      </c>
    </row>
    <row r="101" spans="2:15" s="122" customFormat="1">
      <c r="B101" s="77" t="s">
        <v>1376</v>
      </c>
      <c r="C101" s="74" t="s">
        <v>1377</v>
      </c>
      <c r="D101" s="87" t="s">
        <v>123</v>
      </c>
      <c r="E101" s="87" t="s">
        <v>352</v>
      </c>
      <c r="F101" s="74" t="s">
        <v>1378</v>
      </c>
      <c r="G101" s="87" t="s">
        <v>191</v>
      </c>
      <c r="H101" s="87" t="s">
        <v>165</v>
      </c>
      <c r="I101" s="84">
        <v>538327.62795300002</v>
      </c>
      <c r="J101" s="86">
        <v>440.9</v>
      </c>
      <c r="K101" s="74"/>
      <c r="L101" s="84">
        <v>2373.4865113989999</v>
      </c>
      <c r="M101" s="85">
        <v>3.4847538222091259E-2</v>
      </c>
      <c r="N101" s="85">
        <f t="shared" si="2"/>
        <v>3.1193326555462107E-4</v>
      </c>
      <c r="O101" s="85">
        <f>L101/'סכום נכסי הקרן'!$C$42</f>
        <v>4.5564180456584503E-5</v>
      </c>
    </row>
    <row r="102" spans="2:15" s="122" customFormat="1">
      <c r="B102" s="77" t="s">
        <v>1379</v>
      </c>
      <c r="C102" s="74" t="s">
        <v>1380</v>
      </c>
      <c r="D102" s="87" t="s">
        <v>123</v>
      </c>
      <c r="E102" s="87" t="s">
        <v>352</v>
      </c>
      <c r="F102" s="74" t="s">
        <v>1381</v>
      </c>
      <c r="G102" s="87" t="s">
        <v>548</v>
      </c>
      <c r="H102" s="87" t="s">
        <v>165</v>
      </c>
      <c r="I102" s="84">
        <v>753618.10987699998</v>
      </c>
      <c r="J102" s="86">
        <v>535</v>
      </c>
      <c r="K102" s="74"/>
      <c r="L102" s="84">
        <v>4031.856890906</v>
      </c>
      <c r="M102" s="85">
        <v>2.2015122584916415E-2</v>
      </c>
      <c r="N102" s="85">
        <f t="shared" si="2"/>
        <v>5.2988305608187502E-4</v>
      </c>
      <c r="O102" s="85">
        <f>L102/'סכום נכסי הקרן'!$C$42</f>
        <v>7.7400168094522647E-5</v>
      </c>
    </row>
    <row r="103" spans="2:15" s="122" customFormat="1">
      <c r="B103" s="77" t="s">
        <v>1382</v>
      </c>
      <c r="C103" s="74" t="s">
        <v>1383</v>
      </c>
      <c r="D103" s="87" t="s">
        <v>123</v>
      </c>
      <c r="E103" s="87" t="s">
        <v>352</v>
      </c>
      <c r="F103" s="74" t="s">
        <v>1384</v>
      </c>
      <c r="G103" s="87" t="s">
        <v>548</v>
      </c>
      <c r="H103" s="87" t="s">
        <v>165</v>
      </c>
      <c r="I103" s="84">
        <v>470502.08343</v>
      </c>
      <c r="J103" s="86">
        <v>1216</v>
      </c>
      <c r="K103" s="74"/>
      <c r="L103" s="84">
        <v>5721.3053345079989</v>
      </c>
      <c r="M103" s="85">
        <v>3.0995342908096021E-2</v>
      </c>
      <c r="N103" s="85">
        <f t="shared" si="2"/>
        <v>7.5191725238675218E-4</v>
      </c>
      <c r="O103" s="85">
        <f>L103/'סכום נכסי הקרן'!$C$42</f>
        <v>1.0983276604133132E-4</v>
      </c>
    </row>
    <row r="104" spans="2:15" s="122" customFormat="1">
      <c r="B104" s="77" t="s">
        <v>1385</v>
      </c>
      <c r="C104" s="74" t="s">
        <v>1386</v>
      </c>
      <c r="D104" s="87" t="s">
        <v>123</v>
      </c>
      <c r="E104" s="87" t="s">
        <v>352</v>
      </c>
      <c r="F104" s="74" t="s">
        <v>1387</v>
      </c>
      <c r="G104" s="132" t="s">
        <v>492</v>
      </c>
      <c r="H104" s="87" t="s">
        <v>165</v>
      </c>
      <c r="I104" s="84">
        <v>25339410.393607996</v>
      </c>
      <c r="J104" s="86">
        <v>70</v>
      </c>
      <c r="K104" s="74"/>
      <c r="L104" s="84">
        <v>17737.587275525999</v>
      </c>
      <c r="M104" s="85">
        <v>2.6860732412698218E-2</v>
      </c>
      <c r="N104" s="85">
        <f t="shared" si="2"/>
        <v>2.3311459725354183E-3</v>
      </c>
      <c r="O104" s="85">
        <f>L104/'סכום נכסי הקרן'!$C$42</f>
        <v>3.4051115251972026E-4</v>
      </c>
    </row>
    <row r="105" spans="2:15" s="122" customFormat="1">
      <c r="B105" s="77" t="s">
        <v>1388</v>
      </c>
      <c r="C105" s="74" t="s">
        <v>1389</v>
      </c>
      <c r="D105" s="87" t="s">
        <v>123</v>
      </c>
      <c r="E105" s="87" t="s">
        <v>352</v>
      </c>
      <c r="F105" s="74" t="s">
        <v>1390</v>
      </c>
      <c r="G105" s="87" t="s">
        <v>149</v>
      </c>
      <c r="H105" s="87" t="s">
        <v>165</v>
      </c>
      <c r="I105" s="84">
        <v>442840.49266900006</v>
      </c>
      <c r="J105" s="86">
        <v>712.1</v>
      </c>
      <c r="K105" s="74"/>
      <c r="L105" s="84">
        <v>3153.4671482919994</v>
      </c>
      <c r="M105" s="85">
        <v>2.2140917587570624E-2</v>
      </c>
      <c r="N105" s="85">
        <f t="shared" si="2"/>
        <v>4.1444149805011459E-4</v>
      </c>
      <c r="O105" s="85">
        <f>L105/'סכום נכסי הקרן'!$C$42</f>
        <v>6.053758701329021E-5</v>
      </c>
    </row>
    <row r="106" spans="2:15" s="122" customFormat="1">
      <c r="B106" s="77" t="s">
        <v>1391</v>
      </c>
      <c r="C106" s="74" t="s">
        <v>1392</v>
      </c>
      <c r="D106" s="87" t="s">
        <v>123</v>
      </c>
      <c r="E106" s="87" t="s">
        <v>352</v>
      </c>
      <c r="F106" s="74" t="s">
        <v>1393</v>
      </c>
      <c r="G106" s="87" t="s">
        <v>755</v>
      </c>
      <c r="H106" s="87" t="s">
        <v>165</v>
      </c>
      <c r="I106" s="84">
        <v>326386.390021</v>
      </c>
      <c r="J106" s="86">
        <v>1896</v>
      </c>
      <c r="K106" s="74"/>
      <c r="L106" s="84">
        <v>6188.2859547960006</v>
      </c>
      <c r="M106" s="85">
        <v>2.2499390100544896E-2</v>
      </c>
      <c r="N106" s="85">
        <f t="shared" si="2"/>
        <v>8.132897477169653E-4</v>
      </c>
      <c r="O106" s="85">
        <f>L106/'סכום נכסי הקרן'!$C$42</f>
        <v>1.1879746381835331E-4</v>
      </c>
    </row>
    <row r="107" spans="2:15" s="122" customFormat="1">
      <c r="B107" s="77" t="s">
        <v>1394</v>
      </c>
      <c r="C107" s="74" t="s">
        <v>1395</v>
      </c>
      <c r="D107" s="87" t="s">
        <v>123</v>
      </c>
      <c r="E107" s="87" t="s">
        <v>352</v>
      </c>
      <c r="F107" s="74" t="s">
        <v>1396</v>
      </c>
      <c r="G107" s="87" t="s">
        <v>159</v>
      </c>
      <c r="H107" s="87" t="s">
        <v>165</v>
      </c>
      <c r="I107" s="84">
        <v>326657.02250100003</v>
      </c>
      <c r="J107" s="86">
        <v>386.2</v>
      </c>
      <c r="K107" s="74"/>
      <c r="L107" s="84">
        <v>1261.5494197829998</v>
      </c>
      <c r="M107" s="85">
        <v>2.8344139349427266E-2</v>
      </c>
      <c r="N107" s="85">
        <f t="shared" si="2"/>
        <v>1.657979635786922E-4</v>
      </c>
      <c r="O107" s="85">
        <f>L107/'סכום נכסי הקרן'!$C$42</f>
        <v>2.4218155503235147E-5</v>
      </c>
    </row>
    <row r="108" spans="2:15" s="122" customFormat="1">
      <c r="B108" s="77" t="s">
        <v>1397</v>
      </c>
      <c r="C108" s="74" t="s">
        <v>1398</v>
      </c>
      <c r="D108" s="87" t="s">
        <v>123</v>
      </c>
      <c r="E108" s="87" t="s">
        <v>352</v>
      </c>
      <c r="F108" s="74" t="s">
        <v>1399</v>
      </c>
      <c r="G108" s="87" t="s">
        <v>682</v>
      </c>
      <c r="H108" s="87" t="s">
        <v>165</v>
      </c>
      <c r="I108" s="84">
        <v>137023.00638599999</v>
      </c>
      <c r="J108" s="86">
        <v>17650</v>
      </c>
      <c r="K108" s="74"/>
      <c r="L108" s="84">
        <v>24184.560627130999</v>
      </c>
      <c r="M108" s="85">
        <v>3.75385750629008E-2</v>
      </c>
      <c r="N108" s="85">
        <f t="shared" si="2"/>
        <v>3.1784334716855244E-3</v>
      </c>
      <c r="O108" s="85">
        <f>L108/'סכום נכסי הקרן'!$C$42</f>
        <v>4.6427467751998519E-4</v>
      </c>
    </row>
    <row r="109" spans="2:15" s="122" customFormat="1">
      <c r="B109" s="77" t="s">
        <v>1400</v>
      </c>
      <c r="C109" s="74" t="s">
        <v>1401</v>
      </c>
      <c r="D109" s="87" t="s">
        <v>123</v>
      </c>
      <c r="E109" s="87" t="s">
        <v>352</v>
      </c>
      <c r="F109" s="74" t="s">
        <v>1402</v>
      </c>
      <c r="G109" s="87" t="s">
        <v>154</v>
      </c>
      <c r="H109" s="87" t="s">
        <v>165</v>
      </c>
      <c r="I109" s="84">
        <v>338692.92870400002</v>
      </c>
      <c r="J109" s="86">
        <v>1996</v>
      </c>
      <c r="K109" s="74"/>
      <c r="L109" s="84">
        <v>6760.3108569369997</v>
      </c>
      <c r="M109" s="85">
        <v>2.3528812643662831E-2</v>
      </c>
      <c r="N109" s="85">
        <f t="shared" si="2"/>
        <v>8.8846759045862491E-4</v>
      </c>
      <c r="O109" s="85">
        <f>L109/'סכום נכסי הקרן'!$C$42</f>
        <v>1.2977871260221507E-4</v>
      </c>
    </row>
    <row r="110" spans="2:15" s="122" customFormat="1">
      <c r="B110" s="77" t="s">
        <v>1403</v>
      </c>
      <c r="C110" s="74" t="s">
        <v>1404</v>
      </c>
      <c r="D110" s="87" t="s">
        <v>123</v>
      </c>
      <c r="E110" s="87" t="s">
        <v>352</v>
      </c>
      <c r="F110" s="74" t="s">
        <v>1405</v>
      </c>
      <c r="G110" s="87" t="s">
        <v>755</v>
      </c>
      <c r="H110" s="87" t="s">
        <v>165</v>
      </c>
      <c r="I110" s="84">
        <v>13764.437522</v>
      </c>
      <c r="J110" s="86">
        <v>10160</v>
      </c>
      <c r="K110" s="74"/>
      <c r="L110" s="84">
        <v>1398.466851659</v>
      </c>
      <c r="M110" s="85">
        <v>4.13989959227917E-3</v>
      </c>
      <c r="N110" s="85">
        <f t="shared" si="2"/>
        <v>1.8379221019914558E-4</v>
      </c>
      <c r="O110" s="85">
        <f>L110/'סכום נכסי הקרן'!$C$42</f>
        <v>2.6846580204066087E-5</v>
      </c>
    </row>
    <row r="111" spans="2:15" s="122" customFormat="1">
      <c r="B111" s="77" t="s">
        <v>1406</v>
      </c>
      <c r="C111" s="74" t="s">
        <v>1407</v>
      </c>
      <c r="D111" s="87" t="s">
        <v>123</v>
      </c>
      <c r="E111" s="87" t="s">
        <v>352</v>
      </c>
      <c r="F111" s="74" t="s">
        <v>1408</v>
      </c>
      <c r="G111" s="87" t="s">
        <v>154</v>
      </c>
      <c r="H111" s="87" t="s">
        <v>165</v>
      </c>
      <c r="I111" s="84">
        <v>885197.35507199983</v>
      </c>
      <c r="J111" s="86">
        <v>574.20000000000005</v>
      </c>
      <c r="K111" s="74"/>
      <c r="L111" s="84">
        <v>5082.8032139400002</v>
      </c>
      <c r="M111" s="85">
        <v>2.2342124292395269E-2</v>
      </c>
      <c r="N111" s="85">
        <f t="shared" si="2"/>
        <v>6.6800270280924906E-4</v>
      </c>
      <c r="O111" s="85">
        <f>L111/'סכום נכסי הקרן'!$C$42</f>
        <v>9.7575344015231815E-5</v>
      </c>
    </row>
    <row r="112" spans="2:15" s="122" customFormat="1">
      <c r="B112" s="77" t="s">
        <v>1409</v>
      </c>
      <c r="C112" s="74" t="s">
        <v>1410</v>
      </c>
      <c r="D112" s="87" t="s">
        <v>123</v>
      </c>
      <c r="E112" s="87" t="s">
        <v>352</v>
      </c>
      <c r="F112" s="74" t="s">
        <v>397</v>
      </c>
      <c r="G112" s="87" t="s">
        <v>3376</v>
      </c>
      <c r="H112" s="87" t="s">
        <v>165</v>
      </c>
      <c r="I112" s="84">
        <v>4640456.0547679998</v>
      </c>
      <c r="J112" s="86">
        <v>162.1</v>
      </c>
      <c r="K112" s="74"/>
      <c r="L112" s="84">
        <v>7522.1792647789989</v>
      </c>
      <c r="M112" s="85">
        <v>9.5820932250378806E-3</v>
      </c>
      <c r="N112" s="85">
        <f t="shared" si="2"/>
        <v>9.8859544003337377E-4</v>
      </c>
      <c r="O112" s="85">
        <f>L112/'סכום נכסי הקרן'!$C$42</f>
        <v>1.4440441595142949E-4</v>
      </c>
    </row>
    <row r="113" spans="2:15" s="122" customFormat="1">
      <c r="B113" s="77" t="s">
        <v>1411</v>
      </c>
      <c r="C113" s="74" t="s">
        <v>1412</v>
      </c>
      <c r="D113" s="87" t="s">
        <v>123</v>
      </c>
      <c r="E113" s="87" t="s">
        <v>352</v>
      </c>
      <c r="F113" s="74" t="s">
        <v>1413</v>
      </c>
      <c r="G113" s="87" t="s">
        <v>154</v>
      </c>
      <c r="H113" s="87" t="s">
        <v>165</v>
      </c>
      <c r="I113" s="84">
        <v>1448040.2428989999</v>
      </c>
      <c r="J113" s="86">
        <v>39.799999999999997</v>
      </c>
      <c r="K113" s="74"/>
      <c r="L113" s="84">
        <v>576.32001778800009</v>
      </c>
      <c r="M113" s="85">
        <v>8.2818614955554367E-3</v>
      </c>
      <c r="N113" s="85">
        <f t="shared" si="2"/>
        <v>7.5742324335833141E-5</v>
      </c>
      <c r="O113" s="85">
        <f>L113/'סכום נכסי הקרן'!$C$42</f>
        <v>1.1063702770215579E-5</v>
      </c>
    </row>
    <row r="114" spans="2:15" s="122" customFormat="1">
      <c r="B114" s="77" t="s">
        <v>1414</v>
      </c>
      <c r="C114" s="74" t="s">
        <v>1415</v>
      </c>
      <c r="D114" s="87" t="s">
        <v>123</v>
      </c>
      <c r="E114" s="87" t="s">
        <v>352</v>
      </c>
      <c r="F114" s="74" t="s">
        <v>1416</v>
      </c>
      <c r="G114" s="87" t="s">
        <v>159</v>
      </c>
      <c r="H114" s="87" t="s">
        <v>165</v>
      </c>
      <c r="I114" s="84">
        <v>10037209.887468001</v>
      </c>
      <c r="J114" s="86">
        <v>208.4</v>
      </c>
      <c r="K114" s="74"/>
      <c r="L114" s="84">
        <v>20917.545406597001</v>
      </c>
      <c r="M114" s="85">
        <v>2.1655911864512715E-2</v>
      </c>
      <c r="N114" s="85">
        <f t="shared" si="2"/>
        <v>2.7490690234514619E-3</v>
      </c>
      <c r="O114" s="85">
        <f>L114/'סכום נכסי הקרן'!$C$42</f>
        <v>4.0155729094630809E-4</v>
      </c>
    </row>
    <row r="115" spans="2:15" s="122" customFormat="1">
      <c r="B115" s="77" t="s">
        <v>1417</v>
      </c>
      <c r="C115" s="74" t="s">
        <v>1418</v>
      </c>
      <c r="D115" s="87" t="s">
        <v>123</v>
      </c>
      <c r="E115" s="87" t="s">
        <v>352</v>
      </c>
      <c r="F115" s="74" t="s">
        <v>1419</v>
      </c>
      <c r="G115" s="87" t="s">
        <v>1331</v>
      </c>
      <c r="H115" s="87" t="s">
        <v>165</v>
      </c>
      <c r="I115" s="84">
        <v>162594.61833299999</v>
      </c>
      <c r="J115" s="86">
        <v>2433</v>
      </c>
      <c r="K115" s="74"/>
      <c r="L115" s="84">
        <v>3955.9270646649998</v>
      </c>
      <c r="M115" s="85">
        <v>1.5439993445192476E-2</v>
      </c>
      <c r="N115" s="85">
        <f t="shared" si="2"/>
        <v>5.1990404902259768E-4</v>
      </c>
      <c r="O115" s="85">
        <f>L115/'סכום נכסי הקרן'!$C$42</f>
        <v>7.5942531706758713E-5</v>
      </c>
    </row>
    <row r="116" spans="2:15" s="122" customFormat="1">
      <c r="B116" s="77" t="s">
        <v>1420</v>
      </c>
      <c r="C116" s="74" t="s">
        <v>1421</v>
      </c>
      <c r="D116" s="87" t="s">
        <v>123</v>
      </c>
      <c r="E116" s="87" t="s">
        <v>352</v>
      </c>
      <c r="F116" s="74" t="s">
        <v>1422</v>
      </c>
      <c r="G116" s="87" t="s">
        <v>682</v>
      </c>
      <c r="H116" s="87" t="s">
        <v>165</v>
      </c>
      <c r="I116" s="84">
        <v>4258.0150519999997</v>
      </c>
      <c r="J116" s="86">
        <v>212</v>
      </c>
      <c r="K116" s="74"/>
      <c r="L116" s="84">
        <v>9.0269936909999995</v>
      </c>
      <c r="M116" s="85">
        <v>6.2110000418635675E-4</v>
      </c>
      <c r="N116" s="85">
        <f t="shared" si="2"/>
        <v>1.1863642816806523E-6</v>
      </c>
      <c r="O116" s="85">
        <f>L116/'סכום נכסי הקרן'!$C$42</f>
        <v>1.7329256667009137E-7</v>
      </c>
    </row>
    <row r="117" spans="2:15" s="122" customFormat="1">
      <c r="B117" s="77" t="s">
        <v>1423</v>
      </c>
      <c r="C117" s="74" t="s">
        <v>1424</v>
      </c>
      <c r="D117" s="87" t="s">
        <v>123</v>
      </c>
      <c r="E117" s="87" t="s">
        <v>352</v>
      </c>
      <c r="F117" s="74" t="s">
        <v>1425</v>
      </c>
      <c r="G117" s="87" t="s">
        <v>548</v>
      </c>
      <c r="H117" s="87" t="s">
        <v>165</v>
      </c>
      <c r="I117" s="84">
        <v>205565.69356799999</v>
      </c>
      <c r="J117" s="86">
        <v>600</v>
      </c>
      <c r="K117" s="74"/>
      <c r="L117" s="84">
        <v>1233.3941614109999</v>
      </c>
      <c r="M117" s="85">
        <v>1.566170299068834E-2</v>
      </c>
      <c r="N117" s="85">
        <f t="shared" si="2"/>
        <v>1.6209768483502437E-4</v>
      </c>
      <c r="O117" s="85">
        <f>L117/'סכום נכסי הקרן'!$C$42</f>
        <v>2.3677654739020816E-5</v>
      </c>
    </row>
    <row r="118" spans="2:15" s="122" customFormat="1">
      <c r="B118" s="77" t="s">
        <v>1426</v>
      </c>
      <c r="C118" s="74" t="s">
        <v>1427</v>
      </c>
      <c r="D118" s="87" t="s">
        <v>123</v>
      </c>
      <c r="E118" s="87" t="s">
        <v>352</v>
      </c>
      <c r="F118" s="74" t="s">
        <v>1428</v>
      </c>
      <c r="G118" s="87" t="s">
        <v>548</v>
      </c>
      <c r="H118" s="87" t="s">
        <v>165</v>
      </c>
      <c r="I118" s="84">
        <v>451003.180329</v>
      </c>
      <c r="J118" s="86">
        <v>1420</v>
      </c>
      <c r="K118" s="74"/>
      <c r="L118" s="84">
        <v>6404.2451606679997</v>
      </c>
      <c r="M118" s="85">
        <v>1.7531375803653396E-2</v>
      </c>
      <c r="N118" s="85">
        <f t="shared" si="2"/>
        <v>8.4167198624695324E-4</v>
      </c>
      <c r="O118" s="85">
        <f>L118/'סכום נכסי הקרן'!$C$42</f>
        <v>1.2294326543987272E-4</v>
      </c>
    </row>
    <row r="119" spans="2:15" s="122" customFormat="1">
      <c r="B119" s="77" t="s">
        <v>1429</v>
      </c>
      <c r="C119" s="74" t="s">
        <v>1430</v>
      </c>
      <c r="D119" s="87" t="s">
        <v>123</v>
      </c>
      <c r="E119" s="87" t="s">
        <v>352</v>
      </c>
      <c r="F119" s="74" t="s">
        <v>1431</v>
      </c>
      <c r="G119" s="87" t="s">
        <v>160</v>
      </c>
      <c r="H119" s="87" t="s">
        <v>165</v>
      </c>
      <c r="I119" s="84">
        <v>6355323.495317</v>
      </c>
      <c r="J119" s="86">
        <v>228.5</v>
      </c>
      <c r="K119" s="84">
        <v>164.291467275</v>
      </c>
      <c r="L119" s="84">
        <v>14686.205655464999</v>
      </c>
      <c r="M119" s="85">
        <v>2.7382184101389564E-2</v>
      </c>
      <c r="N119" s="85">
        <f t="shared" si="2"/>
        <v>1.9301209704434773E-3</v>
      </c>
      <c r="O119" s="85">
        <f>L119/'סכום נכסי הקרן'!$C$42</f>
        <v>2.8193331687134568E-4</v>
      </c>
    </row>
    <row r="120" spans="2:15" s="122" customFormat="1">
      <c r="B120" s="77" t="s">
        <v>1432</v>
      </c>
      <c r="C120" s="74" t="s">
        <v>1433</v>
      </c>
      <c r="D120" s="87" t="s">
        <v>123</v>
      </c>
      <c r="E120" s="87" t="s">
        <v>352</v>
      </c>
      <c r="F120" s="74" t="s">
        <v>1434</v>
      </c>
      <c r="G120" s="87" t="s">
        <v>192</v>
      </c>
      <c r="H120" s="87" t="s">
        <v>165</v>
      </c>
      <c r="I120" s="84">
        <v>199995.17502900001</v>
      </c>
      <c r="J120" s="86">
        <v>1269</v>
      </c>
      <c r="K120" s="74"/>
      <c r="L120" s="84">
        <v>2537.9387711189997</v>
      </c>
      <c r="M120" s="85">
        <v>2.3133286691145359E-2</v>
      </c>
      <c r="N120" s="85">
        <f t="shared" si="2"/>
        <v>3.3354625141147334E-4</v>
      </c>
      <c r="O120" s="85">
        <f>L120/'סכום נכסי הקרן'!$C$42</f>
        <v>4.8721195422706436E-5</v>
      </c>
    </row>
    <row r="121" spans="2:15" s="122" customFormat="1">
      <c r="B121" s="77" t="s">
        <v>1435</v>
      </c>
      <c r="C121" s="74" t="s">
        <v>1436</v>
      </c>
      <c r="D121" s="87" t="s">
        <v>123</v>
      </c>
      <c r="E121" s="87" t="s">
        <v>352</v>
      </c>
      <c r="F121" s="74" t="s">
        <v>1437</v>
      </c>
      <c r="G121" s="87" t="s">
        <v>886</v>
      </c>
      <c r="H121" s="87" t="s">
        <v>165</v>
      </c>
      <c r="I121" s="84">
        <v>36531.486752999997</v>
      </c>
      <c r="J121" s="86">
        <v>21090</v>
      </c>
      <c r="K121" s="74"/>
      <c r="L121" s="84">
        <v>7704.4905562630001</v>
      </c>
      <c r="M121" s="85">
        <v>1.5862075790542281E-2</v>
      </c>
      <c r="N121" s="85">
        <f t="shared" si="2"/>
        <v>1.0125555325921323E-3</v>
      </c>
      <c r="O121" s="85">
        <f>L121/'סכום נכסי הקרן'!$C$42</f>
        <v>1.4790427345833131E-4</v>
      </c>
    </row>
    <row r="122" spans="2:15" s="122" customFormat="1">
      <c r="B122" s="77" t="s">
        <v>1438</v>
      </c>
      <c r="C122" s="74" t="s">
        <v>1439</v>
      </c>
      <c r="D122" s="87" t="s">
        <v>123</v>
      </c>
      <c r="E122" s="87" t="s">
        <v>352</v>
      </c>
      <c r="F122" s="74" t="s">
        <v>1440</v>
      </c>
      <c r="G122" s="87" t="s">
        <v>188</v>
      </c>
      <c r="H122" s="87" t="s">
        <v>165</v>
      </c>
      <c r="I122" s="84">
        <v>104694.11349600001</v>
      </c>
      <c r="J122" s="86">
        <v>3378</v>
      </c>
      <c r="K122" s="74"/>
      <c r="L122" s="84">
        <v>3536.5671526700003</v>
      </c>
      <c r="M122" s="85">
        <v>1.2693842169932454E-2</v>
      </c>
      <c r="N122" s="85">
        <f t="shared" si="2"/>
        <v>4.647900611557805E-4</v>
      </c>
      <c r="O122" s="85">
        <f>L122/'סכום נכסי הקרן'!$C$42</f>
        <v>6.7892015887675812E-5</v>
      </c>
    </row>
    <row r="123" spans="2:15" s="122" customFormat="1">
      <c r="B123" s="77" t="s">
        <v>1441</v>
      </c>
      <c r="C123" s="74" t="s">
        <v>1442</v>
      </c>
      <c r="D123" s="87" t="s">
        <v>123</v>
      </c>
      <c r="E123" s="87" t="s">
        <v>352</v>
      </c>
      <c r="F123" s="74" t="s">
        <v>1443</v>
      </c>
      <c r="G123" s="87" t="s">
        <v>548</v>
      </c>
      <c r="H123" s="87" t="s">
        <v>165</v>
      </c>
      <c r="I123" s="84">
        <v>2305315.9550129999</v>
      </c>
      <c r="J123" s="86">
        <v>560.4</v>
      </c>
      <c r="K123" s="74"/>
      <c r="L123" s="84">
        <v>12918.990612448999</v>
      </c>
      <c r="M123" s="85">
        <v>2.7159626978636053E-2</v>
      </c>
      <c r="N123" s="85">
        <f t="shared" si="2"/>
        <v>1.6978663708669638E-3</v>
      </c>
      <c r="O123" s="85">
        <f>L123/'סכום נכסי הקרן'!$C$42</f>
        <v>2.4800782172365685E-4</v>
      </c>
    </row>
    <row r="124" spans="2:15" s="122" customFormat="1">
      <c r="B124" s="77" t="s">
        <v>1444</v>
      </c>
      <c r="C124" s="74" t="s">
        <v>1445</v>
      </c>
      <c r="D124" s="87" t="s">
        <v>123</v>
      </c>
      <c r="E124" s="87" t="s">
        <v>352</v>
      </c>
      <c r="F124" s="74" t="s">
        <v>1446</v>
      </c>
      <c r="G124" s="132" t="s">
        <v>3407</v>
      </c>
      <c r="H124" s="87" t="s">
        <v>165</v>
      </c>
      <c r="I124" s="84">
        <v>2366642.0545000001</v>
      </c>
      <c r="J124" s="86">
        <v>853.7</v>
      </c>
      <c r="K124" s="74"/>
      <c r="L124" s="84">
        <v>20204.023219267001</v>
      </c>
      <c r="M124" s="85">
        <v>3.8110178011272144E-2</v>
      </c>
      <c r="N124" s="85">
        <f t="shared" si="2"/>
        <v>2.6552950311112514E-3</v>
      </c>
      <c r="O124" s="85">
        <f>L124/'סכום נכסי הקרן'!$C$42</f>
        <v>3.8785969732311196E-4</v>
      </c>
    </row>
    <row r="125" spans="2:15" s="122" customFormat="1">
      <c r="B125" s="77" t="s">
        <v>1447</v>
      </c>
      <c r="C125" s="74" t="s">
        <v>1448</v>
      </c>
      <c r="D125" s="87" t="s">
        <v>123</v>
      </c>
      <c r="E125" s="87" t="s">
        <v>352</v>
      </c>
      <c r="F125" s="74" t="s">
        <v>1449</v>
      </c>
      <c r="G125" s="87" t="s">
        <v>548</v>
      </c>
      <c r="H125" s="87" t="s">
        <v>165</v>
      </c>
      <c r="I125" s="84">
        <v>545884.64457799995</v>
      </c>
      <c r="J125" s="86">
        <v>588.5</v>
      </c>
      <c r="K125" s="74"/>
      <c r="L125" s="84">
        <v>3212.5311333440004</v>
      </c>
      <c r="M125" s="85">
        <v>3.256542108697473E-2</v>
      </c>
      <c r="N125" s="85">
        <f t="shared" si="2"/>
        <v>4.2220392755854284E-4</v>
      </c>
      <c r="O125" s="85">
        <f>L125/'סכום נכסי הקרן'!$C$42</f>
        <v>6.1671447290342351E-5</v>
      </c>
    </row>
    <row r="126" spans="2:15" s="122" customFormat="1">
      <c r="B126" s="77" t="s">
        <v>1450</v>
      </c>
      <c r="C126" s="74" t="s">
        <v>1451</v>
      </c>
      <c r="D126" s="87" t="s">
        <v>123</v>
      </c>
      <c r="E126" s="87" t="s">
        <v>352</v>
      </c>
      <c r="F126" s="74" t="s">
        <v>1452</v>
      </c>
      <c r="G126" s="87" t="s">
        <v>886</v>
      </c>
      <c r="H126" s="87" t="s">
        <v>165</v>
      </c>
      <c r="I126" s="84">
        <v>2821439.1012559999</v>
      </c>
      <c r="J126" s="86">
        <v>13</v>
      </c>
      <c r="K126" s="74"/>
      <c r="L126" s="84">
        <v>366.78708316299992</v>
      </c>
      <c r="M126" s="85">
        <v>6.8522377573575358E-3</v>
      </c>
      <c r="N126" s="85">
        <f t="shared" si="2"/>
        <v>4.820465255007943E-5</v>
      </c>
      <c r="O126" s="85">
        <f>L126/'סכום נכסי הקרן'!$C$42</f>
        <v>7.0412672522551916E-6</v>
      </c>
    </row>
    <row r="127" spans="2:15" s="122" customFormat="1">
      <c r="B127" s="77" t="s">
        <v>1453</v>
      </c>
      <c r="C127" s="74" t="s">
        <v>1454</v>
      </c>
      <c r="D127" s="87" t="s">
        <v>123</v>
      </c>
      <c r="E127" s="87" t="s">
        <v>352</v>
      </c>
      <c r="F127" s="74" t="s">
        <v>946</v>
      </c>
      <c r="G127" s="87" t="s">
        <v>149</v>
      </c>
      <c r="H127" s="87" t="s">
        <v>165</v>
      </c>
      <c r="I127" s="84">
        <v>1848915.7170859999</v>
      </c>
      <c r="J127" s="86">
        <v>185</v>
      </c>
      <c r="K127" s="74"/>
      <c r="L127" s="84">
        <v>3420.4940766089999</v>
      </c>
      <c r="M127" s="85">
        <v>2.089274741921562E-2</v>
      </c>
      <c r="N127" s="85">
        <f t="shared" si="2"/>
        <v>4.4953526468451837E-4</v>
      </c>
      <c r="O127" s="85">
        <f>L127/'סכום נכסי הקרן'!$C$42</f>
        <v>6.5663743446103384E-5</v>
      </c>
    </row>
    <row r="128" spans="2:15" s="122" customFormat="1">
      <c r="B128" s="73"/>
      <c r="C128" s="74"/>
      <c r="D128" s="74"/>
      <c r="E128" s="74"/>
      <c r="F128" s="74"/>
      <c r="G128" s="74"/>
      <c r="H128" s="74"/>
      <c r="I128" s="84"/>
      <c r="J128" s="86"/>
      <c r="K128" s="74"/>
      <c r="L128" s="74"/>
      <c r="M128" s="74"/>
      <c r="N128" s="85"/>
      <c r="O128" s="74"/>
    </row>
    <row r="129" spans="2:15" s="122" customFormat="1">
      <c r="B129" s="71" t="s">
        <v>237</v>
      </c>
      <c r="C129" s="72"/>
      <c r="D129" s="72"/>
      <c r="E129" s="72"/>
      <c r="F129" s="72"/>
      <c r="G129" s="72"/>
      <c r="H129" s="72"/>
      <c r="I129" s="81"/>
      <c r="J129" s="83"/>
      <c r="K129" s="81">
        <v>2258.3945236909999</v>
      </c>
      <c r="L129" s="81">
        <v>2759072.5979877668</v>
      </c>
      <c r="M129" s="72"/>
      <c r="N129" s="82">
        <f t="shared" ref="N129:N157" si="3">L129/$L$11</f>
        <v>0.3626085597113029</v>
      </c>
      <c r="O129" s="82">
        <f>L129/'סכום נכסי הקרן'!$C$42</f>
        <v>5.2966335028140583E-2</v>
      </c>
    </row>
    <row r="130" spans="2:15" s="122" customFormat="1">
      <c r="B130" s="92" t="s">
        <v>67</v>
      </c>
      <c r="C130" s="72"/>
      <c r="D130" s="72"/>
      <c r="E130" s="72"/>
      <c r="F130" s="72"/>
      <c r="G130" s="72"/>
      <c r="H130" s="72"/>
      <c r="I130" s="81"/>
      <c r="J130" s="83"/>
      <c r="K130" s="81">
        <v>335.58959831099992</v>
      </c>
      <c r="L130" s="81">
        <f>SUM(L131:L157)</f>
        <v>952873.93456058716</v>
      </c>
      <c r="M130" s="72"/>
      <c r="N130" s="82">
        <f t="shared" si="3"/>
        <v>0.12523057394337864</v>
      </c>
      <c r="O130" s="82">
        <f>L130/'סכום נכסי הקרן'!$C$42</f>
        <v>1.8292465408241622E-2</v>
      </c>
    </row>
    <row r="131" spans="2:15" s="122" customFormat="1">
      <c r="B131" s="77" t="s">
        <v>1455</v>
      </c>
      <c r="C131" s="74" t="s">
        <v>1456</v>
      </c>
      <c r="D131" s="87" t="s">
        <v>1457</v>
      </c>
      <c r="E131" s="87" t="s">
        <v>955</v>
      </c>
      <c r="F131" s="74" t="s">
        <v>1231</v>
      </c>
      <c r="G131" s="87" t="s">
        <v>193</v>
      </c>
      <c r="H131" s="87" t="s">
        <v>164</v>
      </c>
      <c r="I131" s="84">
        <v>561151.15640099999</v>
      </c>
      <c r="J131" s="86">
        <v>945</v>
      </c>
      <c r="K131" s="74"/>
      <c r="L131" s="84">
        <v>18904.761595009</v>
      </c>
      <c r="M131" s="85">
        <v>1.6255484426660988E-2</v>
      </c>
      <c r="N131" s="85">
        <f t="shared" si="3"/>
        <v>2.4845407760025026E-3</v>
      </c>
      <c r="O131" s="85">
        <f>L131/'סכום נכסי הקרן'!$C$42</f>
        <v>3.6291757491218127E-4</v>
      </c>
    </row>
    <row r="132" spans="2:15" s="122" customFormat="1">
      <c r="B132" s="77" t="s">
        <v>1458</v>
      </c>
      <c r="C132" s="74" t="s">
        <v>1459</v>
      </c>
      <c r="D132" s="87" t="s">
        <v>1457</v>
      </c>
      <c r="E132" s="87" t="s">
        <v>955</v>
      </c>
      <c r="F132" s="74" t="s">
        <v>1460</v>
      </c>
      <c r="G132" s="87" t="s">
        <v>1086</v>
      </c>
      <c r="H132" s="87" t="s">
        <v>164</v>
      </c>
      <c r="I132" s="84">
        <v>275876.40158000001</v>
      </c>
      <c r="J132" s="86">
        <v>1057</v>
      </c>
      <c r="K132" s="74"/>
      <c r="L132" s="84">
        <v>10395.588358233999</v>
      </c>
      <c r="M132" s="85">
        <v>8.0201813506780208E-3</v>
      </c>
      <c r="N132" s="85">
        <f t="shared" si="3"/>
        <v>1.36623056772047E-3</v>
      </c>
      <c r="O132" s="85">
        <f>L132/'סכום נכסי הקרן'!$C$42</f>
        <v>1.9956568602016222E-4</v>
      </c>
    </row>
    <row r="133" spans="2:15" s="122" customFormat="1">
      <c r="B133" s="77" t="s">
        <v>1461</v>
      </c>
      <c r="C133" s="74" t="s">
        <v>1462</v>
      </c>
      <c r="D133" s="87" t="s">
        <v>1457</v>
      </c>
      <c r="E133" s="87" t="s">
        <v>955</v>
      </c>
      <c r="F133" s="74" t="s">
        <v>1316</v>
      </c>
      <c r="G133" s="87" t="s">
        <v>1190</v>
      </c>
      <c r="H133" s="87" t="s">
        <v>164</v>
      </c>
      <c r="I133" s="84">
        <v>272655.262529</v>
      </c>
      <c r="J133" s="86">
        <v>842</v>
      </c>
      <c r="K133" s="74"/>
      <c r="L133" s="84">
        <v>8184.3748106709991</v>
      </c>
      <c r="M133" s="85">
        <v>7.0504886316846956E-3</v>
      </c>
      <c r="N133" s="85">
        <f t="shared" si="3"/>
        <v>1.0756238760804208E-3</v>
      </c>
      <c r="O133" s="85">
        <f>L133/'סכום נכסי הקרן'!$C$42</f>
        <v>1.571166842561628E-4</v>
      </c>
    </row>
    <row r="134" spans="2:15" s="122" customFormat="1">
      <c r="B134" s="77" t="s">
        <v>1463</v>
      </c>
      <c r="C134" s="74" t="s">
        <v>1464</v>
      </c>
      <c r="D134" s="87" t="s">
        <v>1457</v>
      </c>
      <c r="E134" s="87" t="s">
        <v>955</v>
      </c>
      <c r="F134" s="74" t="s">
        <v>1465</v>
      </c>
      <c r="G134" s="87" t="s">
        <v>972</v>
      </c>
      <c r="H134" s="87" t="s">
        <v>164</v>
      </c>
      <c r="I134" s="84">
        <v>78700.314880000005</v>
      </c>
      <c r="J134" s="86">
        <v>10054</v>
      </c>
      <c r="K134" s="74"/>
      <c r="L134" s="84">
        <v>28208.168230767998</v>
      </c>
      <c r="M134" s="85">
        <v>5.4101711649630964E-4</v>
      </c>
      <c r="N134" s="85">
        <f t="shared" si="3"/>
        <v>3.7072323728316288E-3</v>
      </c>
      <c r="O134" s="85">
        <f>L134/'סכום נכסי הקרן'!$C$42</f>
        <v>5.4151648279594626E-4</v>
      </c>
    </row>
    <row r="135" spans="2:15" s="122" customFormat="1">
      <c r="B135" s="77" t="s">
        <v>1466</v>
      </c>
      <c r="C135" s="74" t="s">
        <v>1467</v>
      </c>
      <c r="D135" s="87" t="s">
        <v>1457</v>
      </c>
      <c r="E135" s="87" t="s">
        <v>955</v>
      </c>
      <c r="F135" s="74" t="s">
        <v>971</v>
      </c>
      <c r="G135" s="87" t="s">
        <v>972</v>
      </c>
      <c r="H135" s="87" t="s">
        <v>164</v>
      </c>
      <c r="I135" s="84">
        <v>79352.115944999998</v>
      </c>
      <c r="J135" s="86">
        <v>8556</v>
      </c>
      <c r="K135" s="74"/>
      <c r="L135" s="84">
        <v>24204.093498505998</v>
      </c>
      <c r="M135" s="85">
        <v>2.0814401877060121E-3</v>
      </c>
      <c r="N135" s="85">
        <f t="shared" si="3"/>
        <v>3.1810005612073729E-3</v>
      </c>
      <c r="O135" s="85">
        <f>L135/'סכום נכסי הקרן'!$C$42</f>
        <v>4.6464965301358556E-4</v>
      </c>
    </row>
    <row r="136" spans="2:15" s="122" customFormat="1">
      <c r="B136" s="77" t="s">
        <v>1468</v>
      </c>
      <c r="C136" s="74" t="s">
        <v>1469</v>
      </c>
      <c r="D136" s="87" t="s">
        <v>1457</v>
      </c>
      <c r="E136" s="87" t="s">
        <v>955</v>
      </c>
      <c r="F136" s="74" t="s">
        <v>744</v>
      </c>
      <c r="G136" s="87" t="s">
        <v>745</v>
      </c>
      <c r="H136" s="87" t="s">
        <v>164</v>
      </c>
      <c r="I136" s="84">
        <v>1948.999339</v>
      </c>
      <c r="J136" s="86">
        <v>12769</v>
      </c>
      <c r="K136" s="74"/>
      <c r="L136" s="84">
        <v>887.21344175299998</v>
      </c>
      <c r="M136" s="85">
        <v>4.4096673765728254E-5</v>
      </c>
      <c r="N136" s="85">
        <f t="shared" si="3"/>
        <v>1.1660120451531144E-4</v>
      </c>
      <c r="O136" s="85">
        <f>L136/'סכום נכסי הקרן'!$C$42</f>
        <v>1.7031970971561742E-5</v>
      </c>
    </row>
    <row r="137" spans="2:15" s="122" customFormat="1">
      <c r="B137" s="77" t="s">
        <v>1470</v>
      </c>
      <c r="C137" s="74" t="s">
        <v>1471</v>
      </c>
      <c r="D137" s="87" t="s">
        <v>1472</v>
      </c>
      <c r="E137" s="87" t="s">
        <v>955</v>
      </c>
      <c r="F137" s="74" t="s">
        <v>1473</v>
      </c>
      <c r="G137" s="87" t="s">
        <v>957</v>
      </c>
      <c r="H137" s="87" t="s">
        <v>164</v>
      </c>
      <c r="I137" s="84">
        <v>1000</v>
      </c>
      <c r="J137" s="86">
        <v>1419</v>
      </c>
      <c r="K137" s="74"/>
      <c r="L137" s="84">
        <v>50.587350000000001</v>
      </c>
      <c r="M137" s="85">
        <v>9.3640902496035713E-5</v>
      </c>
      <c r="N137" s="85">
        <f t="shared" si="3"/>
        <v>6.6483956009311618E-6</v>
      </c>
      <c r="O137" s="85">
        <f>L137/'סכום נכסי הקרן'!$C$42</f>
        <v>9.7113302862706597E-7</v>
      </c>
    </row>
    <row r="138" spans="2:15" s="122" customFormat="1">
      <c r="B138" s="77" t="s">
        <v>1474</v>
      </c>
      <c r="C138" s="74" t="s">
        <v>1475</v>
      </c>
      <c r="D138" s="87" t="s">
        <v>126</v>
      </c>
      <c r="E138" s="87" t="s">
        <v>955</v>
      </c>
      <c r="F138" s="74" t="s">
        <v>1172</v>
      </c>
      <c r="G138" s="87" t="s">
        <v>149</v>
      </c>
      <c r="H138" s="87" t="s">
        <v>167</v>
      </c>
      <c r="I138" s="84">
        <v>1063121.5047299999</v>
      </c>
      <c r="J138" s="86">
        <v>577</v>
      </c>
      <c r="K138" s="74"/>
      <c r="L138" s="84">
        <v>26981.940868472</v>
      </c>
      <c r="M138" s="85">
        <v>6.00330380423773E-3</v>
      </c>
      <c r="N138" s="85">
        <f t="shared" si="3"/>
        <v>3.5460765779297388E-3</v>
      </c>
      <c r="O138" s="85">
        <f>L138/'סכום נכסי הקרן'!$C$42</f>
        <v>5.179764101862545E-4</v>
      </c>
    </row>
    <row r="139" spans="2:15" s="122" customFormat="1">
      <c r="B139" s="77" t="s">
        <v>1476</v>
      </c>
      <c r="C139" s="74" t="s">
        <v>1477</v>
      </c>
      <c r="D139" s="87" t="s">
        <v>1472</v>
      </c>
      <c r="E139" s="87" t="s">
        <v>955</v>
      </c>
      <c r="F139" s="74" t="s">
        <v>1478</v>
      </c>
      <c r="G139" s="87" t="s">
        <v>1150</v>
      </c>
      <c r="H139" s="87" t="s">
        <v>164</v>
      </c>
      <c r="I139" s="84">
        <v>163544.154106</v>
      </c>
      <c r="J139" s="86">
        <v>2517</v>
      </c>
      <c r="K139" s="74"/>
      <c r="L139" s="84">
        <v>14674.988668667</v>
      </c>
      <c r="M139" s="85">
        <v>5.1453772553988831E-3</v>
      </c>
      <c r="N139" s="85">
        <f t="shared" si="3"/>
        <v>1.9286467883468956E-3</v>
      </c>
      <c r="O139" s="85">
        <f>L139/'סכום נכסי הקרן'!$C$42</f>
        <v>2.817179826749268E-4</v>
      </c>
    </row>
    <row r="140" spans="2:15" s="122" customFormat="1">
      <c r="B140" s="77" t="s">
        <v>1479</v>
      </c>
      <c r="C140" s="74" t="s">
        <v>1480</v>
      </c>
      <c r="D140" s="87" t="s">
        <v>1472</v>
      </c>
      <c r="E140" s="87" t="s">
        <v>955</v>
      </c>
      <c r="F140" s="74">
        <v>1760</v>
      </c>
      <c r="G140" s="87" t="s">
        <v>755</v>
      </c>
      <c r="H140" s="87" t="s">
        <v>164</v>
      </c>
      <c r="I140" s="84">
        <v>92716.682841000002</v>
      </c>
      <c r="J140" s="86">
        <v>10208</v>
      </c>
      <c r="K140" s="84">
        <v>247.90123074599998</v>
      </c>
      <c r="L140" s="84">
        <v>33988.911410164998</v>
      </c>
      <c r="M140" s="85">
        <v>8.6811590069956802E-4</v>
      </c>
      <c r="N140" s="85">
        <f t="shared" si="3"/>
        <v>4.4669611889094785E-3</v>
      </c>
      <c r="O140" s="85">
        <f>L140/'סכום נכסי הקרן'!$C$42</f>
        <v>6.5249028615830987E-4</v>
      </c>
    </row>
    <row r="141" spans="2:15" s="122" customFormat="1">
      <c r="B141" s="77" t="s">
        <v>1481</v>
      </c>
      <c r="C141" s="74" t="s">
        <v>1482</v>
      </c>
      <c r="D141" s="87" t="s">
        <v>1457</v>
      </c>
      <c r="E141" s="87" t="s">
        <v>955</v>
      </c>
      <c r="F141" s="74" t="s">
        <v>1483</v>
      </c>
      <c r="G141" s="87" t="s">
        <v>1035</v>
      </c>
      <c r="H141" s="87" t="s">
        <v>164</v>
      </c>
      <c r="I141" s="84">
        <v>102487.573384</v>
      </c>
      <c r="J141" s="86">
        <v>1421</v>
      </c>
      <c r="K141" s="84">
        <v>87.688367565000007</v>
      </c>
      <c r="L141" s="84">
        <v>5279.5704785380003</v>
      </c>
      <c r="M141" s="85">
        <v>4.3657376677770053E-3</v>
      </c>
      <c r="N141" s="85">
        <f t="shared" si="3"/>
        <v>6.9386265824001594E-4</v>
      </c>
      <c r="O141" s="85">
        <f>L141/'סכום נכסי הקרן'!$C$42</f>
        <v>1.0135271502999577E-4</v>
      </c>
    </row>
    <row r="142" spans="2:15" s="122" customFormat="1">
      <c r="B142" s="77" t="s">
        <v>1484</v>
      </c>
      <c r="C142" s="74" t="s">
        <v>1485</v>
      </c>
      <c r="D142" s="87" t="s">
        <v>1457</v>
      </c>
      <c r="E142" s="87" t="s">
        <v>955</v>
      </c>
      <c r="F142" s="74" t="s">
        <v>1312</v>
      </c>
      <c r="G142" s="87" t="s">
        <v>1313</v>
      </c>
      <c r="H142" s="87" t="s">
        <v>164</v>
      </c>
      <c r="I142" s="84">
        <v>128543.18869</v>
      </c>
      <c r="J142" s="86">
        <v>583</v>
      </c>
      <c r="K142" s="74"/>
      <c r="L142" s="84">
        <v>2671.6352087280002</v>
      </c>
      <c r="M142" s="85">
        <v>2.8873283591684482E-3</v>
      </c>
      <c r="N142" s="85">
        <f t="shared" si="3"/>
        <v>3.5111718184486915E-4</v>
      </c>
      <c r="O142" s="85">
        <f>L142/'סכום נכסי הקרן'!$C$42</f>
        <v>5.1287786208186958E-5</v>
      </c>
    </row>
    <row r="143" spans="2:15" s="122" customFormat="1">
      <c r="B143" s="77" t="s">
        <v>1486</v>
      </c>
      <c r="C143" s="74" t="s">
        <v>1487</v>
      </c>
      <c r="D143" s="87" t="s">
        <v>1457</v>
      </c>
      <c r="E143" s="87" t="s">
        <v>955</v>
      </c>
      <c r="F143" s="74" t="s">
        <v>1488</v>
      </c>
      <c r="G143" s="87" t="s">
        <v>28</v>
      </c>
      <c r="H143" s="87" t="s">
        <v>164</v>
      </c>
      <c r="I143" s="84">
        <v>513074.63284900005</v>
      </c>
      <c r="J143" s="86">
        <v>2489</v>
      </c>
      <c r="K143" s="74"/>
      <c r="L143" s="84">
        <v>45526.574437261996</v>
      </c>
      <c r="M143" s="85">
        <v>1.2574793398968293E-2</v>
      </c>
      <c r="N143" s="85">
        <f t="shared" si="3"/>
        <v>5.983287861770931E-3</v>
      </c>
      <c r="O143" s="85">
        <f>L143/'סכום נכסי הקרן'!$C$42</f>
        <v>8.7398055277206272E-4</v>
      </c>
    </row>
    <row r="144" spans="2:15" s="122" customFormat="1">
      <c r="B144" s="77" t="s">
        <v>1489</v>
      </c>
      <c r="C144" s="74" t="s">
        <v>1490</v>
      </c>
      <c r="D144" s="87" t="s">
        <v>1457</v>
      </c>
      <c r="E144" s="87" t="s">
        <v>955</v>
      </c>
      <c r="F144" s="74" t="s">
        <v>1491</v>
      </c>
      <c r="G144" s="87" t="s">
        <v>987</v>
      </c>
      <c r="H144" s="87" t="s">
        <v>164</v>
      </c>
      <c r="I144" s="84">
        <v>531551.14658199996</v>
      </c>
      <c r="J144" s="86">
        <v>157</v>
      </c>
      <c r="K144" s="74"/>
      <c r="L144" s="84">
        <v>2975.1183450910003</v>
      </c>
      <c r="M144" s="85">
        <v>1.9540313654607917E-2</v>
      </c>
      <c r="N144" s="85">
        <f t="shared" si="3"/>
        <v>3.910021718424192E-4</v>
      </c>
      <c r="O144" s="85">
        <f>L144/'סכום נכסי הקרן'!$C$42</f>
        <v>5.7113797994798455E-5</v>
      </c>
    </row>
    <row r="145" spans="2:15" s="122" customFormat="1">
      <c r="B145" s="77" t="s">
        <v>1492</v>
      </c>
      <c r="C145" s="74" t="s">
        <v>1493</v>
      </c>
      <c r="D145" s="87" t="s">
        <v>1457</v>
      </c>
      <c r="E145" s="87" t="s">
        <v>955</v>
      </c>
      <c r="F145" s="74" t="s">
        <v>1494</v>
      </c>
      <c r="G145" s="87" t="s">
        <v>1190</v>
      </c>
      <c r="H145" s="87" t="s">
        <v>164</v>
      </c>
      <c r="I145" s="84">
        <v>72885.892995000002</v>
      </c>
      <c r="J145" s="86">
        <v>12132</v>
      </c>
      <c r="K145" s="74"/>
      <c r="L145" s="84">
        <v>31523.571458360002</v>
      </c>
      <c r="M145" s="85">
        <v>1.3000886388806843E-3</v>
      </c>
      <c r="N145" s="85">
        <f t="shared" si="3"/>
        <v>4.1429561700583204E-3</v>
      </c>
      <c r="O145" s="85">
        <f>L145/'סכום נכסי הקרן'!$C$42</f>
        <v>6.0516278127830151E-4</v>
      </c>
    </row>
    <row r="146" spans="2:15" s="122" customFormat="1">
      <c r="B146" s="77" t="s">
        <v>1495</v>
      </c>
      <c r="C146" s="74" t="s">
        <v>1496</v>
      </c>
      <c r="D146" s="87" t="s">
        <v>1457</v>
      </c>
      <c r="E146" s="87" t="s">
        <v>955</v>
      </c>
      <c r="F146" s="74" t="s">
        <v>1205</v>
      </c>
      <c r="G146" s="87" t="s">
        <v>193</v>
      </c>
      <c r="H146" s="87" t="s">
        <v>164</v>
      </c>
      <c r="I146" s="84">
        <v>399536.51164099999</v>
      </c>
      <c r="J146" s="86">
        <v>14356</v>
      </c>
      <c r="K146" s="74"/>
      <c r="L146" s="84">
        <v>204479.350641478</v>
      </c>
      <c r="M146" s="85">
        <v>6.4302636795019411E-3</v>
      </c>
      <c r="N146" s="85">
        <f t="shared" si="3"/>
        <v>2.6873509193228402E-2</v>
      </c>
      <c r="O146" s="85">
        <f>L146/'סכום נכסי הקרן'!$C$42</f>
        <v>3.9254210999420669E-3</v>
      </c>
    </row>
    <row r="147" spans="2:15" s="122" customFormat="1">
      <c r="B147" s="77" t="s">
        <v>1497</v>
      </c>
      <c r="C147" s="74" t="s">
        <v>1498</v>
      </c>
      <c r="D147" s="87" t="s">
        <v>1457</v>
      </c>
      <c r="E147" s="87" t="s">
        <v>955</v>
      </c>
      <c r="F147" s="74" t="s">
        <v>1288</v>
      </c>
      <c r="G147" s="87" t="s">
        <v>1190</v>
      </c>
      <c r="H147" s="87" t="s">
        <v>164</v>
      </c>
      <c r="I147" s="84">
        <v>278153.66809300001</v>
      </c>
      <c r="J147" s="86">
        <v>3265</v>
      </c>
      <c r="K147" s="74"/>
      <c r="L147" s="84">
        <v>32376.322042278</v>
      </c>
      <c r="M147" s="85">
        <v>9.932067131140157E-3</v>
      </c>
      <c r="N147" s="85">
        <f t="shared" si="3"/>
        <v>4.2550281254149832E-3</v>
      </c>
      <c r="O147" s="85">
        <f>L147/'סכום נכסי הקרן'!$C$42</f>
        <v>6.2153316354232179E-4</v>
      </c>
    </row>
    <row r="148" spans="2:15" s="122" customFormat="1">
      <c r="B148" s="77" t="s">
        <v>1501</v>
      </c>
      <c r="C148" s="74" t="s">
        <v>1502</v>
      </c>
      <c r="D148" s="87" t="s">
        <v>1457</v>
      </c>
      <c r="E148" s="87" t="s">
        <v>955</v>
      </c>
      <c r="F148" s="74" t="s">
        <v>872</v>
      </c>
      <c r="G148" s="87" t="s">
        <v>192</v>
      </c>
      <c r="H148" s="87" t="s">
        <v>164</v>
      </c>
      <c r="I148" s="84">
        <v>20591.734873000001</v>
      </c>
      <c r="J148" s="86">
        <v>371</v>
      </c>
      <c r="K148" s="74"/>
      <c r="L148" s="84">
        <v>272.349375436</v>
      </c>
      <c r="M148" s="85">
        <v>1.1217934968185725E-4</v>
      </c>
      <c r="N148" s="85">
        <f t="shared" si="3"/>
        <v>3.5793264315388167E-5</v>
      </c>
      <c r="O148" s="85">
        <f>L148/'סכום נכסי הקרן'!$C$42</f>
        <v>5.2283322572115863E-6</v>
      </c>
    </row>
    <row r="149" spans="2:15" s="122" customFormat="1">
      <c r="B149" s="77" t="s">
        <v>1505</v>
      </c>
      <c r="C149" s="74" t="s">
        <v>1506</v>
      </c>
      <c r="D149" s="87" t="s">
        <v>1457</v>
      </c>
      <c r="E149" s="87" t="s">
        <v>955</v>
      </c>
      <c r="F149" s="74" t="s">
        <v>1507</v>
      </c>
      <c r="G149" s="87" t="s">
        <v>1313</v>
      </c>
      <c r="H149" s="87" t="s">
        <v>164</v>
      </c>
      <c r="I149" s="84">
        <v>247895.592569</v>
      </c>
      <c r="J149" s="86">
        <v>453</v>
      </c>
      <c r="K149" s="74"/>
      <c r="L149" s="84">
        <v>4003.377483317</v>
      </c>
      <c r="M149" s="85">
        <v>7.0285975602989402E-3</v>
      </c>
      <c r="N149" s="85">
        <f t="shared" si="3"/>
        <v>5.2614017632771049E-4</v>
      </c>
      <c r="O149" s="85">
        <f>L149/'סכום נכסי הקרן'!$C$42</f>
        <v>7.6853444588638058E-5</v>
      </c>
    </row>
    <row r="150" spans="2:15" s="122" customFormat="1">
      <c r="B150" s="77" t="s">
        <v>1508</v>
      </c>
      <c r="C150" s="74" t="s">
        <v>1509</v>
      </c>
      <c r="D150" s="87" t="s">
        <v>1457</v>
      </c>
      <c r="E150" s="87" t="s">
        <v>955</v>
      </c>
      <c r="F150" s="74" t="s">
        <v>1510</v>
      </c>
      <c r="G150" s="87" t="s">
        <v>1045</v>
      </c>
      <c r="H150" s="87" t="s">
        <v>164</v>
      </c>
      <c r="I150" s="84">
        <v>344871.53503700002</v>
      </c>
      <c r="J150" s="86">
        <v>706</v>
      </c>
      <c r="K150" s="74"/>
      <c r="L150" s="84">
        <v>8680.0371780910009</v>
      </c>
      <c r="M150" s="85">
        <v>1.5328199438467801E-2</v>
      </c>
      <c r="N150" s="85">
        <f t="shared" si="3"/>
        <v>1.140765843451755E-3</v>
      </c>
      <c r="O150" s="85">
        <f>L150/'סכום נכסי הקרן'!$C$42</f>
        <v>1.6663198988195756E-4</v>
      </c>
    </row>
    <row r="151" spans="2:15" s="122" customFormat="1">
      <c r="B151" s="77" t="s">
        <v>1511</v>
      </c>
      <c r="C151" s="74" t="s">
        <v>1512</v>
      </c>
      <c r="D151" s="87" t="s">
        <v>1457</v>
      </c>
      <c r="E151" s="87" t="s">
        <v>955</v>
      </c>
      <c r="F151" s="74" t="s">
        <v>1513</v>
      </c>
      <c r="G151" s="87" t="s">
        <v>975</v>
      </c>
      <c r="H151" s="87" t="s">
        <v>164</v>
      </c>
      <c r="I151" s="84">
        <v>355714.93207400001</v>
      </c>
      <c r="J151" s="86">
        <v>8188</v>
      </c>
      <c r="K151" s="74"/>
      <c r="L151" s="84">
        <v>103833.971243008</v>
      </c>
      <c r="M151" s="85">
        <v>7.2247655964401943E-3</v>
      </c>
      <c r="N151" s="85">
        <f t="shared" si="3"/>
        <v>1.3646283460968545E-2</v>
      </c>
      <c r="O151" s="85">
        <f>L151/'סכום נכסי הקרן'!$C$42</f>
        <v>1.9933164905376155E-3</v>
      </c>
    </row>
    <row r="152" spans="2:15" s="122" customFormat="1">
      <c r="B152" s="77" t="s">
        <v>1514</v>
      </c>
      <c r="C152" s="74" t="s">
        <v>1515</v>
      </c>
      <c r="D152" s="87" t="s">
        <v>1457</v>
      </c>
      <c r="E152" s="87" t="s">
        <v>955</v>
      </c>
      <c r="F152" s="74" t="s">
        <v>966</v>
      </c>
      <c r="G152" s="87" t="s">
        <v>967</v>
      </c>
      <c r="H152" s="87" t="s">
        <v>164</v>
      </c>
      <c r="I152" s="84">
        <v>6087226.1069560004</v>
      </c>
      <c r="J152" s="86">
        <v>898</v>
      </c>
      <c r="K152" s="74"/>
      <c r="L152" s="84">
        <v>194874.63042024404</v>
      </c>
      <c r="M152" s="85">
        <v>5.557505668452983E-3</v>
      </c>
      <c r="N152" s="85">
        <f t="shared" si="3"/>
        <v>2.5611217737616942E-2</v>
      </c>
      <c r="O152" s="85">
        <f>L152/'סכום נכסי הקרן'!$C$42</f>
        <v>3.7410378294690625E-3</v>
      </c>
    </row>
    <row r="153" spans="2:15" s="122" customFormat="1">
      <c r="B153" s="77" t="s">
        <v>1516</v>
      </c>
      <c r="C153" s="74" t="s">
        <v>1517</v>
      </c>
      <c r="D153" s="87" t="s">
        <v>1457</v>
      </c>
      <c r="E153" s="87" t="s">
        <v>955</v>
      </c>
      <c r="F153" s="74" t="s">
        <v>1189</v>
      </c>
      <c r="G153" s="87" t="s">
        <v>1190</v>
      </c>
      <c r="H153" s="87" t="s">
        <v>164</v>
      </c>
      <c r="I153" s="84">
        <v>411539.56328400003</v>
      </c>
      <c r="J153" s="86">
        <v>1592</v>
      </c>
      <c r="K153" s="74"/>
      <c r="L153" s="84">
        <v>23356.845605166003</v>
      </c>
      <c r="M153" s="85">
        <v>3.8530754799506167E-3</v>
      </c>
      <c r="N153" s="85">
        <f t="shared" si="3"/>
        <v>3.0696517918612854E-3</v>
      </c>
      <c r="O153" s="85">
        <f>L153/'סכום נכסי הקרן'!$C$42</f>
        <v>4.48384906734977E-4</v>
      </c>
    </row>
    <row r="154" spans="2:15" s="122" customFormat="1">
      <c r="B154" s="77" t="s">
        <v>1518</v>
      </c>
      <c r="C154" s="74" t="s">
        <v>1519</v>
      </c>
      <c r="D154" s="87" t="s">
        <v>1472</v>
      </c>
      <c r="E154" s="87" t="s">
        <v>955</v>
      </c>
      <c r="F154" s="74" t="s">
        <v>1520</v>
      </c>
      <c r="G154" s="87" t="s">
        <v>972</v>
      </c>
      <c r="H154" s="87" t="s">
        <v>164</v>
      </c>
      <c r="I154" s="84">
        <v>289146.85965100001</v>
      </c>
      <c r="J154" s="86">
        <v>878</v>
      </c>
      <c r="K154" s="74"/>
      <c r="L154" s="84">
        <v>9050.4991078610001</v>
      </c>
      <c r="M154" s="85">
        <v>8.1449381399384593E-3</v>
      </c>
      <c r="N154" s="85">
        <f t="shared" si="3"/>
        <v>1.1894534593121498E-3</v>
      </c>
      <c r="O154" s="85">
        <f>L154/'סכום נכסי הקרן'!$C$42</f>
        <v>1.7374380372175283E-4</v>
      </c>
    </row>
    <row r="155" spans="2:15" s="122" customFormat="1">
      <c r="B155" s="77" t="s">
        <v>1521</v>
      </c>
      <c r="C155" s="74" t="s">
        <v>1522</v>
      </c>
      <c r="D155" s="87" t="s">
        <v>1457</v>
      </c>
      <c r="E155" s="87" t="s">
        <v>955</v>
      </c>
      <c r="F155" s="74" t="s">
        <v>1523</v>
      </c>
      <c r="G155" s="87" t="s">
        <v>1045</v>
      </c>
      <c r="H155" s="87" t="s">
        <v>164</v>
      </c>
      <c r="I155" s="84">
        <v>205564.30142599999</v>
      </c>
      <c r="J155" s="86">
        <v>1784</v>
      </c>
      <c r="K155" s="74"/>
      <c r="L155" s="84">
        <v>13073.807345199</v>
      </c>
      <c r="M155" s="85">
        <v>9.7170712135898115E-3</v>
      </c>
      <c r="N155" s="85">
        <f t="shared" si="3"/>
        <v>1.7182130165197928E-3</v>
      </c>
      <c r="O155" s="85">
        <f>L155/'סכום נכסי הקרן'!$C$42</f>
        <v>2.5097986201747842E-4</v>
      </c>
    </row>
    <row r="156" spans="2:15" s="122" customFormat="1">
      <c r="B156" s="77" t="s">
        <v>1524</v>
      </c>
      <c r="C156" s="74" t="s">
        <v>1525</v>
      </c>
      <c r="D156" s="87" t="s">
        <v>1457</v>
      </c>
      <c r="E156" s="87" t="s">
        <v>955</v>
      </c>
      <c r="F156" s="74" t="s">
        <v>1526</v>
      </c>
      <c r="G156" s="87" t="s">
        <v>972</v>
      </c>
      <c r="H156" s="87" t="s">
        <v>164</v>
      </c>
      <c r="I156" s="84">
        <v>485579.26388799993</v>
      </c>
      <c r="J156" s="86">
        <v>4300</v>
      </c>
      <c r="K156" s="74"/>
      <c r="L156" s="84">
        <v>74436.873257710991</v>
      </c>
      <c r="M156" s="85">
        <v>7.2665404678065107E-3</v>
      </c>
      <c r="N156" s="85">
        <f t="shared" si="3"/>
        <v>9.7827970967768862E-3</v>
      </c>
      <c r="O156" s="85">
        <f>L156/'סכום נכסי הקרן'!$C$42</f>
        <v>1.4289759429638028E-3</v>
      </c>
    </row>
    <row r="157" spans="2:15" s="122" customFormat="1">
      <c r="B157" s="77" t="s">
        <v>1527</v>
      </c>
      <c r="C157" s="74" t="s">
        <v>1528</v>
      </c>
      <c r="D157" s="87" t="s">
        <v>1457</v>
      </c>
      <c r="E157" s="87" t="s">
        <v>955</v>
      </c>
      <c r="F157" s="74" t="s">
        <v>1529</v>
      </c>
      <c r="G157" s="87" t="s">
        <v>972</v>
      </c>
      <c r="H157" s="87" t="s">
        <v>164</v>
      </c>
      <c r="I157" s="84">
        <v>83407.983569000004</v>
      </c>
      <c r="J157" s="86">
        <v>10082</v>
      </c>
      <c r="K157" s="74"/>
      <c r="L157" s="84">
        <v>29978.772700573994</v>
      </c>
      <c r="M157" s="85">
        <v>1.6305924837585369E-3</v>
      </c>
      <c r="N157" s="85">
        <f t="shared" si="3"/>
        <v>3.93993242468347E-3</v>
      </c>
      <c r="O157" s="85">
        <f>L157/'סכום נכסי הקרן'!$C$42</f>
        <v>5.7550704528366934E-4</v>
      </c>
    </row>
    <row r="158" spans="2:15" s="122" customFormat="1">
      <c r="B158" s="73"/>
      <c r="C158" s="74"/>
      <c r="D158" s="74"/>
      <c r="E158" s="74"/>
      <c r="F158" s="74"/>
      <c r="G158" s="74"/>
      <c r="H158" s="74"/>
      <c r="I158" s="84"/>
      <c r="J158" s="86"/>
      <c r="K158" s="74"/>
      <c r="L158" s="74"/>
      <c r="M158" s="74"/>
      <c r="N158" s="85"/>
      <c r="O158" s="74"/>
    </row>
    <row r="159" spans="2:15" s="122" customFormat="1">
      <c r="B159" s="92" t="s">
        <v>66</v>
      </c>
      <c r="C159" s="72"/>
      <c r="D159" s="72"/>
      <c r="E159" s="72"/>
      <c r="F159" s="72"/>
      <c r="G159" s="72"/>
      <c r="H159" s="72"/>
      <c r="I159" s="81"/>
      <c r="J159" s="83"/>
      <c r="K159" s="81">
        <v>1922.80492538</v>
      </c>
      <c r="L159" s="81">
        <f>SUM(L160:L304)</f>
        <v>1806198.663427178</v>
      </c>
      <c r="M159" s="72"/>
      <c r="N159" s="82">
        <f t="shared" ref="N159:N224" si="4">L159/$L$11</f>
        <v>0.23737798576792407</v>
      </c>
      <c r="O159" s="82">
        <f>L159/'סכום נכסי הקרן'!$C$42</f>
        <v>3.4673869619898927E-2</v>
      </c>
    </row>
    <row r="160" spans="2:15" s="122" customFormat="1">
      <c r="B160" s="77" t="s">
        <v>1530</v>
      </c>
      <c r="C160" s="74" t="s">
        <v>1531</v>
      </c>
      <c r="D160" s="87" t="s">
        <v>142</v>
      </c>
      <c r="E160" s="87" t="s">
        <v>955</v>
      </c>
      <c r="F160" s="74"/>
      <c r="G160" s="87" t="s">
        <v>1131</v>
      </c>
      <c r="H160" s="87" t="s">
        <v>1532</v>
      </c>
      <c r="I160" s="84">
        <v>169896.97680599999</v>
      </c>
      <c r="J160" s="86">
        <v>1700.5</v>
      </c>
      <c r="K160" s="84">
        <v>500.91065476399996</v>
      </c>
      <c r="L160" s="84">
        <v>11148.392758525999</v>
      </c>
      <c r="M160" s="85">
        <v>7.8360405340803757E-5</v>
      </c>
      <c r="N160" s="85">
        <f t="shared" si="4"/>
        <v>1.4651671885014153E-3</v>
      </c>
      <c r="O160" s="85">
        <f>L160/'סכום נכסי הקרן'!$C$42</f>
        <v>2.1401738624204282E-4</v>
      </c>
    </row>
    <row r="161" spans="2:15" s="122" customFormat="1">
      <c r="B161" s="77" t="s">
        <v>1533</v>
      </c>
      <c r="C161" s="74" t="s">
        <v>1534</v>
      </c>
      <c r="D161" s="87" t="s">
        <v>28</v>
      </c>
      <c r="E161" s="87" t="s">
        <v>955</v>
      </c>
      <c r="F161" s="74"/>
      <c r="G161" s="87" t="s">
        <v>1535</v>
      </c>
      <c r="H161" s="87" t="s">
        <v>166</v>
      </c>
      <c r="I161" s="84">
        <v>19638.780908000001</v>
      </c>
      <c r="J161" s="86">
        <v>20260</v>
      </c>
      <c r="K161" s="74"/>
      <c r="L161" s="84">
        <v>15518.579991750999</v>
      </c>
      <c r="M161" s="85">
        <v>9.7989994221325019E-5</v>
      </c>
      <c r="N161" s="85">
        <f t="shared" si="4"/>
        <v>2.0395149963351646E-3</v>
      </c>
      <c r="O161" s="85">
        <f>L161/'סכום נכסי הקרן'!$C$42</f>
        <v>2.9791253321987684E-4</v>
      </c>
    </row>
    <row r="162" spans="2:15" s="122" customFormat="1">
      <c r="B162" s="77" t="s">
        <v>1536</v>
      </c>
      <c r="C162" s="74" t="s">
        <v>1537</v>
      </c>
      <c r="D162" s="87" t="s">
        <v>28</v>
      </c>
      <c r="E162" s="87" t="s">
        <v>955</v>
      </c>
      <c r="F162" s="74"/>
      <c r="G162" s="87" t="s">
        <v>1032</v>
      </c>
      <c r="H162" s="87" t="s">
        <v>166</v>
      </c>
      <c r="I162" s="84">
        <v>64045.231993000001</v>
      </c>
      <c r="J162" s="86">
        <v>2038</v>
      </c>
      <c r="K162" s="74"/>
      <c r="L162" s="84">
        <v>5090.8347005329997</v>
      </c>
      <c r="M162" s="85">
        <v>8.9142856910414282E-4</v>
      </c>
      <c r="N162" s="85">
        <f t="shared" si="4"/>
        <v>6.69058233492984E-4</v>
      </c>
      <c r="O162" s="85">
        <f>L162/'סכום נכסי הקרן'!$C$42</f>
        <v>9.7729525681190552E-5</v>
      </c>
    </row>
    <row r="163" spans="2:15" s="122" customFormat="1">
      <c r="B163" s="77" t="s">
        <v>1538</v>
      </c>
      <c r="C163" s="74" t="s">
        <v>1539</v>
      </c>
      <c r="D163" s="87" t="s">
        <v>28</v>
      </c>
      <c r="E163" s="87" t="s">
        <v>955</v>
      </c>
      <c r="F163" s="74"/>
      <c r="G163" s="87" t="s">
        <v>1131</v>
      </c>
      <c r="H163" s="87" t="s">
        <v>166</v>
      </c>
      <c r="I163" s="84">
        <v>48856.175435999998</v>
      </c>
      <c r="J163" s="86">
        <v>5934</v>
      </c>
      <c r="K163" s="74"/>
      <c r="L163" s="84">
        <v>11307.458993394999</v>
      </c>
      <c r="M163" s="85">
        <v>6.2382344976180651E-5</v>
      </c>
      <c r="N163" s="85">
        <f t="shared" si="4"/>
        <v>1.4860723210327643E-3</v>
      </c>
      <c r="O163" s="85">
        <f>L163/'סכום נכסי הקרן'!$C$42</f>
        <v>2.1707100487240469E-4</v>
      </c>
    </row>
    <row r="164" spans="2:15" s="122" customFormat="1">
      <c r="B164" s="77" t="s">
        <v>1540</v>
      </c>
      <c r="C164" s="74" t="s">
        <v>1541</v>
      </c>
      <c r="D164" s="87" t="s">
        <v>1472</v>
      </c>
      <c r="E164" s="87" t="s">
        <v>955</v>
      </c>
      <c r="F164" s="74"/>
      <c r="G164" s="87" t="s">
        <v>1150</v>
      </c>
      <c r="H164" s="87" t="s">
        <v>164</v>
      </c>
      <c r="I164" s="84">
        <v>40102.659638999998</v>
      </c>
      <c r="J164" s="86">
        <v>19448</v>
      </c>
      <c r="K164" s="74"/>
      <c r="L164" s="84">
        <v>27804.024103670999</v>
      </c>
      <c r="M164" s="85">
        <v>1.4948490450076215E-5</v>
      </c>
      <c r="N164" s="85">
        <f t="shared" si="4"/>
        <v>3.6541181053965123E-3</v>
      </c>
      <c r="O164" s="85">
        <f>L164/'סכום נכסי הקרן'!$C$42</f>
        <v>5.3375806670675498E-4</v>
      </c>
    </row>
    <row r="165" spans="2:15" s="122" customFormat="1">
      <c r="B165" s="77" t="s">
        <v>1542</v>
      </c>
      <c r="C165" s="74" t="s">
        <v>1543</v>
      </c>
      <c r="D165" s="87" t="s">
        <v>1457</v>
      </c>
      <c r="E165" s="87" t="s">
        <v>955</v>
      </c>
      <c r="F165" s="74"/>
      <c r="G165" s="87" t="s">
        <v>972</v>
      </c>
      <c r="H165" s="87" t="s">
        <v>164</v>
      </c>
      <c r="I165" s="84">
        <v>26265.298362000001</v>
      </c>
      <c r="J165" s="86">
        <v>116281</v>
      </c>
      <c r="K165" s="74"/>
      <c r="L165" s="84">
        <v>108880.63140881399</v>
      </c>
      <c r="M165" s="85">
        <v>7.7028891145679258E-5</v>
      </c>
      <c r="N165" s="85">
        <f t="shared" si="4"/>
        <v>1.4309536097165915E-2</v>
      </c>
      <c r="O165" s="85">
        <f>L165/'סכום נכסי הקרן'!$C$42</f>
        <v>2.0901979909773646E-3</v>
      </c>
    </row>
    <row r="166" spans="2:15" s="122" customFormat="1">
      <c r="B166" s="77" t="s">
        <v>1544</v>
      </c>
      <c r="C166" s="74" t="s">
        <v>1545</v>
      </c>
      <c r="D166" s="87" t="s">
        <v>1457</v>
      </c>
      <c r="E166" s="87" t="s">
        <v>955</v>
      </c>
      <c r="F166" s="74"/>
      <c r="G166" s="87" t="s">
        <v>1150</v>
      </c>
      <c r="H166" s="87" t="s">
        <v>164</v>
      </c>
      <c r="I166" s="84">
        <v>17579.130131999998</v>
      </c>
      <c r="J166" s="86">
        <v>194972</v>
      </c>
      <c r="K166" s="74"/>
      <c r="L166" s="84">
        <v>122188.17040920501</v>
      </c>
      <c r="M166" s="85">
        <v>3.5312899405541597E-5</v>
      </c>
      <c r="N166" s="85">
        <f t="shared" si="4"/>
        <v>1.6058467079900128E-2</v>
      </c>
      <c r="O166" s="85">
        <f>L166/'סכום נכסי הקרן'!$C$42</f>
        <v>2.3456648350208362E-3</v>
      </c>
    </row>
    <row r="167" spans="2:15" s="122" customFormat="1">
      <c r="B167" s="77" t="s">
        <v>1546</v>
      </c>
      <c r="C167" s="74" t="s">
        <v>1547</v>
      </c>
      <c r="D167" s="87" t="s">
        <v>1472</v>
      </c>
      <c r="E167" s="87" t="s">
        <v>955</v>
      </c>
      <c r="F167" s="74"/>
      <c r="G167" s="87" t="s">
        <v>1040</v>
      </c>
      <c r="H167" s="87" t="s">
        <v>164</v>
      </c>
      <c r="I167" s="84">
        <v>63086.220861999995</v>
      </c>
      <c r="J167" s="86">
        <v>8561</v>
      </c>
      <c r="K167" s="74"/>
      <c r="L167" s="84">
        <v>19253.892528250002</v>
      </c>
      <c r="M167" s="85">
        <v>7.8292297918343954E-5</v>
      </c>
      <c r="N167" s="85">
        <f t="shared" si="4"/>
        <v>2.5304249854087766E-3</v>
      </c>
      <c r="O167" s="85">
        <f>L167/'סכום נכסי הקרן'!$C$42</f>
        <v>3.6961989437714099E-4</v>
      </c>
    </row>
    <row r="168" spans="2:15" s="122" customFormat="1">
      <c r="B168" s="77" t="s">
        <v>1548</v>
      </c>
      <c r="C168" s="74" t="s">
        <v>1549</v>
      </c>
      <c r="D168" s="87" t="s">
        <v>1472</v>
      </c>
      <c r="E168" s="87" t="s">
        <v>955</v>
      </c>
      <c r="F168" s="74"/>
      <c r="G168" s="87" t="s">
        <v>1032</v>
      </c>
      <c r="H168" s="87" t="s">
        <v>164</v>
      </c>
      <c r="I168" s="84">
        <v>39277.561816000001</v>
      </c>
      <c r="J168" s="86">
        <v>21775</v>
      </c>
      <c r="K168" s="74"/>
      <c r="L168" s="84">
        <v>30490.336589572002</v>
      </c>
      <c r="M168" s="85">
        <v>8.8680322947545562E-5</v>
      </c>
      <c r="N168" s="85">
        <f t="shared" si="4"/>
        <v>4.0071642347942905E-3</v>
      </c>
      <c r="O168" s="85">
        <f>L168/'סכום נכסי הקרן'!$C$42</f>
        <v>5.8532761483038166E-4</v>
      </c>
    </row>
    <row r="169" spans="2:15" s="122" customFormat="1">
      <c r="B169" s="77" t="s">
        <v>1550</v>
      </c>
      <c r="C169" s="74" t="s">
        <v>1551</v>
      </c>
      <c r="D169" s="87" t="s">
        <v>1457</v>
      </c>
      <c r="E169" s="87" t="s">
        <v>955</v>
      </c>
      <c r="F169" s="74"/>
      <c r="G169" s="87" t="s">
        <v>1035</v>
      </c>
      <c r="H169" s="87" t="s">
        <v>164</v>
      </c>
      <c r="I169" s="84">
        <v>32013.903124</v>
      </c>
      <c r="J169" s="86">
        <v>25429</v>
      </c>
      <c r="K169" s="74"/>
      <c r="L169" s="84">
        <v>29022.006991557999</v>
      </c>
      <c r="M169" s="85">
        <v>7.3166608289833345E-6</v>
      </c>
      <c r="N169" s="85">
        <f t="shared" si="4"/>
        <v>3.8141903778882982E-3</v>
      </c>
      <c r="O169" s="85">
        <f>L169/'סכום נכסי הקרן'!$C$42</f>
        <v>5.5713986889108843E-4</v>
      </c>
    </row>
    <row r="170" spans="2:15" s="122" customFormat="1">
      <c r="B170" s="77" t="s">
        <v>1552</v>
      </c>
      <c r="C170" s="74" t="s">
        <v>1553</v>
      </c>
      <c r="D170" s="87" t="s">
        <v>28</v>
      </c>
      <c r="E170" s="87" t="s">
        <v>955</v>
      </c>
      <c r="F170" s="74"/>
      <c r="G170" s="87" t="s">
        <v>1032</v>
      </c>
      <c r="H170" s="87" t="s">
        <v>166</v>
      </c>
      <c r="I170" s="84">
        <v>2567110.5579400002</v>
      </c>
      <c r="J170" s="86">
        <v>450.1</v>
      </c>
      <c r="K170" s="74"/>
      <c r="L170" s="84">
        <v>45066.268393523002</v>
      </c>
      <c r="M170" s="85">
        <v>1.6708632119575998E-3</v>
      </c>
      <c r="N170" s="85">
        <f t="shared" si="4"/>
        <v>5.9227925664791965E-3</v>
      </c>
      <c r="O170" s="85">
        <f>L170/'סכום נכסי הקרן'!$C$42</f>
        <v>8.6514398785313357E-4</v>
      </c>
    </row>
    <row r="171" spans="2:15" s="122" customFormat="1">
      <c r="B171" s="77" t="s">
        <v>1554</v>
      </c>
      <c r="C171" s="74" t="s">
        <v>1555</v>
      </c>
      <c r="D171" s="87" t="s">
        <v>28</v>
      </c>
      <c r="E171" s="87" t="s">
        <v>955</v>
      </c>
      <c r="F171" s="74"/>
      <c r="G171" s="87" t="s">
        <v>975</v>
      </c>
      <c r="H171" s="87" t="s">
        <v>166</v>
      </c>
      <c r="I171" s="84">
        <v>40360.115985999997</v>
      </c>
      <c r="J171" s="86">
        <v>24245</v>
      </c>
      <c r="K171" s="74"/>
      <c r="L171" s="84">
        <v>38165.645062192001</v>
      </c>
      <c r="M171" s="85">
        <v>9.4817798365052654E-5</v>
      </c>
      <c r="N171" s="85">
        <f t="shared" si="4"/>
        <v>5.0158845390829406E-3</v>
      </c>
      <c r="O171" s="85">
        <f>L171/'סכום נכסי הקרן'!$C$42</f>
        <v>7.3267167540407127E-4</v>
      </c>
    </row>
    <row r="172" spans="2:15" s="122" customFormat="1">
      <c r="B172" s="77" t="s">
        <v>1556</v>
      </c>
      <c r="C172" s="74" t="s">
        <v>1557</v>
      </c>
      <c r="D172" s="87" t="s">
        <v>28</v>
      </c>
      <c r="E172" s="87" t="s">
        <v>955</v>
      </c>
      <c r="F172" s="74"/>
      <c r="G172" s="87" t="s">
        <v>1057</v>
      </c>
      <c r="H172" s="87" t="s">
        <v>166</v>
      </c>
      <c r="I172" s="84">
        <v>390085.37420000002</v>
      </c>
      <c r="J172" s="86">
        <v>1441.5</v>
      </c>
      <c r="K172" s="74"/>
      <c r="L172" s="84">
        <v>21931.701535009004</v>
      </c>
      <c r="M172" s="85">
        <v>4.8321818815139165E-4</v>
      </c>
      <c r="N172" s="85">
        <f t="shared" si="4"/>
        <v>2.882353552939402E-3</v>
      </c>
      <c r="O172" s="85">
        <f>L172/'סכום נכסי הקרן'!$C$42</f>
        <v>4.2102619992227634E-4</v>
      </c>
    </row>
    <row r="173" spans="2:15" s="122" customFormat="1">
      <c r="B173" s="77" t="s">
        <v>1558</v>
      </c>
      <c r="C173" s="74" t="s">
        <v>1559</v>
      </c>
      <c r="D173" s="87" t="s">
        <v>1472</v>
      </c>
      <c r="E173" s="87" t="s">
        <v>955</v>
      </c>
      <c r="F173" s="74"/>
      <c r="G173" s="87" t="s">
        <v>1131</v>
      </c>
      <c r="H173" s="87" t="s">
        <v>164</v>
      </c>
      <c r="I173" s="84">
        <v>56231.479251999997</v>
      </c>
      <c r="J173" s="86">
        <v>11604</v>
      </c>
      <c r="K173" s="74"/>
      <c r="L173" s="84">
        <v>23261.984538242003</v>
      </c>
      <c r="M173" s="85">
        <v>1.0222369918583683E-4</v>
      </c>
      <c r="N173" s="85">
        <f t="shared" si="4"/>
        <v>3.0571847640364011E-3</v>
      </c>
      <c r="O173" s="85">
        <f>L173/'סכום נכסי הקרן'!$C$42</f>
        <v>4.465638444492336E-4</v>
      </c>
    </row>
    <row r="174" spans="2:15" s="122" customFormat="1">
      <c r="B174" s="77" t="s">
        <v>1560</v>
      </c>
      <c r="C174" s="74" t="s">
        <v>1561</v>
      </c>
      <c r="D174" s="87" t="s">
        <v>1457</v>
      </c>
      <c r="E174" s="87" t="s">
        <v>955</v>
      </c>
      <c r="F174" s="74"/>
      <c r="G174" s="87" t="s">
        <v>1035</v>
      </c>
      <c r="H174" s="87" t="s">
        <v>164</v>
      </c>
      <c r="I174" s="84">
        <v>75326.830879999994</v>
      </c>
      <c r="J174" s="86">
        <v>3931</v>
      </c>
      <c r="K174" s="74"/>
      <c r="L174" s="84">
        <v>10556.313378548</v>
      </c>
      <c r="M174" s="85">
        <v>1.7762074857177271E-5</v>
      </c>
      <c r="N174" s="85">
        <f t="shared" si="4"/>
        <v>1.3873537045919443E-3</v>
      </c>
      <c r="O174" s="85">
        <f>L174/'סכום נכסי הקרן'!$C$42</f>
        <v>2.0265114860623724E-4</v>
      </c>
    </row>
    <row r="175" spans="2:15" s="122" customFormat="1">
      <c r="B175" s="77" t="s">
        <v>1562</v>
      </c>
      <c r="C175" s="74" t="s">
        <v>1563</v>
      </c>
      <c r="D175" s="87" t="s">
        <v>1457</v>
      </c>
      <c r="E175" s="87" t="s">
        <v>955</v>
      </c>
      <c r="F175" s="74"/>
      <c r="G175" s="87" t="s">
        <v>1057</v>
      </c>
      <c r="H175" s="87" t="s">
        <v>164</v>
      </c>
      <c r="I175" s="84">
        <v>17755.610135999999</v>
      </c>
      <c r="J175" s="86">
        <v>28513</v>
      </c>
      <c r="K175" s="74"/>
      <c r="L175" s="84">
        <v>18048.372625946999</v>
      </c>
      <c r="M175" s="85">
        <v>4.0209275931983433E-5</v>
      </c>
      <c r="N175" s="85">
        <f t="shared" si="4"/>
        <v>2.3719906492495144E-3</v>
      </c>
      <c r="O175" s="85">
        <f>L175/'סכום נכסי הקרן'!$C$42</f>
        <v>3.4647734601685485E-4</v>
      </c>
    </row>
    <row r="176" spans="2:15" s="122" customFormat="1">
      <c r="B176" s="77" t="s">
        <v>1564</v>
      </c>
      <c r="C176" s="74" t="s">
        <v>1565</v>
      </c>
      <c r="D176" s="87" t="s">
        <v>1472</v>
      </c>
      <c r="E176" s="87" t="s">
        <v>955</v>
      </c>
      <c r="F176" s="74"/>
      <c r="G176" s="87" t="s">
        <v>1032</v>
      </c>
      <c r="H176" s="87" t="s">
        <v>164</v>
      </c>
      <c r="I176" s="84">
        <v>32282.927520000005</v>
      </c>
      <c r="J176" s="86">
        <v>14440</v>
      </c>
      <c r="K176" s="74"/>
      <c r="L176" s="84">
        <v>16618.799126310998</v>
      </c>
      <c r="M176" s="85">
        <v>7.7463632041244442E-5</v>
      </c>
      <c r="N176" s="85">
        <f t="shared" si="4"/>
        <v>2.1841102766625383E-3</v>
      </c>
      <c r="O176" s="85">
        <f>L176/'סכום נכסי הקרן'!$C$42</f>
        <v>3.1903360677480117E-4</v>
      </c>
    </row>
    <row r="177" spans="2:15" s="122" customFormat="1">
      <c r="B177" s="77" t="s">
        <v>1566</v>
      </c>
      <c r="C177" s="74" t="s">
        <v>1567</v>
      </c>
      <c r="D177" s="87" t="s">
        <v>28</v>
      </c>
      <c r="E177" s="87" t="s">
        <v>955</v>
      </c>
      <c r="F177" s="74"/>
      <c r="G177" s="87" t="s">
        <v>1016</v>
      </c>
      <c r="H177" s="87" t="s">
        <v>166</v>
      </c>
      <c r="I177" s="84">
        <v>389881.45370800002</v>
      </c>
      <c r="J177" s="86">
        <v>2465.5</v>
      </c>
      <c r="K177" s="74"/>
      <c r="L177" s="84">
        <v>37491.739996716999</v>
      </c>
      <c r="M177" s="85">
        <v>3.1530879299301916E-4</v>
      </c>
      <c r="N177" s="85">
        <f t="shared" si="4"/>
        <v>4.9273171902744096E-3</v>
      </c>
      <c r="O177" s="85">
        <f>L177/'סכום נכסי הקרן'!$C$42</f>
        <v>7.1973461767636153E-4</v>
      </c>
    </row>
    <row r="178" spans="2:15" s="122" customFormat="1">
      <c r="B178" s="77" t="s">
        <v>1568</v>
      </c>
      <c r="C178" s="74" t="s">
        <v>1569</v>
      </c>
      <c r="D178" s="87" t="s">
        <v>1472</v>
      </c>
      <c r="E178" s="87" t="s">
        <v>955</v>
      </c>
      <c r="F178" s="74"/>
      <c r="G178" s="87" t="s">
        <v>1150</v>
      </c>
      <c r="H178" s="87" t="s">
        <v>164</v>
      </c>
      <c r="I178" s="84">
        <v>24212.195640000002</v>
      </c>
      <c r="J178" s="86">
        <v>15101</v>
      </c>
      <c r="K178" s="74"/>
      <c r="L178" s="84">
        <v>13034.651260721001</v>
      </c>
      <c r="M178" s="85">
        <v>9.6102522638288085E-5</v>
      </c>
      <c r="N178" s="85">
        <f t="shared" si="4"/>
        <v>1.7130669643982007E-3</v>
      </c>
      <c r="O178" s="85">
        <f>L178/'סכום נכסי הקרן'!$C$42</f>
        <v>2.5022817672642648E-4</v>
      </c>
    </row>
    <row r="179" spans="2:15" s="122" customFormat="1">
      <c r="B179" s="77" t="s">
        <v>1570</v>
      </c>
      <c r="C179" s="74" t="s">
        <v>1571</v>
      </c>
      <c r="D179" s="87" t="s">
        <v>1472</v>
      </c>
      <c r="E179" s="87" t="s">
        <v>955</v>
      </c>
      <c r="F179" s="74"/>
      <c r="G179" s="87" t="s">
        <v>980</v>
      </c>
      <c r="H179" s="87" t="s">
        <v>164</v>
      </c>
      <c r="I179" s="84">
        <v>14796.341780000001</v>
      </c>
      <c r="J179" s="86">
        <v>32407</v>
      </c>
      <c r="K179" s="74"/>
      <c r="L179" s="84">
        <v>17094.354963498001</v>
      </c>
      <c r="M179" s="85">
        <v>3.7914274617591897E-4</v>
      </c>
      <c r="N179" s="85">
        <f t="shared" si="4"/>
        <v>2.2466097619281474E-3</v>
      </c>
      <c r="O179" s="85">
        <f>L179/'סכום נכסי הקרן'!$C$42</f>
        <v>3.2816292429091329E-4</v>
      </c>
    </row>
    <row r="180" spans="2:15" s="122" customFormat="1">
      <c r="B180" s="77" t="s">
        <v>1572</v>
      </c>
      <c r="C180" s="74" t="s">
        <v>1573</v>
      </c>
      <c r="D180" s="87" t="s">
        <v>28</v>
      </c>
      <c r="E180" s="87" t="s">
        <v>955</v>
      </c>
      <c r="F180" s="74"/>
      <c r="G180" s="87" t="s">
        <v>1131</v>
      </c>
      <c r="H180" s="87" t="s">
        <v>166</v>
      </c>
      <c r="I180" s="84">
        <v>34967.790992000002</v>
      </c>
      <c r="J180" s="86">
        <v>6450</v>
      </c>
      <c r="K180" s="74"/>
      <c r="L180" s="84">
        <v>8796.8244500060009</v>
      </c>
      <c r="M180" s="85">
        <v>3.5681419379591839E-4</v>
      </c>
      <c r="N180" s="85">
        <f t="shared" si="4"/>
        <v>1.1561145024513754E-3</v>
      </c>
      <c r="O180" s="85">
        <f>L180/'סכום נכסי הקרן'!$C$42</f>
        <v>1.688739728496344E-4</v>
      </c>
    </row>
    <row r="181" spans="2:15" s="122" customFormat="1">
      <c r="B181" s="77" t="s">
        <v>1574</v>
      </c>
      <c r="C181" s="74" t="s">
        <v>1575</v>
      </c>
      <c r="D181" s="87" t="s">
        <v>1457</v>
      </c>
      <c r="E181" s="87" t="s">
        <v>955</v>
      </c>
      <c r="F181" s="74"/>
      <c r="G181" s="87" t="s">
        <v>1032</v>
      </c>
      <c r="H181" s="87" t="s">
        <v>164</v>
      </c>
      <c r="I181" s="84">
        <v>14231.390548000001</v>
      </c>
      <c r="J181" s="86">
        <v>62457</v>
      </c>
      <c r="K181" s="74"/>
      <c r="L181" s="84">
        <v>31687.501056858</v>
      </c>
      <c r="M181" s="85">
        <v>1.6655833101592539E-4</v>
      </c>
      <c r="N181" s="85">
        <f t="shared" si="4"/>
        <v>4.1645004656483539E-3</v>
      </c>
      <c r="O181" s="85">
        <f>L181/'סכום נכסי הקרן'!$C$42</f>
        <v>6.0830976263769238E-4</v>
      </c>
    </row>
    <row r="182" spans="2:15" s="122" customFormat="1">
      <c r="B182" s="77" t="s">
        <v>1576</v>
      </c>
      <c r="C182" s="74" t="s">
        <v>1577</v>
      </c>
      <c r="D182" s="87" t="s">
        <v>28</v>
      </c>
      <c r="E182" s="87" t="s">
        <v>955</v>
      </c>
      <c r="F182" s="74"/>
      <c r="G182" s="87" t="s">
        <v>1035</v>
      </c>
      <c r="H182" s="87" t="s">
        <v>171</v>
      </c>
      <c r="I182" s="84">
        <v>1309637.9311919999</v>
      </c>
      <c r="J182" s="86">
        <v>8106</v>
      </c>
      <c r="K182" s="74"/>
      <c r="L182" s="84">
        <v>37357.440322609</v>
      </c>
      <c r="M182" s="85">
        <v>4.2625951762219463E-4</v>
      </c>
      <c r="N182" s="85">
        <f t="shared" si="4"/>
        <v>4.9096669800430754E-3</v>
      </c>
      <c r="O182" s="85">
        <f>L182/'סכום נכסי הקרן'!$C$42</f>
        <v>7.1715644646833956E-4</v>
      </c>
    </row>
    <row r="183" spans="2:15" s="122" customFormat="1">
      <c r="B183" s="77" t="s">
        <v>1578</v>
      </c>
      <c r="C183" s="74" t="s">
        <v>1579</v>
      </c>
      <c r="D183" s="87" t="s">
        <v>1472</v>
      </c>
      <c r="E183" s="87" t="s">
        <v>955</v>
      </c>
      <c r="F183" s="74"/>
      <c r="G183" s="87" t="s">
        <v>1580</v>
      </c>
      <c r="H183" s="87" t="s">
        <v>164</v>
      </c>
      <c r="I183" s="84">
        <v>21521.951679999995</v>
      </c>
      <c r="J183" s="86">
        <v>15934</v>
      </c>
      <c r="K183" s="74"/>
      <c r="L183" s="84">
        <v>12225.482238164001</v>
      </c>
      <c r="M183" s="85">
        <v>9.6806478709642735E-5</v>
      </c>
      <c r="N183" s="85">
        <f t="shared" si="4"/>
        <v>1.606722675361955E-3</v>
      </c>
      <c r="O183" s="85">
        <f>L183/'סכום נכסי הקרן'!$C$42</f>
        <v>2.3469443630422642E-4</v>
      </c>
    </row>
    <row r="184" spans="2:15" s="122" customFormat="1">
      <c r="B184" s="77" t="s">
        <v>1581</v>
      </c>
      <c r="C184" s="74" t="s">
        <v>1582</v>
      </c>
      <c r="D184" s="87" t="s">
        <v>1457</v>
      </c>
      <c r="E184" s="87" t="s">
        <v>955</v>
      </c>
      <c r="F184" s="74"/>
      <c r="G184" s="87" t="s">
        <v>1035</v>
      </c>
      <c r="H184" s="87" t="s">
        <v>164</v>
      </c>
      <c r="I184" s="84">
        <v>86935.233566999988</v>
      </c>
      <c r="J184" s="86">
        <v>16680</v>
      </c>
      <c r="K184" s="74"/>
      <c r="L184" s="84">
        <v>51695.341158986004</v>
      </c>
      <c r="M184" s="85">
        <v>3.6136501094666799E-5</v>
      </c>
      <c r="N184" s="85">
        <f t="shared" si="4"/>
        <v>6.794012312367384E-3</v>
      </c>
      <c r="O184" s="85">
        <f>L184/'סכום נכסי הקרן'!$C$42</f>
        <v>9.9240330291338642E-4</v>
      </c>
    </row>
    <row r="185" spans="2:15" s="122" customFormat="1">
      <c r="B185" s="77" t="s">
        <v>1583</v>
      </c>
      <c r="C185" s="74" t="s">
        <v>1584</v>
      </c>
      <c r="D185" s="87" t="s">
        <v>1585</v>
      </c>
      <c r="E185" s="87" t="s">
        <v>955</v>
      </c>
      <c r="F185" s="74"/>
      <c r="G185" s="87" t="s">
        <v>1131</v>
      </c>
      <c r="H185" s="87" t="s">
        <v>166</v>
      </c>
      <c r="I185" s="84">
        <v>134512.198</v>
      </c>
      <c r="J185" s="86">
        <v>2187</v>
      </c>
      <c r="K185" s="74"/>
      <c r="L185" s="84">
        <v>11473.831438544999</v>
      </c>
      <c r="M185" s="85">
        <v>1.8295616513593825E-4</v>
      </c>
      <c r="N185" s="85">
        <f t="shared" si="4"/>
        <v>1.5079376654805645E-3</v>
      </c>
      <c r="O185" s="85">
        <f>L185/'סכום נכסי הקרן'!$C$42</f>
        <v>2.202648819293885E-4</v>
      </c>
    </row>
    <row r="186" spans="2:15" s="122" customFormat="1">
      <c r="B186" s="77" t="s">
        <v>1586</v>
      </c>
      <c r="C186" s="74" t="s">
        <v>1587</v>
      </c>
      <c r="D186" s="87" t="s">
        <v>28</v>
      </c>
      <c r="E186" s="87" t="s">
        <v>955</v>
      </c>
      <c r="F186" s="74"/>
      <c r="G186" s="87" t="s">
        <v>1150</v>
      </c>
      <c r="H186" s="87" t="s">
        <v>171</v>
      </c>
      <c r="I186" s="84">
        <v>201768.29699999999</v>
      </c>
      <c r="J186" s="86">
        <v>12800</v>
      </c>
      <c r="K186" s="74"/>
      <c r="L186" s="84">
        <v>9088.2897554299998</v>
      </c>
      <c r="M186" s="85">
        <v>1.3813388426696754E-4</v>
      </c>
      <c r="N186" s="85">
        <f t="shared" si="4"/>
        <v>1.1944200601531521E-3</v>
      </c>
      <c r="O186" s="85">
        <f>L186/'סכום נכסי הקרן'!$C$42</f>
        <v>1.7446927651341832E-4</v>
      </c>
    </row>
    <row r="187" spans="2:15" s="122" customFormat="1">
      <c r="B187" s="77" t="s">
        <v>1588</v>
      </c>
      <c r="C187" s="74" t="s">
        <v>1589</v>
      </c>
      <c r="D187" s="87" t="s">
        <v>1472</v>
      </c>
      <c r="E187" s="87" t="s">
        <v>955</v>
      </c>
      <c r="F187" s="74"/>
      <c r="G187" s="87" t="s">
        <v>1150</v>
      </c>
      <c r="H187" s="87" t="s">
        <v>164</v>
      </c>
      <c r="I187" s="84">
        <v>17486.585739999999</v>
      </c>
      <c r="J187" s="86">
        <v>18671</v>
      </c>
      <c r="K187" s="74"/>
      <c r="L187" s="84">
        <v>11639.441309832</v>
      </c>
      <c r="M187" s="85">
        <v>1.6270502481865424E-5</v>
      </c>
      <c r="N187" s="85">
        <f t="shared" si="4"/>
        <v>1.5297027893649996E-3</v>
      </c>
      <c r="O187" s="85">
        <f>L187/'סכום נכסי הקרן'!$C$42</f>
        <v>2.2344411974029347E-4</v>
      </c>
    </row>
    <row r="188" spans="2:15" s="122" customFormat="1">
      <c r="B188" s="77" t="s">
        <v>1590</v>
      </c>
      <c r="C188" s="74" t="s">
        <v>1591</v>
      </c>
      <c r="D188" s="87" t="s">
        <v>1457</v>
      </c>
      <c r="E188" s="87" t="s">
        <v>955</v>
      </c>
      <c r="F188" s="74"/>
      <c r="G188" s="87" t="s">
        <v>975</v>
      </c>
      <c r="H188" s="87" t="s">
        <v>164</v>
      </c>
      <c r="I188" s="84">
        <v>59185.367120000003</v>
      </c>
      <c r="J188" s="86">
        <v>5412</v>
      </c>
      <c r="K188" s="74"/>
      <c r="L188" s="84">
        <v>11419.094524325003</v>
      </c>
      <c r="M188" s="85">
        <v>1.3838056375964461E-5</v>
      </c>
      <c r="N188" s="85">
        <f t="shared" si="4"/>
        <v>1.5007439172468899E-3</v>
      </c>
      <c r="O188" s="85">
        <f>L188/'סכום נכסי הקרן'!$C$42</f>
        <v>2.1921408908722213E-4</v>
      </c>
    </row>
    <row r="189" spans="2:15" s="122" customFormat="1">
      <c r="B189" s="77" t="s">
        <v>1592</v>
      </c>
      <c r="C189" s="74" t="s">
        <v>1593</v>
      </c>
      <c r="D189" s="87" t="s">
        <v>28</v>
      </c>
      <c r="E189" s="87" t="s">
        <v>955</v>
      </c>
      <c r="F189" s="74"/>
      <c r="G189" s="87" t="s">
        <v>1535</v>
      </c>
      <c r="H189" s="87" t="s">
        <v>166</v>
      </c>
      <c r="I189" s="84">
        <v>3228.2927519999998</v>
      </c>
      <c r="J189" s="86">
        <v>47590</v>
      </c>
      <c r="K189" s="74"/>
      <c r="L189" s="84">
        <v>5992.2045339959996</v>
      </c>
      <c r="M189" s="85">
        <v>2.5564698169665498E-5</v>
      </c>
      <c r="N189" s="85">
        <f t="shared" si="4"/>
        <v>7.8751992867186682E-4</v>
      </c>
      <c r="O189" s="85">
        <f>L189/'סכום נכסי הקרן'!$C$42</f>
        <v>1.1503325905097562E-4</v>
      </c>
    </row>
    <row r="190" spans="2:15" s="122" customFormat="1">
      <c r="B190" s="77" t="s">
        <v>1594</v>
      </c>
      <c r="C190" s="74" t="s">
        <v>1595</v>
      </c>
      <c r="D190" s="87" t="s">
        <v>1472</v>
      </c>
      <c r="E190" s="87" t="s">
        <v>955</v>
      </c>
      <c r="F190" s="74"/>
      <c r="G190" s="87" t="s">
        <v>1535</v>
      </c>
      <c r="H190" s="87" t="s">
        <v>164</v>
      </c>
      <c r="I190" s="84">
        <v>283527.77021300001</v>
      </c>
      <c r="J190" s="86">
        <v>1243</v>
      </c>
      <c r="K190" s="74"/>
      <c r="L190" s="84">
        <v>12563.951905734999</v>
      </c>
      <c r="M190" s="85">
        <v>4.4922617432064643E-3</v>
      </c>
      <c r="N190" s="85">
        <f t="shared" si="4"/>
        <v>1.6512057378059782E-3</v>
      </c>
      <c r="O190" s="85">
        <f>L190/'סכום נכסי הקרן'!$C$42</f>
        <v>2.4119208983552662E-4</v>
      </c>
    </row>
    <row r="191" spans="2:15" s="122" customFormat="1">
      <c r="B191" s="77" t="s">
        <v>1596</v>
      </c>
      <c r="C191" s="74" t="s">
        <v>1597</v>
      </c>
      <c r="D191" s="87" t="s">
        <v>1472</v>
      </c>
      <c r="E191" s="87" t="s">
        <v>955</v>
      </c>
      <c r="F191" s="74"/>
      <c r="G191" s="87" t="s">
        <v>1131</v>
      </c>
      <c r="H191" s="87" t="s">
        <v>164</v>
      </c>
      <c r="I191" s="84">
        <v>34389.388541</v>
      </c>
      <c r="J191" s="86">
        <v>33895</v>
      </c>
      <c r="K191" s="74"/>
      <c r="L191" s="84">
        <v>41554.649770830998</v>
      </c>
      <c r="M191" s="85">
        <v>1.220051259348197E-4</v>
      </c>
      <c r="N191" s="85">
        <f t="shared" si="4"/>
        <v>5.4612813427591658E-3</v>
      </c>
      <c r="O191" s="85">
        <f>L191/'סכום נכסי הקרן'!$C$42</f>
        <v>7.9773091267844873E-4</v>
      </c>
    </row>
    <row r="192" spans="2:15" s="122" customFormat="1">
      <c r="B192" s="77" t="s">
        <v>1598</v>
      </c>
      <c r="C192" s="74" t="s">
        <v>1599</v>
      </c>
      <c r="D192" s="87" t="s">
        <v>28</v>
      </c>
      <c r="E192" s="87" t="s">
        <v>955</v>
      </c>
      <c r="F192" s="74"/>
      <c r="G192" s="87" t="s">
        <v>1580</v>
      </c>
      <c r="H192" s="87" t="s">
        <v>166</v>
      </c>
      <c r="I192" s="84">
        <v>7056.5099069999997</v>
      </c>
      <c r="J192" s="86">
        <v>23890</v>
      </c>
      <c r="K192" s="74"/>
      <c r="L192" s="84">
        <v>6575.1265844879999</v>
      </c>
      <c r="M192" s="85">
        <v>1.2638648944599428E-5</v>
      </c>
      <c r="N192" s="85">
        <f t="shared" si="4"/>
        <v>8.6412991903856502E-4</v>
      </c>
      <c r="O192" s="85">
        <f>L192/'סכום נכסי הקרן'!$C$42</f>
        <v>1.2622370204409141E-4</v>
      </c>
    </row>
    <row r="193" spans="2:15" s="122" customFormat="1">
      <c r="B193" s="77" t="s">
        <v>1600</v>
      </c>
      <c r="C193" s="74" t="s">
        <v>1601</v>
      </c>
      <c r="D193" s="87" t="s">
        <v>1472</v>
      </c>
      <c r="E193" s="87" t="s">
        <v>955</v>
      </c>
      <c r="F193" s="74"/>
      <c r="G193" s="87" t="s">
        <v>1535</v>
      </c>
      <c r="H193" s="87" t="s">
        <v>164</v>
      </c>
      <c r="I193" s="84">
        <v>17486.585739999999</v>
      </c>
      <c r="J193" s="86">
        <v>18955</v>
      </c>
      <c r="K193" s="74"/>
      <c r="L193" s="84">
        <v>11816.485995816</v>
      </c>
      <c r="M193" s="85">
        <v>1.4089002499163196E-4</v>
      </c>
      <c r="N193" s="85">
        <f t="shared" si="4"/>
        <v>1.552970723175809E-3</v>
      </c>
      <c r="O193" s="85">
        <f>L193/'סכום נכסי הקרן'!$C$42</f>
        <v>2.2684287342282416E-4</v>
      </c>
    </row>
    <row r="194" spans="2:15" s="122" customFormat="1">
      <c r="B194" s="77" t="s">
        <v>1602</v>
      </c>
      <c r="C194" s="74" t="s">
        <v>1603</v>
      </c>
      <c r="D194" s="87" t="s">
        <v>28</v>
      </c>
      <c r="E194" s="87" t="s">
        <v>955</v>
      </c>
      <c r="F194" s="74"/>
      <c r="G194" s="87" t="s">
        <v>1535</v>
      </c>
      <c r="H194" s="87" t="s">
        <v>166</v>
      </c>
      <c r="I194" s="84">
        <v>4573.4147320000002</v>
      </c>
      <c r="J194" s="86">
        <v>33845</v>
      </c>
      <c r="K194" s="74"/>
      <c r="L194" s="84">
        <v>6037.166002897</v>
      </c>
      <c r="M194" s="85">
        <v>9.0557765467821545E-6</v>
      </c>
      <c r="N194" s="85">
        <f t="shared" si="4"/>
        <v>7.9342894806214549E-4</v>
      </c>
      <c r="O194" s="85">
        <f>L194/'סכום נכסי הקרן'!$C$42</f>
        <v>1.1589639118707982E-4</v>
      </c>
    </row>
    <row r="195" spans="2:15" s="122" customFormat="1">
      <c r="B195" s="77" t="s">
        <v>1604</v>
      </c>
      <c r="C195" s="74" t="s">
        <v>1605</v>
      </c>
      <c r="D195" s="87" t="s">
        <v>1472</v>
      </c>
      <c r="E195" s="87" t="s">
        <v>955</v>
      </c>
      <c r="F195" s="74"/>
      <c r="G195" s="87" t="s">
        <v>972</v>
      </c>
      <c r="H195" s="87" t="s">
        <v>164</v>
      </c>
      <c r="I195" s="84">
        <v>27792.641326000001</v>
      </c>
      <c r="J195" s="86">
        <v>24156</v>
      </c>
      <c r="K195" s="74"/>
      <c r="L195" s="84">
        <v>23933.949913609998</v>
      </c>
      <c r="M195" s="85">
        <v>2.7952492968011236E-5</v>
      </c>
      <c r="N195" s="85">
        <f t="shared" si="4"/>
        <v>3.1454971908698808E-3</v>
      </c>
      <c r="O195" s="85">
        <f>L195/'סכום נכסי הקרן'!$C$42</f>
        <v>4.5946366565183949E-4</v>
      </c>
    </row>
    <row r="196" spans="2:15" s="122" customFormat="1">
      <c r="B196" s="77" t="s">
        <v>1606</v>
      </c>
      <c r="C196" s="74" t="s">
        <v>1607</v>
      </c>
      <c r="D196" s="87" t="s">
        <v>1472</v>
      </c>
      <c r="E196" s="87" t="s">
        <v>955</v>
      </c>
      <c r="F196" s="74"/>
      <c r="G196" s="87" t="s">
        <v>1153</v>
      </c>
      <c r="H196" s="87" t="s">
        <v>164</v>
      </c>
      <c r="I196" s="84">
        <v>54358.800431000003</v>
      </c>
      <c r="J196" s="86">
        <v>16535</v>
      </c>
      <c r="K196" s="74"/>
      <c r="L196" s="84">
        <v>32043.031576372006</v>
      </c>
      <c r="M196" s="85">
        <v>7.2921113893790302E-5</v>
      </c>
      <c r="N196" s="85">
        <f t="shared" si="4"/>
        <v>4.2112257347508807E-3</v>
      </c>
      <c r="O196" s="85">
        <f>L196/'סכום נכסי הקרן'!$C$42</f>
        <v>6.1513493593071903E-4</v>
      </c>
    </row>
    <row r="197" spans="2:15" s="122" customFormat="1">
      <c r="B197" s="77" t="s">
        <v>1608</v>
      </c>
      <c r="C197" s="74" t="s">
        <v>1609</v>
      </c>
      <c r="D197" s="87" t="s">
        <v>1457</v>
      </c>
      <c r="E197" s="87" t="s">
        <v>955</v>
      </c>
      <c r="F197" s="74"/>
      <c r="G197" s="87" t="s">
        <v>1009</v>
      </c>
      <c r="H197" s="87" t="s">
        <v>164</v>
      </c>
      <c r="I197" s="84">
        <v>164780.93986700001</v>
      </c>
      <c r="J197" s="86">
        <v>15771</v>
      </c>
      <c r="K197" s="74"/>
      <c r="L197" s="84">
        <v>92645.801222955008</v>
      </c>
      <c r="M197" s="85">
        <v>2.1664465082894618E-5</v>
      </c>
      <c r="N197" s="85">
        <f t="shared" si="4"/>
        <v>1.2175888582727439E-2</v>
      </c>
      <c r="O197" s="85">
        <f>L197/'סכום נכסי הקרן'!$C$42</f>
        <v>1.7785354941745207E-3</v>
      </c>
    </row>
    <row r="198" spans="2:15" s="122" customFormat="1">
      <c r="B198" s="77" t="s">
        <v>1610</v>
      </c>
      <c r="C198" s="74" t="s">
        <v>1611</v>
      </c>
      <c r="D198" s="87" t="s">
        <v>1472</v>
      </c>
      <c r="E198" s="87" t="s">
        <v>955</v>
      </c>
      <c r="F198" s="74"/>
      <c r="G198" s="87" t="s">
        <v>1040</v>
      </c>
      <c r="H198" s="87" t="s">
        <v>164</v>
      </c>
      <c r="I198" s="84">
        <v>10131.727778</v>
      </c>
      <c r="J198" s="86">
        <v>21150</v>
      </c>
      <c r="K198" s="74"/>
      <c r="L198" s="84">
        <v>7639.2974157809995</v>
      </c>
      <c r="M198" s="85">
        <v>5.4120242384648102E-5</v>
      </c>
      <c r="N198" s="85">
        <f t="shared" si="4"/>
        <v>1.0039875845104199E-3</v>
      </c>
      <c r="O198" s="85">
        <f>L198/'סכום נכסי הקרן'!$C$42</f>
        <v>1.4665275085511142E-4</v>
      </c>
    </row>
    <row r="199" spans="2:15" s="122" customFormat="1">
      <c r="B199" s="77" t="s">
        <v>1612</v>
      </c>
      <c r="C199" s="74" t="s">
        <v>1613</v>
      </c>
      <c r="D199" s="87" t="s">
        <v>142</v>
      </c>
      <c r="E199" s="87" t="s">
        <v>955</v>
      </c>
      <c r="F199" s="74"/>
      <c r="G199" s="87" t="s">
        <v>980</v>
      </c>
      <c r="H199" s="87" t="s">
        <v>1532</v>
      </c>
      <c r="I199" s="84">
        <v>64834.879435999996</v>
      </c>
      <c r="J199" s="86">
        <v>9945</v>
      </c>
      <c r="K199" s="74"/>
      <c r="L199" s="84">
        <v>23762.828111773</v>
      </c>
      <c r="M199" s="85">
        <v>2.1785913788978495E-5</v>
      </c>
      <c r="N199" s="85">
        <f t="shared" si="4"/>
        <v>3.1230076666201125E-3</v>
      </c>
      <c r="O199" s="85">
        <f>L199/'סכום נכסי הקרן'!$C$42</f>
        <v>4.5617861447437943E-4</v>
      </c>
    </row>
    <row r="200" spans="2:15" s="122" customFormat="1">
      <c r="B200" s="77" t="s">
        <v>1614</v>
      </c>
      <c r="C200" s="74" t="s">
        <v>1615</v>
      </c>
      <c r="D200" s="87" t="s">
        <v>1457</v>
      </c>
      <c r="E200" s="87" t="s">
        <v>955</v>
      </c>
      <c r="F200" s="74"/>
      <c r="G200" s="87" t="s">
        <v>1009</v>
      </c>
      <c r="H200" s="87" t="s">
        <v>164</v>
      </c>
      <c r="I200" s="84">
        <v>41195.705758999997</v>
      </c>
      <c r="J200" s="86">
        <v>37550</v>
      </c>
      <c r="K200" s="74"/>
      <c r="L200" s="84">
        <v>55146.940481375997</v>
      </c>
      <c r="M200" s="85">
        <v>9.3881225029021829E-5</v>
      </c>
      <c r="N200" s="85">
        <f t="shared" si="4"/>
        <v>7.2476355551574214E-3</v>
      </c>
      <c r="O200" s="85">
        <f>L200/'סכום נכסי הקרן'!$C$42</f>
        <v>1.0586641784793081E-3</v>
      </c>
    </row>
    <row r="201" spans="2:15" s="122" customFormat="1">
      <c r="B201" s="77" t="s">
        <v>1616</v>
      </c>
      <c r="C201" s="74" t="s">
        <v>1617</v>
      </c>
      <c r="D201" s="87" t="s">
        <v>126</v>
      </c>
      <c r="E201" s="87" t="s">
        <v>955</v>
      </c>
      <c r="F201" s="74"/>
      <c r="G201" s="87" t="s">
        <v>1150</v>
      </c>
      <c r="H201" s="87" t="s">
        <v>167</v>
      </c>
      <c r="I201" s="84">
        <v>59185.367120000003</v>
      </c>
      <c r="J201" s="86">
        <v>4072</v>
      </c>
      <c r="K201" s="74"/>
      <c r="L201" s="84">
        <v>10600.749816747</v>
      </c>
      <c r="M201" s="85">
        <v>4.4517254174441688E-4</v>
      </c>
      <c r="N201" s="85">
        <f t="shared" si="4"/>
        <v>1.3931937223086912E-3</v>
      </c>
      <c r="O201" s="85">
        <f>L201/'סכום נכסי הקרן'!$C$42</f>
        <v>2.035042016483435E-4</v>
      </c>
    </row>
    <row r="202" spans="2:15" s="122" customFormat="1">
      <c r="B202" s="77" t="s">
        <v>1618</v>
      </c>
      <c r="C202" s="74" t="s">
        <v>1619</v>
      </c>
      <c r="D202" s="87" t="s">
        <v>1472</v>
      </c>
      <c r="E202" s="87" t="s">
        <v>955</v>
      </c>
      <c r="F202" s="74"/>
      <c r="G202" s="87" t="s">
        <v>1535</v>
      </c>
      <c r="H202" s="87" t="s">
        <v>164</v>
      </c>
      <c r="I202" s="84">
        <v>41429.756984</v>
      </c>
      <c r="J202" s="86">
        <v>8274</v>
      </c>
      <c r="K202" s="84">
        <v>36.185785494000001</v>
      </c>
      <c r="L202" s="84">
        <v>12256.642486526001</v>
      </c>
      <c r="M202" s="85">
        <v>3.3347746639698586E-5</v>
      </c>
      <c r="N202" s="85">
        <f t="shared" si="4"/>
        <v>1.6108178821307192E-3</v>
      </c>
      <c r="O202" s="85">
        <f>L202/'סכום נכסי הקרן'!$C$42</f>
        <v>2.3529262431693239E-4</v>
      </c>
    </row>
    <row r="203" spans="2:15" s="122" customFormat="1">
      <c r="B203" s="77" t="s">
        <v>1620</v>
      </c>
      <c r="C203" s="74" t="s">
        <v>1621</v>
      </c>
      <c r="D203" s="87" t="s">
        <v>28</v>
      </c>
      <c r="E203" s="87" t="s">
        <v>955</v>
      </c>
      <c r="F203" s="74"/>
      <c r="G203" s="87" t="s">
        <v>1035</v>
      </c>
      <c r="H203" s="87" t="s">
        <v>166</v>
      </c>
      <c r="I203" s="84">
        <v>904190.99495600001</v>
      </c>
      <c r="J203" s="86">
        <v>286.89999999999998</v>
      </c>
      <c r="K203" s="74"/>
      <c r="L203" s="84">
        <v>10117.861698125</v>
      </c>
      <c r="M203" s="85">
        <v>1.5992380630386159E-4</v>
      </c>
      <c r="N203" s="85">
        <f t="shared" si="4"/>
        <v>1.329730598749374E-3</v>
      </c>
      <c r="O203" s="85">
        <f>L203/'סכום נכסי הקרן'!$C$42</f>
        <v>1.9423412521371293E-4</v>
      </c>
    </row>
    <row r="204" spans="2:15" s="122" customFormat="1">
      <c r="B204" s="77" t="s">
        <v>1622</v>
      </c>
      <c r="C204" s="74" t="s">
        <v>1623</v>
      </c>
      <c r="D204" s="87" t="s">
        <v>1472</v>
      </c>
      <c r="E204" s="87" t="s">
        <v>955</v>
      </c>
      <c r="F204" s="74"/>
      <c r="G204" s="87" t="s">
        <v>1086</v>
      </c>
      <c r="H204" s="87" t="s">
        <v>164</v>
      </c>
      <c r="I204" s="84">
        <v>86591.256347000002</v>
      </c>
      <c r="J204" s="86">
        <v>3394</v>
      </c>
      <c r="K204" s="84">
        <v>138.91402299500001</v>
      </c>
      <c r="L204" s="84">
        <v>10616.118335081999</v>
      </c>
      <c r="M204" s="85">
        <v>1.5121686016075442E-4</v>
      </c>
      <c r="N204" s="85">
        <f t="shared" si="4"/>
        <v>1.3952135155908306E-3</v>
      </c>
      <c r="O204" s="85">
        <f>L204/'סכום נכסי הקרן'!$C$42</f>
        <v>2.0379923342518451E-4</v>
      </c>
    </row>
    <row r="205" spans="2:15" s="122" customFormat="1">
      <c r="B205" s="77" t="s">
        <v>1624</v>
      </c>
      <c r="C205" s="74" t="s">
        <v>1625</v>
      </c>
      <c r="D205" s="87" t="s">
        <v>1457</v>
      </c>
      <c r="E205" s="87" t="s">
        <v>955</v>
      </c>
      <c r="F205" s="74"/>
      <c r="G205" s="87" t="s">
        <v>975</v>
      </c>
      <c r="H205" s="87" t="s">
        <v>164</v>
      </c>
      <c r="I205" s="84">
        <v>13451.219799999999</v>
      </c>
      <c r="J205" s="86">
        <v>26360</v>
      </c>
      <c r="K205" s="74"/>
      <c r="L205" s="84">
        <v>12640.568587533002</v>
      </c>
      <c r="M205" s="85">
        <v>2.19616923680828E-5</v>
      </c>
      <c r="N205" s="85">
        <f t="shared" si="4"/>
        <v>1.6612750142204135E-3</v>
      </c>
      <c r="O205" s="85">
        <f>L205/'סכום נכסי הקרן'!$C$42</f>
        <v>2.4266291189356783E-4</v>
      </c>
    </row>
    <row r="206" spans="2:15" s="122" customFormat="1">
      <c r="B206" s="77" t="s">
        <v>1499</v>
      </c>
      <c r="C206" s="74" t="s">
        <v>1500</v>
      </c>
      <c r="D206" s="87" t="s">
        <v>1472</v>
      </c>
      <c r="E206" s="87" t="s">
        <v>955</v>
      </c>
      <c r="F206" s="74"/>
      <c r="G206" s="87" t="s">
        <v>191</v>
      </c>
      <c r="H206" s="87" t="s">
        <v>164</v>
      </c>
      <c r="I206" s="84">
        <v>273516.16337999998</v>
      </c>
      <c r="J206" s="86">
        <v>6766</v>
      </c>
      <c r="K206" s="74"/>
      <c r="L206" s="84">
        <v>65974.259387717</v>
      </c>
      <c r="M206" s="85">
        <v>5.3597356279980902E-3</v>
      </c>
      <c r="N206" s="85">
        <f>L206/$L$11</f>
        <v>8.6706059101334439E-3</v>
      </c>
      <c r="O206" s="85">
        <f>L206/'סכום נכסי הקרן'!$C$42</f>
        <v>1.2665178612957836E-3</v>
      </c>
    </row>
    <row r="207" spans="2:15" s="122" customFormat="1">
      <c r="B207" s="77" t="s">
        <v>1626</v>
      </c>
      <c r="C207" s="74" t="s">
        <v>1627</v>
      </c>
      <c r="D207" s="87" t="s">
        <v>1472</v>
      </c>
      <c r="E207" s="87" t="s">
        <v>955</v>
      </c>
      <c r="F207" s="74"/>
      <c r="G207" s="87" t="s">
        <v>1040</v>
      </c>
      <c r="H207" s="87" t="s">
        <v>164</v>
      </c>
      <c r="I207" s="84">
        <v>694028</v>
      </c>
      <c r="J207" s="86">
        <v>1154</v>
      </c>
      <c r="K207" s="84">
        <v>197.93679</v>
      </c>
      <c r="L207" s="84">
        <v>28750.31812</v>
      </c>
      <c r="M207" s="85">
        <v>1.7572434825462262E-3</v>
      </c>
      <c r="N207" s="85">
        <f t="shared" si="4"/>
        <v>3.7784839196830723E-3</v>
      </c>
      <c r="O207" s="85">
        <f>L207/'סכום נכסי הקרן'!$C$42</f>
        <v>5.5192421642697657E-4</v>
      </c>
    </row>
    <row r="208" spans="2:15" s="122" customFormat="1">
      <c r="B208" s="77" t="s">
        <v>1628</v>
      </c>
      <c r="C208" s="74" t="s">
        <v>1629</v>
      </c>
      <c r="D208" s="87" t="s">
        <v>1472</v>
      </c>
      <c r="E208" s="87" t="s">
        <v>955</v>
      </c>
      <c r="F208" s="74"/>
      <c r="G208" s="87" t="s">
        <v>1035</v>
      </c>
      <c r="H208" s="87" t="s">
        <v>164</v>
      </c>
      <c r="I208" s="84">
        <v>42989.356849000003</v>
      </c>
      <c r="J208" s="86">
        <v>16396</v>
      </c>
      <c r="K208" s="74"/>
      <c r="L208" s="84">
        <v>25128.027092932996</v>
      </c>
      <c r="M208" s="85">
        <v>4.3116609918013733E-4</v>
      </c>
      <c r="N208" s="85">
        <f t="shared" si="4"/>
        <v>3.3024276777640017E-3</v>
      </c>
      <c r="O208" s="85">
        <f>L208/'סכום נכסי הקרן'!$C$42</f>
        <v>4.8238654632399186E-4</v>
      </c>
    </row>
    <row r="209" spans="2:15" s="122" customFormat="1">
      <c r="B209" s="77" t="s">
        <v>1630</v>
      </c>
      <c r="C209" s="74" t="s">
        <v>1631</v>
      </c>
      <c r="D209" s="87" t="s">
        <v>1457</v>
      </c>
      <c r="E209" s="87" t="s">
        <v>955</v>
      </c>
      <c r="F209" s="74"/>
      <c r="G209" s="87" t="s">
        <v>1035</v>
      </c>
      <c r="H209" s="87" t="s">
        <v>164</v>
      </c>
      <c r="I209" s="84">
        <v>117587.06617399999</v>
      </c>
      <c r="J209" s="86">
        <v>9574</v>
      </c>
      <c r="K209" s="74"/>
      <c r="L209" s="84">
        <v>40134.006075988</v>
      </c>
      <c r="M209" s="85">
        <v>1.0024853259797834E-4</v>
      </c>
      <c r="N209" s="85">
        <f t="shared" si="4"/>
        <v>5.2745745614930038E-3</v>
      </c>
      <c r="O209" s="85">
        <f>L209/'סכום נכסי הקרן'!$C$42</f>
        <v>7.7045860025305333E-4</v>
      </c>
    </row>
    <row r="210" spans="2:15" s="122" customFormat="1">
      <c r="B210" s="77" t="s">
        <v>1503</v>
      </c>
      <c r="C210" s="74" t="s">
        <v>1504</v>
      </c>
      <c r="D210" s="87" t="s">
        <v>1457</v>
      </c>
      <c r="E210" s="87" t="s">
        <v>955</v>
      </c>
      <c r="F210" s="74"/>
      <c r="G210" s="87" t="s">
        <v>967</v>
      </c>
      <c r="H210" s="87" t="s">
        <v>164</v>
      </c>
      <c r="I210" s="84">
        <v>280118.25942700001</v>
      </c>
      <c r="J210" s="86">
        <v>4809</v>
      </c>
      <c r="K210" s="74"/>
      <c r="L210" s="84">
        <v>48023.712497045999</v>
      </c>
      <c r="M210" s="85">
        <v>2.0577767793962462E-3</v>
      </c>
      <c r="N210" s="85">
        <f>L210/$L$11</f>
        <v>6.3114719174999969E-3</v>
      </c>
      <c r="O210" s="85">
        <f>L210/'סכום נכסי הקרן'!$C$42</f>
        <v>9.2191849075256487E-4</v>
      </c>
    </row>
    <row r="211" spans="2:15" s="122" customFormat="1">
      <c r="B211" s="77" t="s">
        <v>1632</v>
      </c>
      <c r="C211" s="74" t="s">
        <v>1633</v>
      </c>
      <c r="D211" s="87" t="s">
        <v>1472</v>
      </c>
      <c r="E211" s="87" t="s">
        <v>955</v>
      </c>
      <c r="F211" s="74"/>
      <c r="G211" s="87" t="s">
        <v>1032</v>
      </c>
      <c r="H211" s="87" t="s">
        <v>164</v>
      </c>
      <c r="I211" s="84">
        <v>136742.94829199999</v>
      </c>
      <c r="J211" s="86">
        <v>8037</v>
      </c>
      <c r="K211" s="74"/>
      <c r="L211" s="84">
        <v>39179.459638017994</v>
      </c>
      <c r="M211" s="85">
        <v>1.8501539865765088E-4</v>
      </c>
      <c r="N211" s="85">
        <f t="shared" si="4"/>
        <v>5.1491241803387376E-3</v>
      </c>
      <c r="O211" s="85">
        <f>L211/'סכום נכסי הקרן'!$C$42</f>
        <v>7.5213402754325555E-4</v>
      </c>
    </row>
    <row r="212" spans="2:15" s="122" customFormat="1">
      <c r="B212" s="77" t="s">
        <v>1634</v>
      </c>
      <c r="C212" s="74" t="s">
        <v>1635</v>
      </c>
      <c r="D212" s="87" t="s">
        <v>1457</v>
      </c>
      <c r="E212" s="87" t="s">
        <v>955</v>
      </c>
      <c r="F212" s="74"/>
      <c r="G212" s="87" t="s">
        <v>1150</v>
      </c>
      <c r="H212" s="87" t="s">
        <v>164</v>
      </c>
      <c r="I212" s="84">
        <v>48424.391280000003</v>
      </c>
      <c r="J212" s="86">
        <v>8697</v>
      </c>
      <c r="K212" s="74"/>
      <c r="L212" s="84">
        <v>15013.888088801001</v>
      </c>
      <c r="M212" s="85">
        <v>1.3606300596880018E-4</v>
      </c>
      <c r="N212" s="85">
        <f t="shared" si="4"/>
        <v>1.9731863306233148E-3</v>
      </c>
      <c r="O212" s="85">
        <f>L212/'סכום נכסי הקרן'!$C$42</f>
        <v>2.8822388623134335E-4</v>
      </c>
    </row>
    <row r="213" spans="2:15" s="122" customFormat="1">
      <c r="B213" s="77" t="s">
        <v>1636</v>
      </c>
      <c r="C213" s="74" t="s">
        <v>1637</v>
      </c>
      <c r="D213" s="87" t="s">
        <v>1472</v>
      </c>
      <c r="E213" s="87" t="s">
        <v>955</v>
      </c>
      <c r="F213" s="74"/>
      <c r="G213" s="87" t="s">
        <v>1040</v>
      </c>
      <c r="H213" s="87" t="s">
        <v>164</v>
      </c>
      <c r="I213" s="84">
        <v>8605.01433</v>
      </c>
      <c r="J213" s="86">
        <v>24505</v>
      </c>
      <c r="K213" s="74"/>
      <c r="L213" s="84">
        <v>7517.3684868630007</v>
      </c>
      <c r="M213" s="85">
        <v>3.5750669050533652E-5</v>
      </c>
      <c r="N213" s="85">
        <f t="shared" si="4"/>
        <v>9.8796318800329556E-4</v>
      </c>
      <c r="O213" s="85">
        <f>L213/'סכום נכסי הקרן'!$C$42</f>
        <v>1.4431206271830666E-4</v>
      </c>
    </row>
    <row r="214" spans="2:15" s="122" customFormat="1">
      <c r="B214" s="77" t="s">
        <v>1638</v>
      </c>
      <c r="C214" s="74" t="s">
        <v>1639</v>
      </c>
      <c r="D214" s="87" t="s">
        <v>28</v>
      </c>
      <c r="E214" s="87" t="s">
        <v>955</v>
      </c>
      <c r="F214" s="74"/>
      <c r="G214" s="87" t="s">
        <v>1035</v>
      </c>
      <c r="H214" s="87" t="s">
        <v>164</v>
      </c>
      <c r="I214" s="84">
        <v>6291.4045249999999</v>
      </c>
      <c r="J214" s="86">
        <v>99300</v>
      </c>
      <c r="K214" s="74"/>
      <c r="L214" s="84">
        <v>22271.855131193999</v>
      </c>
      <c r="M214" s="85">
        <v>2.6346874749231862E-5</v>
      </c>
      <c r="N214" s="85">
        <f t="shared" si="4"/>
        <v>2.9270579241412391E-3</v>
      </c>
      <c r="O214" s="85">
        <f>L214/'סכום נכסי הקרן'!$C$42</f>
        <v>4.2755618008651747E-4</v>
      </c>
    </row>
    <row r="215" spans="2:15" s="122" customFormat="1">
      <c r="B215" s="77" t="s">
        <v>1640</v>
      </c>
      <c r="C215" s="74" t="s">
        <v>1641</v>
      </c>
      <c r="D215" s="87" t="s">
        <v>28</v>
      </c>
      <c r="E215" s="87" t="s">
        <v>955</v>
      </c>
      <c r="F215" s="74"/>
      <c r="G215" s="87" t="s">
        <v>972</v>
      </c>
      <c r="H215" s="87" t="s">
        <v>166</v>
      </c>
      <c r="I215" s="84">
        <v>26902.439599999998</v>
      </c>
      <c r="J215" s="86">
        <v>10116</v>
      </c>
      <c r="K215" s="74"/>
      <c r="L215" s="84">
        <v>10614.474515987</v>
      </c>
      <c r="M215" s="85">
        <v>2.189853229581711E-5</v>
      </c>
      <c r="N215" s="85">
        <f t="shared" si="4"/>
        <v>1.394997478189387E-3</v>
      </c>
      <c r="O215" s="85">
        <f>L215/'סכום נכסי הקרן'!$C$42</f>
        <v>2.0376767678076171E-4</v>
      </c>
    </row>
    <row r="216" spans="2:15" s="122" customFormat="1">
      <c r="B216" s="77" t="s">
        <v>1642</v>
      </c>
      <c r="C216" s="74" t="s">
        <v>1643</v>
      </c>
      <c r="D216" s="87" t="s">
        <v>126</v>
      </c>
      <c r="E216" s="87" t="s">
        <v>955</v>
      </c>
      <c r="F216" s="74"/>
      <c r="G216" s="87" t="s">
        <v>1032</v>
      </c>
      <c r="H216" s="87" t="s">
        <v>167</v>
      </c>
      <c r="I216" s="84">
        <v>1286938.728755</v>
      </c>
      <c r="J216" s="86">
        <v>764</v>
      </c>
      <c r="K216" s="84">
        <v>815.14493410199998</v>
      </c>
      <c r="L216" s="84">
        <v>44063.112143990002</v>
      </c>
      <c r="M216" s="85">
        <v>1.1735230908887437E-3</v>
      </c>
      <c r="N216" s="85">
        <f t="shared" si="4"/>
        <v>5.7909536858807504E-3</v>
      </c>
      <c r="O216" s="85">
        <f>L216/'סכום נכסי הקרן'!$C$42</f>
        <v>8.4588624521994256E-4</v>
      </c>
    </row>
    <row r="217" spans="2:15" s="122" customFormat="1">
      <c r="B217" s="77" t="s">
        <v>1644</v>
      </c>
      <c r="C217" s="74" t="s">
        <v>1645</v>
      </c>
      <c r="D217" s="87" t="s">
        <v>28</v>
      </c>
      <c r="E217" s="87" t="s">
        <v>955</v>
      </c>
      <c r="F217" s="74"/>
      <c r="G217" s="87" t="s">
        <v>1131</v>
      </c>
      <c r="H217" s="87" t="s">
        <v>166</v>
      </c>
      <c r="I217" s="84">
        <v>54114.257254999997</v>
      </c>
      <c r="J217" s="86">
        <v>7596</v>
      </c>
      <c r="K217" s="74"/>
      <c r="L217" s="84">
        <v>16032.257183084999</v>
      </c>
      <c r="M217" s="85">
        <v>6.3663832064705876E-5</v>
      </c>
      <c r="N217" s="85">
        <f t="shared" si="4"/>
        <v>2.1070245452473658E-3</v>
      </c>
      <c r="O217" s="85">
        <f>L217/'סכום נכסי הקרן'!$C$42</f>
        <v>3.0777367215197813E-4</v>
      </c>
    </row>
    <row r="218" spans="2:15" s="122" customFormat="1">
      <c r="B218" s="77" t="s">
        <v>1646</v>
      </c>
      <c r="C218" s="74" t="s">
        <v>1647</v>
      </c>
      <c r="D218" s="87" t="s">
        <v>1457</v>
      </c>
      <c r="E218" s="87" t="s">
        <v>955</v>
      </c>
      <c r="F218" s="74"/>
      <c r="G218" s="87" t="s">
        <v>1153</v>
      </c>
      <c r="H218" s="87" t="s">
        <v>164</v>
      </c>
      <c r="I218" s="84">
        <v>33628.049500000001</v>
      </c>
      <c r="J218" s="86">
        <v>6574</v>
      </c>
      <c r="K218" s="74"/>
      <c r="L218" s="84">
        <v>7881.1739277729994</v>
      </c>
      <c r="M218" s="85">
        <v>2.8651315924001024E-5</v>
      </c>
      <c r="N218" s="85">
        <f t="shared" si="4"/>
        <v>1.0357759809829805E-3</v>
      </c>
      <c r="O218" s="85">
        <f>L218/'סכום נכסי הקרן'!$C$42</f>
        <v>1.5129609093211767E-4</v>
      </c>
    </row>
    <row r="219" spans="2:15" s="122" customFormat="1">
      <c r="B219" s="77" t="s">
        <v>1648</v>
      </c>
      <c r="C219" s="74" t="s">
        <v>1649</v>
      </c>
      <c r="D219" s="87" t="s">
        <v>1472</v>
      </c>
      <c r="E219" s="87" t="s">
        <v>955</v>
      </c>
      <c r="F219" s="74"/>
      <c r="G219" s="87" t="s">
        <v>1150</v>
      </c>
      <c r="H219" s="87" t="s">
        <v>164</v>
      </c>
      <c r="I219" s="84">
        <v>84473.660344000018</v>
      </c>
      <c r="J219" s="86">
        <v>9297</v>
      </c>
      <c r="K219" s="74"/>
      <c r="L219" s="84">
        <v>27997.785260778001</v>
      </c>
      <c r="M219" s="85">
        <v>1.6862290674047621E-4</v>
      </c>
      <c r="N219" s="85">
        <f t="shared" si="4"/>
        <v>3.6795829859356493E-3</v>
      </c>
      <c r="O219" s="85">
        <f>L219/'סכום נכסי הקרן'!$C$42</f>
        <v>5.3747772902019118E-4</v>
      </c>
    </row>
    <row r="220" spans="2:15" s="122" customFormat="1">
      <c r="B220" s="77" t="s">
        <v>1650</v>
      </c>
      <c r="C220" s="74" t="s">
        <v>1651</v>
      </c>
      <c r="D220" s="87" t="s">
        <v>126</v>
      </c>
      <c r="E220" s="87" t="s">
        <v>955</v>
      </c>
      <c r="F220" s="74"/>
      <c r="G220" s="87" t="s">
        <v>1580</v>
      </c>
      <c r="H220" s="87" t="s">
        <v>167</v>
      </c>
      <c r="I220" s="84">
        <v>3137246.8256620001</v>
      </c>
      <c r="J220" s="86">
        <v>228.8</v>
      </c>
      <c r="K220" s="74"/>
      <c r="L220" s="84">
        <v>31573.242013469</v>
      </c>
      <c r="M220" s="85">
        <v>3.2033980980350295E-4</v>
      </c>
      <c r="N220" s="85">
        <f t="shared" si="4"/>
        <v>4.1494840767401777E-3</v>
      </c>
      <c r="O220" s="85">
        <f>L220/'סכום נכסי הקרן'!$C$42</f>
        <v>6.0611631445639026E-4</v>
      </c>
    </row>
    <row r="221" spans="2:15" s="122" customFormat="1">
      <c r="B221" s="77" t="s">
        <v>1652</v>
      </c>
      <c r="C221" s="74" t="s">
        <v>1653</v>
      </c>
      <c r="D221" s="87" t="s">
        <v>28</v>
      </c>
      <c r="E221" s="87" t="s">
        <v>955</v>
      </c>
      <c r="F221" s="74"/>
      <c r="G221" s="87" t="s">
        <v>1131</v>
      </c>
      <c r="H221" s="87" t="s">
        <v>166</v>
      </c>
      <c r="I221" s="84">
        <v>24435.485889</v>
      </c>
      <c r="J221" s="86">
        <v>7638</v>
      </c>
      <c r="K221" s="74"/>
      <c r="L221" s="84">
        <v>7279.4513225870005</v>
      </c>
      <c r="M221" s="85">
        <v>1.1454983862880902E-4</v>
      </c>
      <c r="N221" s="85">
        <f t="shared" si="4"/>
        <v>9.5669514513568984E-4</v>
      </c>
      <c r="O221" s="85">
        <f>L221/'סכום נכסי הקרן'!$C$42</f>
        <v>1.3974473083976953E-4</v>
      </c>
    </row>
    <row r="222" spans="2:15" s="122" customFormat="1">
      <c r="B222" s="77" t="s">
        <v>1654</v>
      </c>
      <c r="C222" s="74" t="s">
        <v>1655</v>
      </c>
      <c r="D222" s="87" t="s">
        <v>1472</v>
      </c>
      <c r="E222" s="87" t="s">
        <v>955</v>
      </c>
      <c r="F222" s="74"/>
      <c r="G222" s="87" t="s">
        <v>1150</v>
      </c>
      <c r="H222" s="87" t="s">
        <v>164</v>
      </c>
      <c r="I222" s="84">
        <v>72636.586920000002</v>
      </c>
      <c r="J222" s="86">
        <v>4781</v>
      </c>
      <c r="K222" s="74"/>
      <c r="L222" s="84">
        <v>12380.372361600001</v>
      </c>
      <c r="M222" s="85">
        <v>6.0646820415829167E-5</v>
      </c>
      <c r="N222" s="85">
        <f t="shared" si="4"/>
        <v>1.6270789663176896E-3</v>
      </c>
      <c r="O222" s="85">
        <f>L222/'סכום נכסי הקרן'!$C$42</f>
        <v>2.3766788549017551E-4</v>
      </c>
    </row>
    <row r="223" spans="2:15" s="122" customFormat="1">
      <c r="B223" s="77" t="s">
        <v>1656</v>
      </c>
      <c r="C223" s="74" t="s">
        <v>1657</v>
      </c>
      <c r="D223" s="87" t="s">
        <v>1472</v>
      </c>
      <c r="E223" s="87" t="s">
        <v>955</v>
      </c>
      <c r="F223" s="74"/>
      <c r="G223" s="87" t="s">
        <v>1016</v>
      </c>
      <c r="H223" s="87" t="s">
        <v>164</v>
      </c>
      <c r="I223" s="84">
        <v>137053.40244500001</v>
      </c>
      <c r="J223" s="86">
        <v>9342</v>
      </c>
      <c r="K223" s="74"/>
      <c r="L223" s="84">
        <v>45644.580371420001</v>
      </c>
      <c r="M223" s="85">
        <v>1.9508249791321713E-4</v>
      </c>
      <c r="N223" s="85">
        <f t="shared" si="4"/>
        <v>5.9987966823266603E-3</v>
      </c>
      <c r="O223" s="85">
        <f>L223/'סכום נכסי הקרן'!$C$42</f>
        <v>8.7624593058360713E-4</v>
      </c>
    </row>
    <row r="224" spans="2:15" s="122" customFormat="1">
      <c r="B224" s="77" t="s">
        <v>1658</v>
      </c>
      <c r="C224" s="74" t="s">
        <v>1659</v>
      </c>
      <c r="D224" s="87" t="s">
        <v>1457</v>
      </c>
      <c r="E224" s="87" t="s">
        <v>955</v>
      </c>
      <c r="F224" s="74"/>
      <c r="G224" s="87" t="s">
        <v>972</v>
      </c>
      <c r="H224" s="87" t="s">
        <v>164</v>
      </c>
      <c r="I224" s="84">
        <v>82693.257668999999</v>
      </c>
      <c r="J224" s="86">
        <v>6367</v>
      </c>
      <c r="K224" s="74"/>
      <c r="L224" s="84">
        <v>18770.009186774001</v>
      </c>
      <c r="M224" s="85">
        <v>2.7016685640003139E-3</v>
      </c>
      <c r="N224" s="85">
        <f t="shared" si="4"/>
        <v>2.4668310656080178E-3</v>
      </c>
      <c r="O224" s="85">
        <f>L224/'סכום נכסי הקרן'!$C$42</f>
        <v>3.6033071249847419E-4</v>
      </c>
    </row>
    <row r="225" spans="2:15" s="122" customFormat="1">
      <c r="B225" s="77" t="s">
        <v>1660</v>
      </c>
      <c r="C225" s="74" t="s">
        <v>1661</v>
      </c>
      <c r="D225" s="87" t="s">
        <v>28</v>
      </c>
      <c r="E225" s="87" t="s">
        <v>955</v>
      </c>
      <c r="F225" s="74"/>
      <c r="G225" s="87" t="s">
        <v>1131</v>
      </c>
      <c r="H225" s="87" t="s">
        <v>166</v>
      </c>
      <c r="I225" s="84">
        <v>70961.102981999997</v>
      </c>
      <c r="J225" s="86">
        <v>7540</v>
      </c>
      <c r="K225" s="74"/>
      <c r="L225" s="84">
        <v>20868.427084931998</v>
      </c>
      <c r="M225" s="85">
        <v>1.1705644131706548E-4</v>
      </c>
      <c r="N225" s="85">
        <f t="shared" ref="N225:N228" si="5">L225/$L$11</f>
        <v>2.7426136935382976E-3</v>
      </c>
      <c r="O225" s="85">
        <f>L225/'סכום נכסי הקרן'!$C$42</f>
        <v>4.0061435907738017E-4</v>
      </c>
    </row>
    <row r="226" spans="2:15" s="122" customFormat="1">
      <c r="B226" s="77" t="s">
        <v>1662</v>
      </c>
      <c r="C226" s="74" t="s">
        <v>1663</v>
      </c>
      <c r="D226" s="87" t="s">
        <v>1472</v>
      </c>
      <c r="E226" s="87" t="s">
        <v>955</v>
      </c>
      <c r="F226" s="74"/>
      <c r="G226" s="87" t="s">
        <v>972</v>
      </c>
      <c r="H226" s="87" t="s">
        <v>164</v>
      </c>
      <c r="I226" s="84">
        <v>39434.134014000003</v>
      </c>
      <c r="J226" s="86">
        <v>16112</v>
      </c>
      <c r="K226" s="74"/>
      <c r="L226" s="84">
        <v>22650.682652255004</v>
      </c>
      <c r="M226" s="85">
        <v>2.3114636546028354E-5</v>
      </c>
      <c r="N226" s="85">
        <f t="shared" si="5"/>
        <v>2.9768449800857315E-3</v>
      </c>
      <c r="O226" s="85">
        <f>L226/'סכום נכסי הקרן'!$C$42</f>
        <v>4.3482858945082014E-4</v>
      </c>
    </row>
    <row r="227" spans="2:15" s="122" customFormat="1">
      <c r="B227" s="77" t="s">
        <v>1664</v>
      </c>
      <c r="C227" s="74" t="s">
        <v>1665</v>
      </c>
      <c r="D227" s="87" t="s">
        <v>1472</v>
      </c>
      <c r="E227" s="87" t="s">
        <v>955</v>
      </c>
      <c r="F227" s="74"/>
      <c r="G227" s="87" t="s">
        <v>1057</v>
      </c>
      <c r="H227" s="87" t="s">
        <v>164</v>
      </c>
      <c r="I227" s="84">
        <v>121402.90820700001</v>
      </c>
      <c r="J227" s="86">
        <v>11362</v>
      </c>
      <c r="K227" s="84">
        <v>233.71273802499996</v>
      </c>
      <c r="L227" s="84">
        <v>49408.604143807002</v>
      </c>
      <c r="M227" s="85">
        <v>4.2864062652384015E-5</v>
      </c>
      <c r="N227" s="85">
        <f t="shared" si="5"/>
        <v>6.4934800189738271E-3</v>
      </c>
      <c r="O227" s="85">
        <f>L227/'סכום נכסי הקרן'!$C$42</f>
        <v>9.4850446568976428E-4</v>
      </c>
    </row>
    <row r="228" spans="2:15" s="122" customFormat="1">
      <c r="B228" s="77" t="s">
        <v>1666</v>
      </c>
      <c r="C228" s="74" t="s">
        <v>1667</v>
      </c>
      <c r="D228" s="87" t="s">
        <v>1472</v>
      </c>
      <c r="E228" s="87" t="s">
        <v>955</v>
      </c>
      <c r="F228" s="74"/>
      <c r="G228" s="87" t="s">
        <v>1153</v>
      </c>
      <c r="H228" s="87" t="s">
        <v>164</v>
      </c>
      <c r="I228" s="84">
        <v>103574.39245999999</v>
      </c>
      <c r="J228" s="86">
        <v>4263</v>
      </c>
      <c r="K228" s="74"/>
      <c r="L228" s="84">
        <v>15740.816689781001</v>
      </c>
      <c r="M228" s="85">
        <v>2.753896332433607E-4</v>
      </c>
      <c r="N228" s="85">
        <f t="shared" si="5"/>
        <v>2.06872224845547E-3</v>
      </c>
      <c r="O228" s="85">
        <f>L228/'סכום נכסי הקרן'!$C$42</f>
        <v>3.0217884481022412E-4</v>
      </c>
    </row>
    <row r="229" spans="2:15" s="122" customFormat="1">
      <c r="B229" s="121"/>
      <c r="C229" s="121"/>
      <c r="D229" s="121"/>
    </row>
    <row r="230" spans="2:15" s="122" customFormat="1">
      <c r="B230" s="121"/>
      <c r="C230" s="121"/>
      <c r="D230" s="121"/>
    </row>
    <row r="231" spans="2:15" s="122" customFormat="1">
      <c r="B231" s="121"/>
      <c r="C231" s="121"/>
      <c r="D231" s="121"/>
    </row>
    <row r="232" spans="2:15" s="122" customFormat="1">
      <c r="B232" s="124" t="s">
        <v>261</v>
      </c>
      <c r="C232" s="121"/>
      <c r="D232" s="121"/>
    </row>
    <row r="233" spans="2:15" s="122" customFormat="1">
      <c r="B233" s="124" t="s">
        <v>115</v>
      </c>
      <c r="C233" s="121"/>
      <c r="D233" s="121"/>
    </row>
    <row r="234" spans="2:15" s="122" customFormat="1">
      <c r="B234" s="124" t="s">
        <v>243</v>
      </c>
      <c r="C234" s="121"/>
      <c r="D234" s="121"/>
    </row>
    <row r="235" spans="2:15" s="122" customFormat="1">
      <c r="B235" s="124" t="s">
        <v>251</v>
      </c>
      <c r="C235" s="121"/>
      <c r="D235" s="121"/>
    </row>
    <row r="236" spans="2:15" s="122" customFormat="1">
      <c r="B236" s="124" t="s">
        <v>258</v>
      </c>
      <c r="C236" s="121"/>
      <c r="D236" s="121"/>
    </row>
    <row r="237" spans="2:15" s="122" customFormat="1">
      <c r="B237" s="121"/>
      <c r="C237" s="121"/>
      <c r="D237" s="121"/>
    </row>
    <row r="238" spans="2:15" s="122" customFormat="1">
      <c r="B238" s="121"/>
      <c r="C238" s="121"/>
      <c r="D238" s="121"/>
    </row>
    <row r="239" spans="2:15" s="122" customFormat="1">
      <c r="B239" s="121"/>
      <c r="C239" s="121"/>
      <c r="D239" s="121"/>
    </row>
    <row r="240" spans="2:15" s="122" customFormat="1">
      <c r="B240" s="121"/>
      <c r="C240" s="121"/>
      <c r="D240" s="121"/>
    </row>
    <row r="241" spans="2:4" s="122" customFormat="1">
      <c r="B241" s="121"/>
      <c r="C241" s="121"/>
      <c r="D241" s="121"/>
    </row>
    <row r="242" spans="2:4" s="122" customFormat="1">
      <c r="B242" s="121"/>
      <c r="C242" s="121"/>
      <c r="D242" s="121"/>
    </row>
    <row r="243" spans="2:4" s="122" customFormat="1">
      <c r="B243" s="121"/>
      <c r="C243" s="121"/>
      <c r="D243" s="121"/>
    </row>
    <row r="244" spans="2:4" s="122" customFormat="1">
      <c r="B244" s="121"/>
      <c r="C244" s="121"/>
      <c r="D244" s="121"/>
    </row>
    <row r="245" spans="2:4" s="122" customFormat="1">
      <c r="B245" s="121"/>
      <c r="C245" s="121"/>
      <c r="D245" s="121"/>
    </row>
    <row r="246" spans="2:4" s="122" customFormat="1">
      <c r="B246" s="121"/>
      <c r="C246" s="121"/>
      <c r="D246" s="121"/>
    </row>
    <row r="247" spans="2:4" s="122" customFormat="1">
      <c r="B247" s="121"/>
      <c r="C247" s="121"/>
      <c r="D247" s="121"/>
    </row>
    <row r="248" spans="2:4" s="122" customFormat="1">
      <c r="B248" s="121"/>
      <c r="C248" s="121"/>
      <c r="D248" s="121"/>
    </row>
    <row r="249" spans="2:4" s="122" customFormat="1">
      <c r="B249" s="121"/>
      <c r="C249" s="121"/>
      <c r="D249" s="121"/>
    </row>
    <row r="250" spans="2:4" s="122" customFormat="1">
      <c r="B250" s="121"/>
      <c r="C250" s="121"/>
      <c r="D250" s="121"/>
    </row>
    <row r="251" spans="2:4" s="122" customFormat="1">
      <c r="B251" s="121"/>
      <c r="C251" s="121"/>
      <c r="D251" s="121"/>
    </row>
    <row r="252" spans="2:4" s="122" customFormat="1">
      <c r="B252" s="121"/>
      <c r="C252" s="121"/>
      <c r="D252" s="121"/>
    </row>
    <row r="253" spans="2:4" s="122" customFormat="1">
      <c r="B253" s="121"/>
      <c r="C253" s="121"/>
      <c r="D253" s="121"/>
    </row>
    <row r="254" spans="2:4" s="122" customFormat="1">
      <c r="B254" s="121"/>
      <c r="C254" s="121"/>
      <c r="D254" s="121"/>
    </row>
    <row r="255" spans="2:4" s="122" customFormat="1">
      <c r="B255" s="121"/>
      <c r="C255" s="121"/>
      <c r="D255" s="121"/>
    </row>
    <row r="256" spans="2:4" s="122" customFormat="1">
      <c r="B256" s="121"/>
      <c r="C256" s="121"/>
      <c r="D256" s="121"/>
    </row>
    <row r="257" spans="2:4" s="122" customFormat="1">
      <c r="B257" s="121"/>
      <c r="C257" s="121"/>
      <c r="D257" s="121"/>
    </row>
    <row r="258" spans="2:4" s="122" customFormat="1">
      <c r="B258" s="121"/>
      <c r="C258" s="121"/>
      <c r="D258" s="121"/>
    </row>
    <row r="259" spans="2:4" s="122" customFormat="1">
      <c r="B259" s="121"/>
      <c r="C259" s="121"/>
      <c r="D259" s="121"/>
    </row>
    <row r="260" spans="2:4" s="122" customFormat="1">
      <c r="B260" s="121"/>
      <c r="C260" s="121"/>
      <c r="D260" s="121"/>
    </row>
    <row r="261" spans="2:4" s="122" customFormat="1">
      <c r="B261" s="121"/>
      <c r="C261" s="121"/>
      <c r="D261" s="121"/>
    </row>
    <row r="262" spans="2:4" s="122" customFormat="1">
      <c r="B262" s="121"/>
      <c r="C262" s="121"/>
      <c r="D262" s="121"/>
    </row>
    <row r="263" spans="2:4" s="122" customFormat="1">
      <c r="B263" s="121"/>
      <c r="C263" s="121"/>
      <c r="D263" s="121"/>
    </row>
    <row r="264" spans="2:4" s="122" customFormat="1">
      <c r="B264" s="121"/>
      <c r="C264" s="121"/>
      <c r="D264" s="121"/>
    </row>
    <row r="265" spans="2:4" s="122" customFormat="1">
      <c r="B265" s="121"/>
      <c r="C265" s="121"/>
      <c r="D265" s="121"/>
    </row>
    <row r="266" spans="2:4" s="122" customFormat="1">
      <c r="B266" s="121"/>
      <c r="C266" s="121"/>
      <c r="D266" s="121"/>
    </row>
    <row r="267" spans="2:4" s="122" customFormat="1">
      <c r="B267" s="121"/>
      <c r="C267" s="121"/>
      <c r="D267" s="121"/>
    </row>
    <row r="268" spans="2:4" s="122" customFormat="1">
      <c r="B268" s="121"/>
      <c r="C268" s="121"/>
      <c r="D268" s="121"/>
    </row>
    <row r="269" spans="2:4" s="122" customFormat="1">
      <c r="B269" s="121"/>
      <c r="C269" s="121"/>
      <c r="D269" s="121"/>
    </row>
    <row r="270" spans="2:4" s="122" customFormat="1">
      <c r="B270" s="121"/>
      <c r="C270" s="121"/>
      <c r="D270" s="121"/>
    </row>
    <row r="271" spans="2:4" s="122" customFormat="1">
      <c r="B271" s="121"/>
      <c r="C271" s="121"/>
      <c r="D271" s="121"/>
    </row>
    <row r="272" spans="2:4" s="122" customFormat="1">
      <c r="B272" s="121"/>
      <c r="C272" s="121"/>
      <c r="D272" s="121"/>
    </row>
    <row r="273" spans="2:4" s="122" customFormat="1">
      <c r="B273" s="129"/>
      <c r="C273" s="121"/>
      <c r="D273" s="121"/>
    </row>
    <row r="274" spans="2:4" s="122" customFormat="1">
      <c r="B274" s="129"/>
      <c r="C274" s="121"/>
      <c r="D274" s="121"/>
    </row>
    <row r="275" spans="2:4" s="122" customFormat="1">
      <c r="B275" s="127"/>
      <c r="C275" s="121"/>
      <c r="D275" s="121"/>
    </row>
    <row r="276" spans="2:4" s="122" customFormat="1">
      <c r="B276" s="121"/>
      <c r="C276" s="121"/>
      <c r="D276" s="121"/>
    </row>
    <row r="277" spans="2:4" s="122" customFormat="1">
      <c r="B277" s="121"/>
      <c r="C277" s="121"/>
      <c r="D277" s="121"/>
    </row>
    <row r="278" spans="2:4" s="122" customFormat="1">
      <c r="B278" s="121"/>
      <c r="C278" s="121"/>
      <c r="D278" s="121"/>
    </row>
    <row r="279" spans="2:4" s="122" customFormat="1">
      <c r="B279" s="121"/>
      <c r="C279" s="121"/>
      <c r="D279" s="121"/>
    </row>
    <row r="280" spans="2:4" s="122" customFormat="1">
      <c r="B280" s="121"/>
      <c r="C280" s="121"/>
      <c r="D280" s="121"/>
    </row>
    <row r="281" spans="2:4" s="122" customFormat="1">
      <c r="B281" s="121"/>
      <c r="C281" s="121"/>
      <c r="D281" s="121"/>
    </row>
    <row r="282" spans="2:4" s="122" customFormat="1">
      <c r="B282" s="121"/>
      <c r="C282" s="121"/>
      <c r="D282" s="121"/>
    </row>
    <row r="283" spans="2:4" s="122" customFormat="1">
      <c r="B283" s="121"/>
      <c r="C283" s="121"/>
      <c r="D283" s="121"/>
    </row>
    <row r="284" spans="2:4" s="122" customFormat="1">
      <c r="B284" s="121"/>
      <c r="C284" s="121"/>
      <c r="D284" s="121"/>
    </row>
    <row r="285" spans="2:4" s="122" customFormat="1">
      <c r="B285" s="121"/>
      <c r="C285" s="121"/>
      <c r="D285" s="121"/>
    </row>
    <row r="286" spans="2:4" s="122" customFormat="1">
      <c r="B286" s="121"/>
      <c r="C286" s="121"/>
      <c r="D286" s="121"/>
    </row>
    <row r="287" spans="2:4" s="122" customFormat="1">
      <c r="B287" s="121"/>
      <c r="C287" s="121"/>
      <c r="D287" s="121"/>
    </row>
    <row r="288" spans="2:4" s="122" customFormat="1">
      <c r="B288" s="121"/>
      <c r="C288" s="121"/>
      <c r="D288" s="121"/>
    </row>
    <row r="289" spans="2:4" s="122" customFormat="1">
      <c r="B289" s="121"/>
      <c r="C289" s="121"/>
      <c r="D289" s="121"/>
    </row>
    <row r="290" spans="2:4" s="122" customFormat="1">
      <c r="B290" s="121"/>
      <c r="C290" s="121"/>
      <c r="D290" s="121"/>
    </row>
    <row r="291" spans="2:4" s="122" customFormat="1">
      <c r="B291" s="121"/>
      <c r="C291" s="121"/>
      <c r="D291" s="121"/>
    </row>
    <row r="292" spans="2:4" s="122" customFormat="1">
      <c r="B292" s="121"/>
      <c r="C292" s="121"/>
      <c r="D292" s="121"/>
    </row>
    <row r="293" spans="2:4" s="122" customFormat="1">
      <c r="B293" s="121"/>
      <c r="C293" s="121"/>
      <c r="D293" s="121"/>
    </row>
    <row r="294" spans="2:4" s="122" customFormat="1">
      <c r="B294" s="129"/>
      <c r="C294" s="121"/>
      <c r="D294" s="121"/>
    </row>
    <row r="295" spans="2:4" s="122" customFormat="1">
      <c r="B295" s="129"/>
      <c r="C295" s="121"/>
      <c r="D295" s="121"/>
    </row>
    <row r="296" spans="2:4" s="122" customFormat="1">
      <c r="B296" s="127"/>
      <c r="C296" s="121"/>
      <c r="D296" s="121"/>
    </row>
    <row r="297" spans="2:4" s="122" customFormat="1">
      <c r="B297" s="121"/>
      <c r="C297" s="121"/>
      <c r="D297" s="121"/>
    </row>
    <row r="298" spans="2:4" s="122" customFormat="1">
      <c r="B298" s="121"/>
      <c r="C298" s="121"/>
      <c r="D298" s="121"/>
    </row>
    <row r="299" spans="2:4" s="122" customFormat="1">
      <c r="B299" s="121"/>
      <c r="C299" s="121"/>
      <c r="D299" s="121"/>
    </row>
    <row r="300" spans="2:4" s="122" customFormat="1">
      <c r="B300" s="121"/>
      <c r="C300" s="121"/>
      <c r="D300" s="121"/>
    </row>
    <row r="301" spans="2:4" s="122" customFormat="1">
      <c r="B301" s="121"/>
      <c r="C301" s="121"/>
      <c r="D301" s="121"/>
    </row>
    <row r="302" spans="2:4" s="122" customFormat="1">
      <c r="B302" s="121"/>
      <c r="C302" s="121"/>
      <c r="D302" s="121"/>
    </row>
    <row r="303" spans="2:4" s="122" customFormat="1">
      <c r="B303" s="121"/>
      <c r="C303" s="121"/>
      <c r="D303" s="121"/>
    </row>
    <row r="304" spans="2:4" s="122" customFormat="1">
      <c r="B304" s="121"/>
      <c r="C304" s="121"/>
      <c r="D304" s="121"/>
    </row>
    <row r="305" spans="2:4" s="122" customFormat="1">
      <c r="B305" s="121"/>
      <c r="C305" s="121"/>
      <c r="D305" s="121"/>
    </row>
    <row r="306" spans="2:4" s="122" customFormat="1">
      <c r="B306" s="121"/>
      <c r="C306" s="121"/>
      <c r="D306" s="121"/>
    </row>
    <row r="307" spans="2:4" s="122" customFormat="1">
      <c r="B307" s="121"/>
      <c r="C307" s="121"/>
      <c r="D307" s="121"/>
    </row>
    <row r="308" spans="2:4" s="122" customFormat="1">
      <c r="B308" s="121"/>
      <c r="C308" s="121"/>
      <c r="D308" s="121"/>
    </row>
    <row r="309" spans="2:4" s="122" customFormat="1">
      <c r="B309" s="121"/>
      <c r="C309" s="121"/>
      <c r="D309" s="121"/>
    </row>
    <row r="310" spans="2:4" s="122" customFormat="1">
      <c r="B310" s="121"/>
      <c r="C310" s="121"/>
      <c r="D310" s="121"/>
    </row>
    <row r="311" spans="2:4" s="122" customFormat="1">
      <c r="B311" s="121"/>
      <c r="C311" s="121"/>
      <c r="D311" s="121"/>
    </row>
    <row r="312" spans="2:4" s="122" customFormat="1">
      <c r="B312" s="121"/>
      <c r="C312" s="121"/>
      <c r="D312" s="121"/>
    </row>
    <row r="313" spans="2:4" s="122" customFormat="1">
      <c r="B313" s="121"/>
      <c r="C313" s="121"/>
      <c r="D313" s="121"/>
    </row>
    <row r="314" spans="2:4" s="122" customFormat="1">
      <c r="B314" s="121"/>
      <c r="C314" s="121"/>
      <c r="D314" s="121"/>
    </row>
    <row r="315" spans="2:4" s="122" customFormat="1">
      <c r="B315" s="121"/>
      <c r="C315" s="121"/>
      <c r="D315" s="121"/>
    </row>
    <row r="316" spans="2:4" s="122" customFormat="1">
      <c r="B316" s="121"/>
      <c r="C316" s="121"/>
      <c r="D316" s="121"/>
    </row>
    <row r="317" spans="2:4" s="122" customFormat="1">
      <c r="B317" s="121"/>
      <c r="C317" s="121"/>
      <c r="D317" s="121"/>
    </row>
    <row r="318" spans="2:4" s="122" customFormat="1">
      <c r="B318" s="121"/>
      <c r="C318" s="121"/>
      <c r="D318" s="121"/>
    </row>
    <row r="319" spans="2:4" s="122" customFormat="1">
      <c r="B319" s="121"/>
      <c r="C319" s="121"/>
      <c r="D319" s="121"/>
    </row>
    <row r="320" spans="2:4" s="122" customFormat="1">
      <c r="B320" s="121"/>
      <c r="C320" s="121"/>
      <c r="D320" s="121"/>
    </row>
    <row r="321" spans="2:4" s="122" customFormat="1">
      <c r="B321" s="121"/>
      <c r="C321" s="121"/>
      <c r="D321" s="121"/>
    </row>
    <row r="322" spans="2:4" s="122" customFormat="1">
      <c r="B322" s="121"/>
      <c r="C322" s="121"/>
      <c r="D322" s="121"/>
    </row>
    <row r="323" spans="2:4" s="122" customFormat="1">
      <c r="B323" s="121"/>
      <c r="C323" s="121"/>
      <c r="D323" s="121"/>
    </row>
    <row r="324" spans="2:4" s="122" customFormat="1">
      <c r="B324" s="121"/>
      <c r="C324" s="121"/>
      <c r="D324" s="121"/>
    </row>
    <row r="325" spans="2:4" s="122" customFormat="1">
      <c r="B325" s="121"/>
      <c r="C325" s="121"/>
      <c r="D325" s="121"/>
    </row>
    <row r="326" spans="2:4" s="122" customFormat="1">
      <c r="B326" s="121"/>
      <c r="C326" s="121"/>
      <c r="D326" s="121"/>
    </row>
    <row r="327" spans="2:4" s="122" customFormat="1">
      <c r="B327" s="121"/>
      <c r="C327" s="121"/>
      <c r="D327" s="121"/>
    </row>
    <row r="328" spans="2:4" s="122" customFormat="1">
      <c r="B328" s="121"/>
      <c r="C328" s="121"/>
      <c r="D328" s="121"/>
    </row>
    <row r="329" spans="2:4" s="122" customFormat="1">
      <c r="B329" s="121"/>
      <c r="C329" s="121"/>
      <c r="D329" s="121"/>
    </row>
    <row r="330" spans="2:4" s="122" customFormat="1">
      <c r="B330" s="121"/>
      <c r="C330" s="121"/>
      <c r="D330" s="121"/>
    </row>
    <row r="331" spans="2:4" s="122" customFormat="1">
      <c r="B331" s="121"/>
      <c r="C331" s="121"/>
      <c r="D331" s="121"/>
    </row>
    <row r="332" spans="2:4" s="122" customFormat="1">
      <c r="B332" s="121"/>
      <c r="C332" s="121"/>
      <c r="D332" s="121"/>
    </row>
    <row r="333" spans="2:4" s="122" customFormat="1">
      <c r="B333" s="121"/>
      <c r="C333" s="121"/>
      <c r="D333" s="121"/>
    </row>
    <row r="334" spans="2:4" s="122" customFormat="1">
      <c r="B334" s="121"/>
      <c r="C334" s="121"/>
      <c r="D334" s="121"/>
    </row>
    <row r="335" spans="2:4" s="122" customFormat="1">
      <c r="B335" s="121"/>
      <c r="C335" s="121"/>
      <c r="D335" s="121"/>
    </row>
    <row r="336" spans="2:4" s="122" customFormat="1">
      <c r="B336" s="121"/>
      <c r="C336" s="121"/>
      <c r="D336" s="121"/>
    </row>
    <row r="337" spans="2:4" s="122" customFormat="1">
      <c r="B337" s="121"/>
      <c r="C337" s="121"/>
      <c r="D337" s="121"/>
    </row>
    <row r="338" spans="2:4" s="122" customFormat="1">
      <c r="B338" s="121"/>
      <c r="C338" s="121"/>
      <c r="D338" s="121"/>
    </row>
    <row r="339" spans="2:4" s="122" customFormat="1">
      <c r="B339" s="121"/>
      <c r="C339" s="121"/>
      <c r="D339" s="121"/>
    </row>
    <row r="340" spans="2:4" s="122" customFormat="1">
      <c r="B340" s="121"/>
      <c r="C340" s="121"/>
      <c r="D340" s="121"/>
    </row>
    <row r="341" spans="2:4" s="122" customFormat="1">
      <c r="B341" s="121"/>
      <c r="C341" s="121"/>
      <c r="D341" s="121"/>
    </row>
    <row r="342" spans="2:4" s="122" customFormat="1">
      <c r="B342" s="121"/>
      <c r="C342" s="121"/>
      <c r="D342" s="121"/>
    </row>
    <row r="343" spans="2:4" s="122" customFormat="1">
      <c r="B343" s="121"/>
      <c r="C343" s="121"/>
      <c r="D343" s="121"/>
    </row>
    <row r="344" spans="2:4" s="122" customFormat="1">
      <c r="B344" s="121"/>
      <c r="C344" s="121"/>
      <c r="D344" s="121"/>
    </row>
    <row r="345" spans="2:4" s="122" customFormat="1">
      <c r="B345" s="121"/>
      <c r="C345" s="121"/>
      <c r="D345" s="121"/>
    </row>
    <row r="346" spans="2:4" s="122" customFormat="1">
      <c r="B346" s="121"/>
      <c r="C346" s="121"/>
      <c r="D346" s="121"/>
    </row>
    <row r="347" spans="2:4" s="122" customFormat="1">
      <c r="B347" s="121"/>
      <c r="C347" s="121"/>
      <c r="D347" s="121"/>
    </row>
    <row r="348" spans="2:4" s="122" customFormat="1">
      <c r="B348" s="121"/>
      <c r="C348" s="121"/>
      <c r="D348" s="121"/>
    </row>
    <row r="349" spans="2:4" s="122" customFormat="1">
      <c r="B349" s="121"/>
      <c r="C349" s="121"/>
      <c r="D349" s="121"/>
    </row>
    <row r="350" spans="2:4" s="122" customFormat="1">
      <c r="B350" s="121"/>
      <c r="C350" s="121"/>
      <c r="D350" s="121"/>
    </row>
    <row r="351" spans="2:4" s="122" customFormat="1">
      <c r="B351" s="121"/>
      <c r="C351" s="121"/>
      <c r="D351" s="121"/>
    </row>
    <row r="352" spans="2:4" s="122" customFormat="1">
      <c r="B352" s="121"/>
      <c r="C352" s="121"/>
      <c r="D352" s="121"/>
    </row>
    <row r="353" spans="2:7" s="122" customFormat="1">
      <c r="B353" s="121"/>
      <c r="C353" s="121"/>
      <c r="D353" s="121"/>
    </row>
    <row r="354" spans="2:7" s="122" customFormat="1">
      <c r="B354" s="121"/>
      <c r="C354" s="121"/>
      <c r="D354" s="121"/>
    </row>
    <row r="355" spans="2:7" s="122" customFormat="1">
      <c r="B355" s="121"/>
      <c r="C355" s="121"/>
      <c r="D355" s="121"/>
    </row>
    <row r="356" spans="2:7" s="122" customFormat="1">
      <c r="B356" s="121"/>
      <c r="C356" s="121"/>
      <c r="D356" s="121"/>
    </row>
    <row r="357" spans="2:7" s="122" customFormat="1">
      <c r="B357" s="121"/>
      <c r="C357" s="121"/>
      <c r="D357" s="121"/>
    </row>
    <row r="358" spans="2:7" s="122" customFormat="1">
      <c r="B358" s="121"/>
      <c r="C358" s="121"/>
      <c r="D358" s="121"/>
    </row>
    <row r="359" spans="2:7" s="122" customFormat="1">
      <c r="B359" s="121"/>
      <c r="C359" s="121"/>
      <c r="D359" s="121"/>
    </row>
    <row r="360" spans="2:7"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42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5" type="noConversion"/>
  <dataValidations count="4">
    <dataValidation allowBlank="1" showInputMessage="1" showErrorMessage="1" sqref="A1 B34 K9 B36:I36 B234 B236"/>
    <dataValidation type="list" allowBlank="1" showInputMessage="1" showErrorMessage="1" sqref="E12:E35 E37:E357">
      <formula1>$AB$6:$AB$23</formula1>
    </dataValidation>
    <dataValidation type="list" allowBlank="1" showInputMessage="1" showErrorMessage="1" sqref="H12:H35 H37:H357">
      <formula1>$AF$6:$AF$19</formula1>
    </dataValidation>
    <dataValidation type="list" allowBlank="1" showInputMessage="1" showErrorMessage="1" sqref="G12:G35 G37:G103 G105:G123 G125:G363">
      <formula1>$AD$6:$AD$29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Q833"/>
  <sheetViews>
    <sheetView rightToLeft="1" zoomScale="70" zoomScaleNormal="70" workbookViewId="0">
      <selection activeCell="A28" sqref="A28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8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18.5703125" style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10.140625" style="1" customWidth="1"/>
    <col min="12" max="12" width="12.42578125" style="1" bestFit="1" customWidth="1"/>
    <col min="13" max="13" width="10.140625" style="1" bestFit="1" customWidth="1"/>
    <col min="14" max="14" width="11.42578125" style="1" bestFit="1" customWidth="1"/>
    <col min="15" max="15" width="15.7109375" style="1" bestFit="1" customWidth="1"/>
    <col min="16" max="16" width="13" style="1" bestFit="1" customWidth="1"/>
    <col min="17" max="17" width="15.42578125" style="1" bestFit="1" customWidth="1"/>
    <col min="18" max="18" width="14.42578125" style="1" bestFit="1" customWidth="1"/>
    <col min="19" max="19" width="18.5703125" style="1" bestFit="1" customWidth="1"/>
    <col min="20" max="20" width="16.7109375" style="1" bestFit="1" customWidth="1"/>
    <col min="21" max="21" width="12.85546875" style="1" bestFit="1" customWidth="1"/>
    <col min="22" max="29" width="5.7109375" style="1" customWidth="1"/>
    <col min="30" max="16384" width="9.140625" style="1"/>
  </cols>
  <sheetData>
    <row r="1" spans="2:43">
      <c r="B1" s="47" t="s">
        <v>180</v>
      </c>
      <c r="C1" s="68" t="s" vm="1">
        <v>270</v>
      </c>
    </row>
    <row r="2" spans="2:43">
      <c r="B2" s="47" t="s">
        <v>179</v>
      </c>
      <c r="C2" s="68" t="s">
        <v>271</v>
      </c>
    </row>
    <row r="3" spans="2:43">
      <c r="B3" s="47" t="s">
        <v>181</v>
      </c>
      <c r="C3" s="68" t="s">
        <v>272</v>
      </c>
    </row>
    <row r="4" spans="2:43">
      <c r="B4" s="47" t="s">
        <v>182</v>
      </c>
      <c r="C4" s="68">
        <v>2102</v>
      </c>
    </row>
    <row r="6" spans="2:43" ht="26.25" customHeight="1">
      <c r="B6" s="163" t="s">
        <v>210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5"/>
    </row>
    <row r="7" spans="2:43" ht="26.25" customHeight="1">
      <c r="B7" s="163" t="s">
        <v>94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5"/>
      <c r="AQ7" s="3"/>
    </row>
    <row r="8" spans="2:43" s="3" customFormat="1" ht="47.25">
      <c r="B8" s="22" t="s">
        <v>118</v>
      </c>
      <c r="C8" s="30" t="s">
        <v>47</v>
      </c>
      <c r="D8" s="30" t="s">
        <v>122</v>
      </c>
      <c r="E8" s="30" t="s">
        <v>228</v>
      </c>
      <c r="F8" s="30" t="s">
        <v>120</v>
      </c>
      <c r="G8" s="30" t="s">
        <v>68</v>
      </c>
      <c r="H8" s="30" t="s">
        <v>14</v>
      </c>
      <c r="I8" s="30" t="s">
        <v>69</v>
      </c>
      <c r="J8" s="30" t="s">
        <v>107</v>
      </c>
      <c r="K8" s="30" t="s">
        <v>17</v>
      </c>
      <c r="L8" s="30" t="s">
        <v>106</v>
      </c>
      <c r="M8" s="30" t="s">
        <v>16</v>
      </c>
      <c r="N8" s="30" t="s">
        <v>18</v>
      </c>
      <c r="O8" s="13" t="s">
        <v>245</v>
      </c>
      <c r="P8" s="30" t="s">
        <v>244</v>
      </c>
      <c r="Q8" s="30" t="s">
        <v>260</v>
      </c>
      <c r="R8" s="30" t="s">
        <v>64</v>
      </c>
      <c r="S8" s="13" t="s">
        <v>61</v>
      </c>
      <c r="T8" s="30" t="s">
        <v>183</v>
      </c>
      <c r="U8" s="14" t="s">
        <v>185</v>
      </c>
      <c r="AM8" s="1"/>
      <c r="AN8" s="1"/>
    </row>
    <row r="9" spans="2:43" s="3" customFormat="1" ht="20.2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252</v>
      </c>
      <c r="P9" s="32"/>
      <c r="Q9" s="16" t="s">
        <v>248</v>
      </c>
      <c r="R9" s="32" t="s">
        <v>248</v>
      </c>
      <c r="S9" s="16" t="s">
        <v>19</v>
      </c>
      <c r="T9" s="32" t="s">
        <v>248</v>
      </c>
      <c r="U9" s="17" t="s">
        <v>19</v>
      </c>
      <c r="AL9" s="1"/>
      <c r="AM9" s="1"/>
      <c r="AN9" s="1"/>
      <c r="AQ9" s="4"/>
    </row>
    <row r="10" spans="2:4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116</v>
      </c>
      <c r="R10" s="19" t="s">
        <v>117</v>
      </c>
      <c r="S10" s="19" t="s">
        <v>186</v>
      </c>
      <c r="T10" s="19" t="s">
        <v>229</v>
      </c>
      <c r="U10" s="20" t="s">
        <v>254</v>
      </c>
      <c r="AL10" s="1"/>
      <c r="AM10" s="3"/>
      <c r="AN10" s="1"/>
    </row>
    <row r="11" spans="2:43" s="123" customFormat="1" ht="18" customHeight="1">
      <c r="B11" s="69" t="s">
        <v>34</v>
      </c>
      <c r="C11" s="70"/>
      <c r="D11" s="70"/>
      <c r="E11" s="70"/>
      <c r="F11" s="70"/>
      <c r="G11" s="70"/>
      <c r="H11" s="70"/>
      <c r="I11" s="70"/>
      <c r="J11" s="70"/>
      <c r="K11" s="78">
        <v>5.4619476658228931</v>
      </c>
      <c r="L11" s="70"/>
      <c r="M11" s="70"/>
      <c r="N11" s="93">
        <v>3.9237104546373823E-2</v>
      </c>
      <c r="O11" s="78"/>
      <c r="P11" s="80"/>
      <c r="Q11" s="78">
        <f>Q12</f>
        <v>6355.4634618809996</v>
      </c>
      <c r="R11" s="78">
        <f>R12+R265</f>
        <v>4349073.2599465437</v>
      </c>
      <c r="S11" s="70"/>
      <c r="T11" s="79">
        <f>R11/$R$11</f>
        <v>1</v>
      </c>
      <c r="U11" s="79">
        <f>R11/'סכום נכסי הקרן'!$C$42</f>
        <v>8.3489818831246829E-2</v>
      </c>
      <c r="AL11" s="122"/>
      <c r="AM11" s="127"/>
      <c r="AN11" s="122"/>
      <c r="AQ11" s="122"/>
    </row>
    <row r="12" spans="2:43" s="122" customFormat="1">
      <c r="B12" s="71" t="s">
        <v>238</v>
      </c>
      <c r="C12" s="72"/>
      <c r="D12" s="72"/>
      <c r="E12" s="72"/>
      <c r="F12" s="72"/>
      <c r="G12" s="72"/>
      <c r="H12" s="72"/>
      <c r="I12" s="72"/>
      <c r="J12" s="72"/>
      <c r="K12" s="81">
        <v>4.1839717985587779</v>
      </c>
      <c r="L12" s="72"/>
      <c r="M12" s="72"/>
      <c r="N12" s="94">
        <v>3.0871844137529397E-2</v>
      </c>
      <c r="O12" s="81"/>
      <c r="P12" s="83"/>
      <c r="Q12" s="81">
        <f>Q13+Q167</f>
        <v>6355.4634618809996</v>
      </c>
      <c r="R12" s="81">
        <f>R13+R167+R257</f>
        <v>2876124.5301566334</v>
      </c>
      <c r="S12" s="72"/>
      <c r="T12" s="82">
        <f t="shared" ref="T12:T74" si="0">R12/$R$11</f>
        <v>0.66131894273769598</v>
      </c>
      <c r="U12" s="82">
        <f>R12/'סכום נכסי הקרן'!$C$42</f>
        <v>5.5213398718841934E-2</v>
      </c>
      <c r="AM12" s="127"/>
    </row>
    <row r="13" spans="2:43" s="122" customFormat="1" ht="20.25">
      <c r="B13" s="92" t="s">
        <v>33</v>
      </c>
      <c r="C13" s="72"/>
      <c r="D13" s="72"/>
      <c r="E13" s="72"/>
      <c r="F13" s="72"/>
      <c r="G13" s="72"/>
      <c r="H13" s="72"/>
      <c r="I13" s="72"/>
      <c r="J13" s="72"/>
      <c r="K13" s="81">
        <v>4.1143248417400748</v>
      </c>
      <c r="L13" s="72"/>
      <c r="M13" s="72"/>
      <c r="N13" s="94">
        <v>2.6401142566775459E-2</v>
      </c>
      <c r="O13" s="81"/>
      <c r="P13" s="83"/>
      <c r="Q13" s="81">
        <v>5951.1218149859997</v>
      </c>
      <c r="R13" s="81">
        <f>SUM(R14:R165)</f>
        <v>2267969.3800453437</v>
      </c>
      <c r="S13" s="72"/>
      <c r="T13" s="82">
        <f t="shared" si="0"/>
        <v>0.52148337001644807</v>
      </c>
      <c r="U13" s="82">
        <f>R13/'סכום נכסי הקרן'!$C$42</f>
        <v>4.3538552086181306E-2</v>
      </c>
      <c r="AM13" s="123"/>
    </row>
    <row r="14" spans="2:43" s="122" customFormat="1">
      <c r="B14" s="77" t="s">
        <v>350</v>
      </c>
      <c r="C14" s="74" t="s">
        <v>351</v>
      </c>
      <c r="D14" s="87" t="s">
        <v>123</v>
      </c>
      <c r="E14" s="87" t="s">
        <v>352</v>
      </c>
      <c r="F14" s="74" t="s">
        <v>353</v>
      </c>
      <c r="G14" s="87" t="s">
        <v>354</v>
      </c>
      <c r="H14" s="74" t="s">
        <v>355</v>
      </c>
      <c r="I14" s="74" t="s">
        <v>356</v>
      </c>
      <c r="J14" s="74"/>
      <c r="K14" s="84">
        <v>2.5699999999999776</v>
      </c>
      <c r="L14" s="87" t="s">
        <v>165</v>
      </c>
      <c r="M14" s="88">
        <v>6.1999999999999998E-3</v>
      </c>
      <c r="N14" s="88">
        <v>1.5999999999999934E-2</v>
      </c>
      <c r="O14" s="84">
        <v>62453487.003535002</v>
      </c>
      <c r="P14" s="86">
        <v>98.76</v>
      </c>
      <c r="Q14" s="74"/>
      <c r="R14" s="84">
        <v>61679.066943733997</v>
      </c>
      <c r="S14" s="85">
        <v>1.2610733932718979E-2</v>
      </c>
      <c r="T14" s="85">
        <f t="shared" si="0"/>
        <v>1.4182117259733656E-2</v>
      </c>
      <c r="U14" s="85">
        <f>R14/'סכום נכסי הקרן'!$C$42</f>
        <v>1.1840624006586617E-3</v>
      </c>
    </row>
    <row r="15" spans="2:43" s="122" customFormat="1">
      <c r="B15" s="77" t="s">
        <v>357</v>
      </c>
      <c r="C15" s="74" t="s">
        <v>358</v>
      </c>
      <c r="D15" s="87" t="s">
        <v>123</v>
      </c>
      <c r="E15" s="87" t="s">
        <v>352</v>
      </c>
      <c r="F15" s="74" t="s">
        <v>353</v>
      </c>
      <c r="G15" s="87" t="s">
        <v>354</v>
      </c>
      <c r="H15" s="74" t="s">
        <v>355</v>
      </c>
      <c r="I15" s="74" t="s">
        <v>356</v>
      </c>
      <c r="J15" s="74"/>
      <c r="K15" s="84">
        <v>5.7300000000001159</v>
      </c>
      <c r="L15" s="87" t="s">
        <v>165</v>
      </c>
      <c r="M15" s="88">
        <v>5.0000000000000001E-4</v>
      </c>
      <c r="N15" s="88">
        <v>1.3200000000000182E-2</v>
      </c>
      <c r="O15" s="84">
        <v>21346836.541202001</v>
      </c>
      <c r="P15" s="86">
        <v>92.5</v>
      </c>
      <c r="Q15" s="74"/>
      <c r="R15" s="84">
        <v>19745.823263227001</v>
      </c>
      <c r="S15" s="85">
        <v>2.6773168859258872E-2</v>
      </c>
      <c r="T15" s="85">
        <f t="shared" si="0"/>
        <v>4.540236984527068E-3</v>
      </c>
      <c r="U15" s="85">
        <f>R15/'סכום נכסי הקרן'!$C$42</f>
        <v>3.7906356328909133E-4</v>
      </c>
    </row>
    <row r="16" spans="2:43" s="122" customFormat="1">
      <c r="B16" s="77" t="s">
        <v>359</v>
      </c>
      <c r="C16" s="74" t="s">
        <v>360</v>
      </c>
      <c r="D16" s="87" t="s">
        <v>123</v>
      </c>
      <c r="E16" s="87" t="s">
        <v>352</v>
      </c>
      <c r="F16" s="74" t="s">
        <v>361</v>
      </c>
      <c r="G16" s="87" t="s">
        <v>362</v>
      </c>
      <c r="H16" s="74" t="s">
        <v>355</v>
      </c>
      <c r="I16" s="74" t="s">
        <v>356</v>
      </c>
      <c r="J16" s="74"/>
      <c r="K16" s="84">
        <v>1.7700000000000802</v>
      </c>
      <c r="L16" s="87" t="s">
        <v>165</v>
      </c>
      <c r="M16" s="88">
        <v>3.5499999999999997E-2</v>
      </c>
      <c r="N16" s="88">
        <v>1.7400000000000977E-2</v>
      </c>
      <c r="O16" s="84">
        <v>5574450.4414499998</v>
      </c>
      <c r="P16" s="86">
        <v>114.04</v>
      </c>
      <c r="Q16" s="74"/>
      <c r="R16" s="84">
        <v>6357.1029430369999</v>
      </c>
      <c r="S16" s="85">
        <v>1.9553060457183344E-2</v>
      </c>
      <c r="T16" s="85">
        <f t="shared" si="0"/>
        <v>1.4617143844376486E-3</v>
      </c>
      <c r="U16" s="85">
        <f>R16/'סכום נכסי הקרן'!$C$42</f>
        <v>1.2203826913972677E-4</v>
      </c>
    </row>
    <row r="17" spans="2:38" s="122" customFormat="1" ht="20.25">
      <c r="B17" s="77" t="s">
        <v>363</v>
      </c>
      <c r="C17" s="74" t="s">
        <v>364</v>
      </c>
      <c r="D17" s="87" t="s">
        <v>123</v>
      </c>
      <c r="E17" s="87" t="s">
        <v>352</v>
      </c>
      <c r="F17" s="74" t="s">
        <v>361</v>
      </c>
      <c r="G17" s="87" t="s">
        <v>362</v>
      </c>
      <c r="H17" s="74" t="s">
        <v>355</v>
      </c>
      <c r="I17" s="74" t="s">
        <v>356</v>
      </c>
      <c r="J17" s="74"/>
      <c r="K17" s="84">
        <v>0.68999999999981754</v>
      </c>
      <c r="L17" s="87" t="s">
        <v>165</v>
      </c>
      <c r="M17" s="88">
        <v>4.6500000000000007E-2</v>
      </c>
      <c r="N17" s="88">
        <v>1.4399999999999292E-2</v>
      </c>
      <c r="O17" s="84">
        <v>1799249.844397</v>
      </c>
      <c r="P17" s="86">
        <v>124.83</v>
      </c>
      <c r="Q17" s="74"/>
      <c r="R17" s="84">
        <v>2246.0034340889997</v>
      </c>
      <c r="S17" s="85">
        <v>9.05866236392628E-3</v>
      </c>
      <c r="T17" s="85">
        <f t="shared" si="0"/>
        <v>5.1643265124409656E-4</v>
      </c>
      <c r="U17" s="85">
        <f>R17/'סכום נכסי הקרן'!$C$42</f>
        <v>4.3116868490910101E-5</v>
      </c>
      <c r="AL17" s="123"/>
    </row>
    <row r="18" spans="2:38" s="122" customFormat="1">
      <c r="B18" s="77" t="s">
        <v>365</v>
      </c>
      <c r="C18" s="74" t="s">
        <v>366</v>
      </c>
      <c r="D18" s="87" t="s">
        <v>123</v>
      </c>
      <c r="E18" s="87" t="s">
        <v>352</v>
      </c>
      <c r="F18" s="74" t="s">
        <v>361</v>
      </c>
      <c r="G18" s="87" t="s">
        <v>362</v>
      </c>
      <c r="H18" s="74" t="s">
        <v>355</v>
      </c>
      <c r="I18" s="74" t="s">
        <v>356</v>
      </c>
      <c r="J18" s="74"/>
      <c r="K18" s="84">
        <v>5.149999999999948</v>
      </c>
      <c r="L18" s="87" t="s">
        <v>165</v>
      </c>
      <c r="M18" s="88">
        <v>1.4999999999999999E-2</v>
      </c>
      <c r="N18" s="88">
        <v>9.4999999999997448E-3</v>
      </c>
      <c r="O18" s="84">
        <v>15208687.916165</v>
      </c>
      <c r="P18" s="86">
        <v>103.19</v>
      </c>
      <c r="Q18" s="74"/>
      <c r="R18" s="84">
        <v>15693.844513172002</v>
      </c>
      <c r="S18" s="85">
        <v>3.2723116307601323E-2</v>
      </c>
      <c r="T18" s="85">
        <f t="shared" si="0"/>
        <v>3.6085491264787068E-3</v>
      </c>
      <c r="U18" s="85">
        <f>R18/'סכום נכסי הקרן'!$C$42</f>
        <v>3.0127711281336121E-4</v>
      </c>
    </row>
    <row r="19" spans="2:38" s="122" customFormat="1">
      <c r="B19" s="77" t="s">
        <v>367</v>
      </c>
      <c r="C19" s="74" t="s">
        <v>368</v>
      </c>
      <c r="D19" s="87" t="s">
        <v>123</v>
      </c>
      <c r="E19" s="87" t="s">
        <v>352</v>
      </c>
      <c r="F19" s="74" t="s">
        <v>369</v>
      </c>
      <c r="G19" s="87" t="s">
        <v>362</v>
      </c>
      <c r="H19" s="74" t="s">
        <v>370</v>
      </c>
      <c r="I19" s="74" t="s">
        <v>163</v>
      </c>
      <c r="J19" s="74"/>
      <c r="K19" s="84">
        <v>5.4299999999998771</v>
      </c>
      <c r="L19" s="87" t="s">
        <v>165</v>
      </c>
      <c r="M19" s="88">
        <v>1E-3</v>
      </c>
      <c r="N19" s="88">
        <v>7.4999999999998991E-3</v>
      </c>
      <c r="O19" s="84">
        <v>25606653.727637995</v>
      </c>
      <c r="P19" s="86">
        <v>96.1</v>
      </c>
      <c r="Q19" s="74"/>
      <c r="R19" s="84">
        <v>24607.995805035</v>
      </c>
      <c r="S19" s="85">
        <v>1.7071102485091996E-2</v>
      </c>
      <c r="T19" s="85">
        <f t="shared" si="0"/>
        <v>5.6582159771062278E-3</v>
      </c>
      <c r="U19" s="85">
        <f>R19/'סכום נכסי הקרן'!$C$42</f>
        <v>4.7240342683666523E-4</v>
      </c>
      <c r="AL19" s="127"/>
    </row>
    <row r="20" spans="2:38" s="122" customFormat="1">
      <c r="B20" s="77" t="s">
        <v>371</v>
      </c>
      <c r="C20" s="74" t="s">
        <v>372</v>
      </c>
      <c r="D20" s="87" t="s">
        <v>123</v>
      </c>
      <c r="E20" s="87" t="s">
        <v>352</v>
      </c>
      <c r="F20" s="74" t="s">
        <v>369</v>
      </c>
      <c r="G20" s="87" t="s">
        <v>362</v>
      </c>
      <c r="H20" s="74" t="s">
        <v>370</v>
      </c>
      <c r="I20" s="74" t="s">
        <v>163</v>
      </c>
      <c r="J20" s="74"/>
      <c r="K20" s="84">
        <v>0.9900000000000535</v>
      </c>
      <c r="L20" s="87" t="s">
        <v>165</v>
      </c>
      <c r="M20" s="88">
        <v>8.0000000000000002E-3</v>
      </c>
      <c r="N20" s="88">
        <v>1.6000000000000594E-2</v>
      </c>
      <c r="O20" s="84">
        <v>6669266.8035559999</v>
      </c>
      <c r="P20" s="86">
        <v>100.92</v>
      </c>
      <c r="Q20" s="74"/>
      <c r="R20" s="84">
        <v>6730.6240963359996</v>
      </c>
      <c r="S20" s="85">
        <v>3.1041922035362303E-2</v>
      </c>
      <c r="T20" s="85">
        <f t="shared" si="0"/>
        <v>1.5475996135366845E-3</v>
      </c>
      <c r="U20" s="85">
        <f>R20/'סכום נכסי הקרן'!$C$42</f>
        <v>1.2920881135748539E-4</v>
      </c>
    </row>
    <row r="21" spans="2:38" s="122" customFormat="1">
      <c r="B21" s="77" t="s">
        <v>373</v>
      </c>
      <c r="C21" s="74" t="s">
        <v>374</v>
      </c>
      <c r="D21" s="87" t="s">
        <v>123</v>
      </c>
      <c r="E21" s="87" t="s">
        <v>352</v>
      </c>
      <c r="F21" s="74" t="s">
        <v>375</v>
      </c>
      <c r="G21" s="87" t="s">
        <v>362</v>
      </c>
      <c r="H21" s="74" t="s">
        <v>370</v>
      </c>
      <c r="I21" s="74" t="s">
        <v>163</v>
      </c>
      <c r="J21" s="74"/>
      <c r="K21" s="84">
        <v>0.25</v>
      </c>
      <c r="L21" s="87" t="s">
        <v>165</v>
      </c>
      <c r="M21" s="88">
        <v>5.8999999999999999E-3</v>
      </c>
      <c r="N21" s="88">
        <v>4.28000000000004E-2</v>
      </c>
      <c r="O21" s="84">
        <v>28090986.066743001</v>
      </c>
      <c r="P21" s="86">
        <v>99.55</v>
      </c>
      <c r="Q21" s="74"/>
      <c r="R21" s="84">
        <v>27964.575409096</v>
      </c>
      <c r="S21" s="85">
        <v>5.2623063803820839E-3</v>
      </c>
      <c r="T21" s="85">
        <f t="shared" si="0"/>
        <v>6.4300078976916855E-3</v>
      </c>
      <c r="U21" s="85">
        <f>R21/'סכום נכסי הקרן'!$C$42</f>
        <v>5.3684019446176507E-4</v>
      </c>
    </row>
    <row r="22" spans="2:38" s="122" customFormat="1">
      <c r="B22" s="77" t="s">
        <v>376</v>
      </c>
      <c r="C22" s="74" t="s">
        <v>377</v>
      </c>
      <c r="D22" s="87" t="s">
        <v>123</v>
      </c>
      <c r="E22" s="87" t="s">
        <v>352</v>
      </c>
      <c r="F22" s="74" t="s">
        <v>375</v>
      </c>
      <c r="G22" s="87" t="s">
        <v>362</v>
      </c>
      <c r="H22" s="74" t="s">
        <v>370</v>
      </c>
      <c r="I22" s="74" t="s">
        <v>163</v>
      </c>
      <c r="J22" s="74"/>
      <c r="K22" s="84">
        <v>5.1199999999999806</v>
      </c>
      <c r="L22" s="87" t="s">
        <v>165</v>
      </c>
      <c r="M22" s="88">
        <v>8.3000000000000001E-3</v>
      </c>
      <c r="N22" s="88">
        <v>8.3000000000001701E-3</v>
      </c>
      <c r="O22" s="84">
        <v>25005865.337644</v>
      </c>
      <c r="P22" s="86">
        <v>100.72</v>
      </c>
      <c r="Q22" s="74"/>
      <c r="R22" s="84">
        <v>25185.908568178998</v>
      </c>
      <c r="S22" s="85">
        <v>1.9445138951642727E-2</v>
      </c>
      <c r="T22" s="85">
        <f t="shared" si="0"/>
        <v>5.7910977955079488E-3</v>
      </c>
      <c r="U22" s="85">
        <f>R22/'סכום נכסי הקרן'!$C$42</f>
        <v>4.8349770578099153E-4</v>
      </c>
    </row>
    <row r="23" spans="2:38" s="122" customFormat="1">
      <c r="B23" s="77" t="s">
        <v>378</v>
      </c>
      <c r="C23" s="74" t="s">
        <v>379</v>
      </c>
      <c r="D23" s="87" t="s">
        <v>123</v>
      </c>
      <c r="E23" s="87" t="s">
        <v>352</v>
      </c>
      <c r="F23" s="74" t="s">
        <v>380</v>
      </c>
      <c r="G23" s="87" t="s">
        <v>362</v>
      </c>
      <c r="H23" s="74" t="s">
        <v>370</v>
      </c>
      <c r="I23" s="74" t="s">
        <v>163</v>
      </c>
      <c r="J23" s="74"/>
      <c r="K23" s="84">
        <v>0.94000000000001316</v>
      </c>
      <c r="L23" s="87" t="s">
        <v>165</v>
      </c>
      <c r="M23" s="88">
        <v>4.0999999999999995E-3</v>
      </c>
      <c r="N23" s="88">
        <v>1.3799999999999169E-2</v>
      </c>
      <c r="O23" s="84">
        <v>4604743.1074299999</v>
      </c>
      <c r="P23" s="86">
        <v>99.12</v>
      </c>
      <c r="Q23" s="74"/>
      <c r="R23" s="84">
        <v>4564.2215705009994</v>
      </c>
      <c r="S23" s="85">
        <v>5.6022909431699131E-3</v>
      </c>
      <c r="T23" s="85">
        <f t="shared" si="0"/>
        <v>1.0494699209911908E-3</v>
      </c>
      <c r="U23" s="85">
        <f>R23/'סכום נכסי הקרן'!$C$42</f>
        <v>8.7620053572397432E-5</v>
      </c>
    </row>
    <row r="24" spans="2:38" s="122" customFormat="1">
      <c r="B24" s="77" t="s">
        <v>381</v>
      </c>
      <c r="C24" s="74" t="s">
        <v>382</v>
      </c>
      <c r="D24" s="87" t="s">
        <v>123</v>
      </c>
      <c r="E24" s="87" t="s">
        <v>352</v>
      </c>
      <c r="F24" s="74" t="s">
        <v>380</v>
      </c>
      <c r="G24" s="87" t="s">
        <v>362</v>
      </c>
      <c r="H24" s="74" t="s">
        <v>370</v>
      </c>
      <c r="I24" s="74" t="s">
        <v>163</v>
      </c>
      <c r="J24" s="74"/>
      <c r="K24" s="84">
        <v>1.3000000000000027</v>
      </c>
      <c r="L24" s="87" t="s">
        <v>165</v>
      </c>
      <c r="M24" s="88">
        <v>0.04</v>
      </c>
      <c r="N24" s="88">
        <v>2.1499999999999866E-2</v>
      </c>
      <c r="O24" s="84">
        <v>32171958.363458</v>
      </c>
      <c r="P24" s="86">
        <v>106.76</v>
      </c>
      <c r="Q24" s="74"/>
      <c r="R24" s="84">
        <v>34346.783090423</v>
      </c>
      <c r="S24" s="85">
        <v>1.5529285360138746E-2</v>
      </c>
      <c r="T24" s="85">
        <f t="shared" si="0"/>
        <v>7.8974947161145701E-3</v>
      </c>
      <c r="U24" s="85">
        <f>R24/'סכום נכסי הקרן'!$C$42</f>
        <v>6.593604030691346E-4</v>
      </c>
    </row>
    <row r="25" spans="2:38" s="122" customFormat="1">
      <c r="B25" s="77" t="s">
        <v>383</v>
      </c>
      <c r="C25" s="74" t="s">
        <v>384</v>
      </c>
      <c r="D25" s="87" t="s">
        <v>123</v>
      </c>
      <c r="E25" s="87" t="s">
        <v>352</v>
      </c>
      <c r="F25" s="74" t="s">
        <v>380</v>
      </c>
      <c r="G25" s="87" t="s">
        <v>362</v>
      </c>
      <c r="H25" s="74" t="s">
        <v>370</v>
      </c>
      <c r="I25" s="74" t="s">
        <v>163</v>
      </c>
      <c r="J25" s="74"/>
      <c r="K25" s="84">
        <v>2.4600000000000244</v>
      </c>
      <c r="L25" s="87" t="s">
        <v>165</v>
      </c>
      <c r="M25" s="88">
        <v>9.8999999999999991E-3</v>
      </c>
      <c r="N25" s="88">
        <v>1.2900000000000158E-2</v>
      </c>
      <c r="O25" s="84">
        <v>43527442.323705003</v>
      </c>
      <c r="P25" s="86">
        <v>100.78</v>
      </c>
      <c r="Q25" s="74"/>
      <c r="R25" s="84">
        <v>43866.955456038995</v>
      </c>
      <c r="S25" s="85">
        <v>1.4442356357201728E-2</v>
      </c>
      <c r="T25" s="85">
        <f t="shared" si="0"/>
        <v>1.0086506442657206E-2</v>
      </c>
      <c r="U25" s="85">
        <f>R25/'סכום נכסי הקרן'!$C$42</f>
        <v>8.4212059553765415E-4</v>
      </c>
    </row>
    <row r="26" spans="2:38" s="122" customFormat="1">
      <c r="B26" s="77" t="s">
        <v>385</v>
      </c>
      <c r="C26" s="74" t="s">
        <v>386</v>
      </c>
      <c r="D26" s="87" t="s">
        <v>123</v>
      </c>
      <c r="E26" s="87" t="s">
        <v>352</v>
      </c>
      <c r="F26" s="74" t="s">
        <v>380</v>
      </c>
      <c r="G26" s="87" t="s">
        <v>362</v>
      </c>
      <c r="H26" s="74" t="s">
        <v>370</v>
      </c>
      <c r="I26" s="74" t="s">
        <v>163</v>
      </c>
      <c r="J26" s="74"/>
      <c r="K26" s="84">
        <v>4.4100000000000223</v>
      </c>
      <c r="L26" s="87" t="s">
        <v>165</v>
      </c>
      <c r="M26" s="88">
        <v>8.6E-3</v>
      </c>
      <c r="N26" s="88">
        <v>1.1600000000000046E-2</v>
      </c>
      <c r="O26" s="84">
        <v>42470330.040434003</v>
      </c>
      <c r="P26" s="86">
        <v>100.2</v>
      </c>
      <c r="Q26" s="74"/>
      <c r="R26" s="84">
        <v>42555.268084105002</v>
      </c>
      <c r="S26" s="85">
        <v>1.6978956588033427E-2</v>
      </c>
      <c r="T26" s="85">
        <f t="shared" si="0"/>
        <v>9.7849048614619266E-3</v>
      </c>
      <c r="U26" s="85">
        <f>R26/'סכום נכסי הקרן'!$C$42</f>
        <v>8.1693993416444256E-4</v>
      </c>
    </row>
    <row r="27" spans="2:38" s="122" customFormat="1">
      <c r="B27" s="77" t="s">
        <v>387</v>
      </c>
      <c r="C27" s="74" t="s">
        <v>388</v>
      </c>
      <c r="D27" s="87" t="s">
        <v>123</v>
      </c>
      <c r="E27" s="87" t="s">
        <v>352</v>
      </c>
      <c r="F27" s="74" t="s">
        <v>380</v>
      </c>
      <c r="G27" s="87" t="s">
        <v>362</v>
      </c>
      <c r="H27" s="74" t="s">
        <v>370</v>
      </c>
      <c r="I27" s="74" t="s">
        <v>163</v>
      </c>
      <c r="J27" s="74"/>
      <c r="K27" s="84">
        <v>7.1700000000014965</v>
      </c>
      <c r="L27" s="87" t="s">
        <v>165</v>
      </c>
      <c r="M27" s="88">
        <v>1.2199999999999999E-2</v>
      </c>
      <c r="N27" s="88">
        <v>1.1000000000001788E-2</v>
      </c>
      <c r="O27" s="84">
        <v>1635446.950252</v>
      </c>
      <c r="P27" s="86">
        <v>102.59</v>
      </c>
      <c r="Q27" s="74"/>
      <c r="R27" s="84">
        <v>1677.8049722969999</v>
      </c>
      <c r="S27" s="85">
        <v>2.0402078699963072E-3</v>
      </c>
      <c r="T27" s="85">
        <f t="shared" si="0"/>
        <v>3.8578448143171141E-4</v>
      </c>
      <c r="U27" s="85">
        <f>R27/'סכום נכסי הקרן'!$C$42</f>
        <v>3.2209076462640089E-5</v>
      </c>
    </row>
    <row r="28" spans="2:38" s="122" customFormat="1">
      <c r="B28" s="77" t="s">
        <v>389</v>
      </c>
      <c r="C28" s="74" t="s">
        <v>390</v>
      </c>
      <c r="D28" s="87" t="s">
        <v>123</v>
      </c>
      <c r="E28" s="87" t="s">
        <v>352</v>
      </c>
      <c r="F28" s="74" t="s">
        <v>380</v>
      </c>
      <c r="G28" s="87" t="s">
        <v>362</v>
      </c>
      <c r="H28" s="74" t="s">
        <v>370</v>
      </c>
      <c r="I28" s="74" t="s">
        <v>163</v>
      </c>
      <c r="J28" s="74"/>
      <c r="K28" s="84">
        <v>6.1499999999999524</v>
      </c>
      <c r="L28" s="87" t="s">
        <v>165</v>
      </c>
      <c r="M28" s="88">
        <v>3.8E-3</v>
      </c>
      <c r="N28" s="88">
        <v>1.0299999999999832E-2</v>
      </c>
      <c r="O28" s="84">
        <v>56594520.074023999</v>
      </c>
      <c r="P28" s="86">
        <v>95.06</v>
      </c>
      <c r="Q28" s="74"/>
      <c r="R28" s="84">
        <v>53798.75290353001</v>
      </c>
      <c r="S28" s="85">
        <v>1.8864840024674666E-2</v>
      </c>
      <c r="T28" s="85">
        <f t="shared" si="0"/>
        <v>1.2370164788668396E-2</v>
      </c>
      <c r="U28" s="85">
        <f>R28/'סכום נכסי הקרן'!$C$42</f>
        <v>1.0327828171185932E-3</v>
      </c>
    </row>
    <row r="29" spans="2:38" s="122" customFormat="1">
      <c r="B29" s="77" t="s">
        <v>391</v>
      </c>
      <c r="C29" s="74" t="s">
        <v>392</v>
      </c>
      <c r="D29" s="87" t="s">
        <v>123</v>
      </c>
      <c r="E29" s="87" t="s">
        <v>352</v>
      </c>
      <c r="F29" s="74" t="s">
        <v>380</v>
      </c>
      <c r="G29" s="87" t="s">
        <v>362</v>
      </c>
      <c r="H29" s="74" t="s">
        <v>370</v>
      </c>
      <c r="I29" s="74" t="s">
        <v>163</v>
      </c>
      <c r="J29" s="74"/>
      <c r="K29" s="84">
        <v>3.5700000000000438</v>
      </c>
      <c r="L29" s="87" t="s">
        <v>165</v>
      </c>
      <c r="M29" s="88">
        <v>1E-3</v>
      </c>
      <c r="N29" s="88">
        <v>1.2300000000000049E-2</v>
      </c>
      <c r="O29" s="84">
        <v>16979973.749111</v>
      </c>
      <c r="P29" s="86">
        <v>95.65</v>
      </c>
      <c r="Q29" s="74"/>
      <c r="R29" s="84">
        <v>16241.345335504</v>
      </c>
      <c r="S29" s="85">
        <v>6.6744340279961106E-3</v>
      </c>
      <c r="T29" s="85">
        <f t="shared" si="0"/>
        <v>3.7344382043598017E-3</v>
      </c>
      <c r="U29" s="85">
        <f>R29/'סכום נכסי הקרן'!$C$42</f>
        <v>3.1178756911848655E-4</v>
      </c>
    </row>
    <row r="30" spans="2:38" s="122" customFormat="1">
      <c r="B30" s="77" t="s">
        <v>393</v>
      </c>
      <c r="C30" s="74" t="s">
        <v>394</v>
      </c>
      <c r="D30" s="87" t="s">
        <v>123</v>
      </c>
      <c r="E30" s="87" t="s">
        <v>352</v>
      </c>
      <c r="F30" s="74" t="s">
        <v>380</v>
      </c>
      <c r="G30" s="87" t="s">
        <v>362</v>
      </c>
      <c r="H30" s="74" t="s">
        <v>370</v>
      </c>
      <c r="I30" s="74" t="s">
        <v>163</v>
      </c>
      <c r="J30" s="74"/>
      <c r="K30" s="84">
        <v>9.6599999999999095</v>
      </c>
      <c r="L30" s="87" t="s">
        <v>165</v>
      </c>
      <c r="M30" s="88">
        <v>1.09E-2</v>
      </c>
      <c r="N30" s="88">
        <v>1.640000000000005E-2</v>
      </c>
      <c r="O30" s="84">
        <v>8497932.2775769997</v>
      </c>
      <c r="P30" s="86">
        <v>95.93</v>
      </c>
      <c r="Q30" s="74"/>
      <c r="R30" s="84">
        <v>8152.0666712390002</v>
      </c>
      <c r="S30" s="85">
        <v>1.2106575580618782E-2</v>
      </c>
      <c r="T30" s="85">
        <f t="shared" si="0"/>
        <v>1.8744376523423293E-3</v>
      </c>
      <c r="U30" s="85">
        <f>R30/'סכום נכסי הקרן'!$C$42</f>
        <v>1.5649646000452869E-4</v>
      </c>
    </row>
    <row r="31" spans="2:38" s="122" customFormat="1">
      <c r="B31" s="77" t="s">
        <v>398</v>
      </c>
      <c r="C31" s="74" t="s">
        <v>399</v>
      </c>
      <c r="D31" s="87" t="s">
        <v>123</v>
      </c>
      <c r="E31" s="87" t="s">
        <v>352</v>
      </c>
      <c r="F31" s="74" t="s">
        <v>400</v>
      </c>
      <c r="G31" s="87" t="s">
        <v>159</v>
      </c>
      <c r="H31" s="74" t="s">
        <v>355</v>
      </c>
      <c r="I31" s="74" t="s">
        <v>356</v>
      </c>
      <c r="J31" s="74"/>
      <c r="K31" s="84">
        <v>5.7200000000010611</v>
      </c>
      <c r="L31" s="87" t="s">
        <v>165</v>
      </c>
      <c r="M31" s="88">
        <v>1E-3</v>
      </c>
      <c r="N31" s="88">
        <v>6.9000000000039204E-3</v>
      </c>
      <c r="O31" s="84">
        <v>909124.18722000008</v>
      </c>
      <c r="P31" s="86">
        <v>95.38</v>
      </c>
      <c r="Q31" s="74"/>
      <c r="R31" s="84">
        <v>867.12265141399996</v>
      </c>
      <c r="S31" s="85">
        <v>1.7321600213775366E-3</v>
      </c>
      <c r="T31" s="85">
        <f t="shared" si="0"/>
        <v>1.9938101742269986E-4</v>
      </c>
      <c r="U31" s="85">
        <f>R31/'סכום נכסי הקרן'!$C$42</f>
        <v>1.6646285023010879E-5</v>
      </c>
    </row>
    <row r="32" spans="2:38" s="122" customFormat="1">
      <c r="B32" s="77" t="s">
        <v>401</v>
      </c>
      <c r="C32" s="74" t="s">
        <v>402</v>
      </c>
      <c r="D32" s="87" t="s">
        <v>123</v>
      </c>
      <c r="E32" s="87" t="s">
        <v>352</v>
      </c>
      <c r="F32" s="74" t="s">
        <v>400</v>
      </c>
      <c r="G32" s="87" t="s">
        <v>159</v>
      </c>
      <c r="H32" s="74" t="s">
        <v>355</v>
      </c>
      <c r="I32" s="74" t="s">
        <v>356</v>
      </c>
      <c r="J32" s="74"/>
      <c r="K32" s="84">
        <v>15.010000000000147</v>
      </c>
      <c r="L32" s="87" t="s">
        <v>165</v>
      </c>
      <c r="M32" s="88">
        <v>2.07E-2</v>
      </c>
      <c r="N32" s="88">
        <v>1.3100000000000158E-2</v>
      </c>
      <c r="O32" s="84">
        <v>29824229.825173002</v>
      </c>
      <c r="P32" s="86">
        <v>110.8</v>
      </c>
      <c r="Q32" s="74"/>
      <c r="R32" s="84">
        <v>33045.246646508</v>
      </c>
      <c r="S32" s="85">
        <v>2.0171814749425435E-2</v>
      </c>
      <c r="T32" s="85">
        <f t="shared" si="0"/>
        <v>7.5982271788436542E-3</v>
      </c>
      <c r="U32" s="85">
        <f>R32/'סכום נכסי הקרן'!$C$42</f>
        <v>6.3437461060031233E-4</v>
      </c>
    </row>
    <row r="33" spans="2:21" s="122" customFormat="1">
      <c r="B33" s="77" t="s">
        <v>403</v>
      </c>
      <c r="C33" s="74" t="s">
        <v>404</v>
      </c>
      <c r="D33" s="87" t="s">
        <v>123</v>
      </c>
      <c r="E33" s="87" t="s">
        <v>352</v>
      </c>
      <c r="F33" s="74" t="s">
        <v>405</v>
      </c>
      <c r="G33" s="87" t="s">
        <v>362</v>
      </c>
      <c r="H33" s="74" t="s">
        <v>370</v>
      </c>
      <c r="I33" s="74" t="s">
        <v>163</v>
      </c>
      <c r="J33" s="74"/>
      <c r="K33" s="84">
        <v>2.2500000000000222</v>
      </c>
      <c r="L33" s="87" t="s">
        <v>165</v>
      </c>
      <c r="M33" s="88">
        <v>0.05</v>
      </c>
      <c r="N33" s="88">
        <v>1.5200000000000101E-2</v>
      </c>
      <c r="O33" s="84">
        <v>50044174.680803992</v>
      </c>
      <c r="P33" s="86">
        <v>112.4</v>
      </c>
      <c r="Q33" s="74"/>
      <c r="R33" s="84">
        <v>56249.652064047004</v>
      </c>
      <c r="S33" s="85">
        <v>1.5878938801952146E-2</v>
      </c>
      <c r="T33" s="85">
        <f t="shared" si="0"/>
        <v>1.2933709942779486E-2</v>
      </c>
      <c r="U33" s="85">
        <f>R33/'סכום נכסי הקרן'!$C$42</f>
        <v>1.0798330999385551E-3</v>
      </c>
    </row>
    <row r="34" spans="2:21" s="122" customFormat="1">
      <c r="B34" s="77" t="s">
        <v>406</v>
      </c>
      <c r="C34" s="74" t="s">
        <v>407</v>
      </c>
      <c r="D34" s="87" t="s">
        <v>123</v>
      </c>
      <c r="E34" s="87" t="s">
        <v>352</v>
      </c>
      <c r="F34" s="74" t="s">
        <v>405</v>
      </c>
      <c r="G34" s="87" t="s">
        <v>362</v>
      </c>
      <c r="H34" s="74" t="s">
        <v>370</v>
      </c>
      <c r="I34" s="74" t="s">
        <v>163</v>
      </c>
      <c r="J34" s="74"/>
      <c r="K34" s="84">
        <v>0.459999999507399</v>
      </c>
      <c r="L34" s="87" t="s">
        <v>165</v>
      </c>
      <c r="M34" s="88">
        <v>1.6E-2</v>
      </c>
      <c r="N34" s="88">
        <v>1.8399999999242155E-2</v>
      </c>
      <c r="O34" s="84">
        <v>1049.8449370000001</v>
      </c>
      <c r="P34" s="86">
        <v>100.55</v>
      </c>
      <c r="Q34" s="74"/>
      <c r="R34" s="84">
        <v>1.0556211120000001</v>
      </c>
      <c r="S34" s="85">
        <v>1.0002271384494653E-6</v>
      </c>
      <c r="T34" s="85">
        <f t="shared" si="0"/>
        <v>2.4272323065281619E-7</v>
      </c>
      <c r="U34" s="85">
        <f>R34/'סכום נכסי הקרן'!$C$42</f>
        <v>2.026491855333856E-8</v>
      </c>
    </row>
    <row r="35" spans="2:21" s="122" customFormat="1">
      <c r="B35" s="77" t="s">
        <v>408</v>
      </c>
      <c r="C35" s="74" t="s">
        <v>409</v>
      </c>
      <c r="D35" s="87" t="s">
        <v>123</v>
      </c>
      <c r="E35" s="87" t="s">
        <v>352</v>
      </c>
      <c r="F35" s="74" t="s">
        <v>405</v>
      </c>
      <c r="G35" s="87" t="s">
        <v>362</v>
      </c>
      <c r="H35" s="74" t="s">
        <v>370</v>
      </c>
      <c r="I35" s="74" t="s">
        <v>163</v>
      </c>
      <c r="J35" s="74"/>
      <c r="K35" s="84">
        <v>1.9699999999999676</v>
      </c>
      <c r="L35" s="87" t="s">
        <v>165</v>
      </c>
      <c r="M35" s="88">
        <v>6.9999999999999993E-3</v>
      </c>
      <c r="N35" s="88">
        <v>1.6799999999999711E-2</v>
      </c>
      <c r="O35" s="84">
        <v>18013356.676146001</v>
      </c>
      <c r="P35" s="86">
        <v>99.8</v>
      </c>
      <c r="Q35" s="74"/>
      <c r="R35" s="84">
        <v>17977.329698114001</v>
      </c>
      <c r="S35" s="85">
        <v>8.4483885626193411E-3</v>
      </c>
      <c r="T35" s="85">
        <f t="shared" si="0"/>
        <v>4.13360010825271E-3</v>
      </c>
      <c r="U35" s="85">
        <f>R35/'סכום נכסי הקרן'!$C$42</f>
        <v>3.4511352415884109E-4</v>
      </c>
    </row>
    <row r="36" spans="2:21" s="122" customFormat="1">
      <c r="B36" s="77" t="s">
        <v>410</v>
      </c>
      <c r="C36" s="74" t="s">
        <v>411</v>
      </c>
      <c r="D36" s="87" t="s">
        <v>123</v>
      </c>
      <c r="E36" s="87" t="s">
        <v>352</v>
      </c>
      <c r="F36" s="74" t="s">
        <v>405</v>
      </c>
      <c r="G36" s="87" t="s">
        <v>362</v>
      </c>
      <c r="H36" s="74" t="s">
        <v>370</v>
      </c>
      <c r="I36" s="74" t="s">
        <v>163</v>
      </c>
      <c r="J36" s="74"/>
      <c r="K36" s="84">
        <v>3.9900000000000544</v>
      </c>
      <c r="L36" s="87" t="s">
        <v>165</v>
      </c>
      <c r="M36" s="88">
        <v>6.0000000000000001E-3</v>
      </c>
      <c r="N36" s="88">
        <v>8.400000000000114E-3</v>
      </c>
      <c r="O36" s="84">
        <v>27800543.155475002</v>
      </c>
      <c r="P36" s="86">
        <v>100.6</v>
      </c>
      <c r="Q36" s="74"/>
      <c r="R36" s="84">
        <v>27967.344573652001</v>
      </c>
      <c r="S36" s="85">
        <v>1.3888254765301823E-2</v>
      </c>
      <c r="T36" s="85">
        <f t="shared" si="0"/>
        <v>6.4306446228950759E-3</v>
      </c>
      <c r="U36" s="85">
        <f>R36/'סכום נכסי הקרן'!$C$42</f>
        <v>5.3689335453364147E-4</v>
      </c>
    </row>
    <row r="37" spans="2:21" s="122" customFormat="1">
      <c r="B37" s="77" t="s">
        <v>412</v>
      </c>
      <c r="C37" s="74" t="s">
        <v>413</v>
      </c>
      <c r="D37" s="87" t="s">
        <v>123</v>
      </c>
      <c r="E37" s="87" t="s">
        <v>352</v>
      </c>
      <c r="F37" s="74" t="s">
        <v>405</v>
      </c>
      <c r="G37" s="87" t="s">
        <v>362</v>
      </c>
      <c r="H37" s="74" t="s">
        <v>370</v>
      </c>
      <c r="I37" s="74" t="s">
        <v>163</v>
      </c>
      <c r="J37" s="74"/>
      <c r="K37" s="84">
        <v>5.4100000000000117</v>
      </c>
      <c r="L37" s="87" t="s">
        <v>165</v>
      </c>
      <c r="M37" s="88">
        <v>1.7500000000000002E-2</v>
      </c>
      <c r="N37" s="88">
        <v>1.0499999999999959E-2</v>
      </c>
      <c r="O37" s="84">
        <v>66551321.272712</v>
      </c>
      <c r="P37" s="86">
        <v>103.87</v>
      </c>
      <c r="Q37" s="74"/>
      <c r="R37" s="84">
        <v>69126.857461285996</v>
      </c>
      <c r="S37" s="85">
        <v>1.6783067743098935E-2</v>
      </c>
      <c r="T37" s="85">
        <f t="shared" si="0"/>
        <v>1.5894617848340328E-2</v>
      </c>
      <c r="U37" s="85">
        <f>R37/'סכום נכסי הקרן'!$C$42</f>
        <v>1.3270387645498364E-3</v>
      </c>
    </row>
    <row r="38" spans="2:21" s="122" customFormat="1">
      <c r="B38" s="77" t="s">
        <v>414</v>
      </c>
      <c r="C38" s="74" t="s">
        <v>415</v>
      </c>
      <c r="D38" s="87" t="s">
        <v>123</v>
      </c>
      <c r="E38" s="87" t="s">
        <v>352</v>
      </c>
      <c r="F38" s="74" t="s">
        <v>369</v>
      </c>
      <c r="G38" s="87" t="s">
        <v>362</v>
      </c>
      <c r="H38" s="74" t="s">
        <v>416</v>
      </c>
      <c r="I38" s="74" t="s">
        <v>163</v>
      </c>
      <c r="J38" s="74"/>
      <c r="K38" s="84">
        <v>0.83000000000001872</v>
      </c>
      <c r="L38" s="87" t="s">
        <v>165</v>
      </c>
      <c r="M38" s="88">
        <v>3.1E-2</v>
      </c>
      <c r="N38" s="88">
        <v>2.560000000000133E-2</v>
      </c>
      <c r="O38" s="84">
        <v>3968734.8613309995</v>
      </c>
      <c r="P38" s="86">
        <v>107.03</v>
      </c>
      <c r="Q38" s="74"/>
      <c r="R38" s="84">
        <v>4247.7366993239993</v>
      </c>
      <c r="S38" s="85">
        <v>2.3071705893304977E-2</v>
      </c>
      <c r="T38" s="85">
        <f t="shared" si="0"/>
        <v>9.7669927486487319E-4</v>
      </c>
      <c r="U38" s="85">
        <f>R38/'סכום נכסי הקרן'!$C$42</f>
        <v>8.1544445511078418E-5</v>
      </c>
    </row>
    <row r="39" spans="2:21" s="122" customFormat="1">
      <c r="B39" s="77" t="s">
        <v>417</v>
      </c>
      <c r="C39" s="74" t="s">
        <v>418</v>
      </c>
      <c r="D39" s="87" t="s">
        <v>123</v>
      </c>
      <c r="E39" s="87" t="s">
        <v>352</v>
      </c>
      <c r="F39" s="74" t="s">
        <v>369</v>
      </c>
      <c r="G39" s="87" t="s">
        <v>362</v>
      </c>
      <c r="H39" s="74" t="s">
        <v>416</v>
      </c>
      <c r="I39" s="74" t="s">
        <v>163</v>
      </c>
      <c r="J39" s="74"/>
      <c r="K39" s="84">
        <v>0.95999999999711572</v>
      </c>
      <c r="L39" s="87" t="s">
        <v>165</v>
      </c>
      <c r="M39" s="88">
        <v>4.2000000000000003E-2</v>
      </c>
      <c r="N39" s="88">
        <v>-9.9999999998626497E-5</v>
      </c>
      <c r="O39" s="84">
        <v>230070.41144600001</v>
      </c>
      <c r="P39" s="86">
        <v>126.58</v>
      </c>
      <c r="Q39" s="74"/>
      <c r="R39" s="84">
        <v>291.22311420399996</v>
      </c>
      <c r="S39" s="85">
        <v>8.8207035788061203E-3</v>
      </c>
      <c r="T39" s="85">
        <f t="shared" si="0"/>
        <v>6.6962108200398416E-5</v>
      </c>
      <c r="U39" s="85">
        <f>R39/'סכום נכסי הקרן'!$C$42</f>
        <v>5.5906542822096115E-6</v>
      </c>
    </row>
    <row r="40" spans="2:21" s="122" customFormat="1">
      <c r="B40" s="77" t="s">
        <v>419</v>
      </c>
      <c r="C40" s="74" t="s">
        <v>420</v>
      </c>
      <c r="D40" s="87" t="s">
        <v>123</v>
      </c>
      <c r="E40" s="87" t="s">
        <v>352</v>
      </c>
      <c r="F40" s="74" t="s">
        <v>421</v>
      </c>
      <c r="G40" s="87" t="s">
        <v>362</v>
      </c>
      <c r="H40" s="74" t="s">
        <v>416</v>
      </c>
      <c r="I40" s="74" t="s">
        <v>163</v>
      </c>
      <c r="J40" s="74"/>
      <c r="K40" s="84">
        <v>1.1699999999999737</v>
      </c>
      <c r="L40" s="87" t="s">
        <v>165</v>
      </c>
      <c r="M40" s="88">
        <v>3.85E-2</v>
      </c>
      <c r="N40" s="88">
        <v>1.6699999999998726E-2</v>
      </c>
      <c r="O40" s="84">
        <v>4412612.6468850002</v>
      </c>
      <c r="P40" s="86">
        <v>112.06</v>
      </c>
      <c r="Q40" s="74"/>
      <c r="R40" s="84">
        <v>4944.7738975889997</v>
      </c>
      <c r="S40" s="85">
        <v>1.3813166693306225E-2</v>
      </c>
      <c r="T40" s="85">
        <f t="shared" si="0"/>
        <v>1.1369718563098608E-3</v>
      </c>
      <c r="U40" s="85">
        <f>R40/'סכום נכסי הקרן'!$C$42</f>
        <v>9.4925574299536681E-5</v>
      </c>
    </row>
    <row r="41" spans="2:21" s="122" customFormat="1">
      <c r="B41" s="77" t="s">
        <v>422</v>
      </c>
      <c r="C41" s="74" t="s">
        <v>423</v>
      </c>
      <c r="D41" s="87" t="s">
        <v>123</v>
      </c>
      <c r="E41" s="87" t="s">
        <v>352</v>
      </c>
      <c r="F41" s="74" t="s">
        <v>421</v>
      </c>
      <c r="G41" s="87" t="s">
        <v>362</v>
      </c>
      <c r="H41" s="74" t="s">
        <v>416</v>
      </c>
      <c r="I41" s="74" t="s">
        <v>163</v>
      </c>
      <c r="J41" s="74"/>
      <c r="K41" s="84">
        <v>1.5399999999998812</v>
      </c>
      <c r="L41" s="87" t="s">
        <v>165</v>
      </c>
      <c r="M41" s="88">
        <v>4.7500000000000001E-2</v>
      </c>
      <c r="N41" s="88">
        <v>1.1500000000000272E-2</v>
      </c>
      <c r="O41" s="84">
        <v>2909895.6071060002</v>
      </c>
      <c r="P41" s="86">
        <v>127.2</v>
      </c>
      <c r="Q41" s="74"/>
      <c r="R41" s="84">
        <v>3701.3871269859997</v>
      </c>
      <c r="S41" s="85">
        <v>1.3367822666971703E-2</v>
      </c>
      <c r="T41" s="85">
        <f t="shared" si="0"/>
        <v>8.5107490854994128E-4</v>
      </c>
      <c r="U41" s="85">
        <f>R41/'סכום נכסי הקרן'!$C$42</f>
        <v>7.1056089926654561E-5</v>
      </c>
    </row>
    <row r="42" spans="2:21" s="122" customFormat="1">
      <c r="B42" s="77" t="s">
        <v>424</v>
      </c>
      <c r="C42" s="74" t="s">
        <v>425</v>
      </c>
      <c r="D42" s="87" t="s">
        <v>123</v>
      </c>
      <c r="E42" s="87" t="s">
        <v>352</v>
      </c>
      <c r="F42" s="74" t="s">
        <v>426</v>
      </c>
      <c r="G42" s="87" t="s">
        <v>3376</v>
      </c>
      <c r="H42" s="74" t="s">
        <v>427</v>
      </c>
      <c r="I42" s="74" t="s">
        <v>356</v>
      </c>
      <c r="J42" s="74"/>
      <c r="K42" s="84">
        <v>1.399999999999326</v>
      </c>
      <c r="L42" s="87" t="s">
        <v>165</v>
      </c>
      <c r="M42" s="88">
        <v>3.6400000000000002E-2</v>
      </c>
      <c r="N42" s="88">
        <v>1.8600000000009099E-2</v>
      </c>
      <c r="O42" s="84">
        <v>529215.81029699999</v>
      </c>
      <c r="P42" s="86">
        <v>112.16</v>
      </c>
      <c r="Q42" s="74"/>
      <c r="R42" s="84">
        <v>593.56842891100007</v>
      </c>
      <c r="S42" s="85">
        <v>9.6002868081088433E-3</v>
      </c>
      <c r="T42" s="85">
        <f t="shared" si="0"/>
        <v>1.3648158893471844E-4</v>
      </c>
      <c r="U42" s="85">
        <f>R42/'סכום נכסי הקרן'!$C$42</f>
        <v>1.1394823133960345E-5</v>
      </c>
    </row>
    <row r="43" spans="2:21" s="122" customFormat="1">
      <c r="B43" s="77" t="s">
        <v>428</v>
      </c>
      <c r="C43" s="74" t="s">
        <v>429</v>
      </c>
      <c r="D43" s="87" t="s">
        <v>123</v>
      </c>
      <c r="E43" s="87" t="s">
        <v>352</v>
      </c>
      <c r="F43" s="74" t="s">
        <v>375</v>
      </c>
      <c r="G43" s="87" t="s">
        <v>362</v>
      </c>
      <c r="H43" s="74" t="s">
        <v>416</v>
      </c>
      <c r="I43" s="74" t="s">
        <v>163</v>
      </c>
      <c r="J43" s="74"/>
      <c r="K43" s="84">
        <v>0.6100000000000021</v>
      </c>
      <c r="L43" s="87" t="s">
        <v>165</v>
      </c>
      <c r="M43" s="88">
        <v>3.4000000000000002E-2</v>
      </c>
      <c r="N43" s="88">
        <v>3.2500000000000535E-2</v>
      </c>
      <c r="O43" s="84">
        <v>8929900.3378190007</v>
      </c>
      <c r="P43" s="86">
        <v>104.82</v>
      </c>
      <c r="Q43" s="74"/>
      <c r="R43" s="84">
        <v>9360.3207316179996</v>
      </c>
      <c r="S43" s="85">
        <v>9.9904472557445449E-3</v>
      </c>
      <c r="T43" s="85">
        <f t="shared" si="0"/>
        <v>2.1522563939824391E-3</v>
      </c>
      <c r="U43" s="85">
        <f>R43/'סכום נכסי הקרן'!$C$42</f>
        <v>1.7969149641198644E-4</v>
      </c>
    </row>
    <row r="44" spans="2:21" s="122" customFormat="1">
      <c r="B44" s="77" t="s">
        <v>430</v>
      </c>
      <c r="C44" s="74" t="s">
        <v>431</v>
      </c>
      <c r="D44" s="87" t="s">
        <v>123</v>
      </c>
      <c r="E44" s="87" t="s">
        <v>352</v>
      </c>
      <c r="F44" s="74" t="s">
        <v>432</v>
      </c>
      <c r="G44" s="87" t="s">
        <v>3376</v>
      </c>
      <c r="H44" s="74" t="s">
        <v>416</v>
      </c>
      <c r="I44" s="74" t="s">
        <v>163</v>
      </c>
      <c r="J44" s="74"/>
      <c r="K44" s="84">
        <v>5.2499999999999041</v>
      </c>
      <c r="L44" s="87" t="s">
        <v>165</v>
      </c>
      <c r="M44" s="88">
        <v>8.3000000000000001E-3</v>
      </c>
      <c r="N44" s="88">
        <v>1.019999999999986E-2</v>
      </c>
      <c r="O44" s="84">
        <v>31069493.394172002</v>
      </c>
      <c r="P44" s="86">
        <v>100.2</v>
      </c>
      <c r="Q44" s="74"/>
      <c r="R44" s="84">
        <v>31131.634070172</v>
      </c>
      <c r="S44" s="85">
        <v>2.0288002519339543E-2</v>
      </c>
      <c r="T44" s="85">
        <f t="shared" si="0"/>
        <v>7.1582225015346494E-3</v>
      </c>
      <c r="U44" s="85">
        <f>R44/'סכום נכסי הקרן'!$C$42</f>
        <v>5.9763869980688231E-4</v>
      </c>
    </row>
    <row r="45" spans="2:21" s="122" customFormat="1">
      <c r="B45" s="77" t="s">
        <v>433</v>
      </c>
      <c r="C45" s="74" t="s">
        <v>434</v>
      </c>
      <c r="D45" s="87" t="s">
        <v>123</v>
      </c>
      <c r="E45" s="87" t="s">
        <v>352</v>
      </c>
      <c r="F45" s="74" t="s">
        <v>432</v>
      </c>
      <c r="G45" s="87" t="s">
        <v>3376</v>
      </c>
      <c r="H45" s="74" t="s">
        <v>416</v>
      </c>
      <c r="I45" s="74" t="s">
        <v>163</v>
      </c>
      <c r="J45" s="74"/>
      <c r="K45" s="84">
        <v>9.0199999999998841</v>
      </c>
      <c r="L45" s="87" t="s">
        <v>165</v>
      </c>
      <c r="M45" s="88">
        <v>1.6500000000000001E-2</v>
      </c>
      <c r="N45" s="88">
        <v>1.4099999999999549E-2</v>
      </c>
      <c r="O45" s="84">
        <v>15418966.487584</v>
      </c>
      <c r="P45" s="86">
        <v>103.69</v>
      </c>
      <c r="Q45" s="74"/>
      <c r="R45" s="84">
        <v>15987.927072892</v>
      </c>
      <c r="S45" s="85">
        <v>1.05607189493257E-2</v>
      </c>
      <c r="T45" s="85">
        <f t="shared" si="0"/>
        <v>3.6761687185486763E-3</v>
      </c>
      <c r="U45" s="85">
        <f>R45/'סכום נכסי הקרן'!$C$42</f>
        <v>3.0692266030472583E-4</v>
      </c>
    </row>
    <row r="46" spans="2:21" s="122" customFormat="1">
      <c r="B46" s="77" t="s">
        <v>435</v>
      </c>
      <c r="C46" s="74" t="s">
        <v>436</v>
      </c>
      <c r="D46" s="87" t="s">
        <v>123</v>
      </c>
      <c r="E46" s="87" t="s">
        <v>352</v>
      </c>
      <c r="F46" s="74" t="s">
        <v>437</v>
      </c>
      <c r="G46" s="87" t="s">
        <v>159</v>
      </c>
      <c r="H46" s="74" t="s">
        <v>416</v>
      </c>
      <c r="I46" s="74" t="s">
        <v>163</v>
      </c>
      <c r="J46" s="74"/>
      <c r="K46" s="84">
        <v>8.8600000000007029</v>
      </c>
      <c r="L46" s="87" t="s">
        <v>165</v>
      </c>
      <c r="M46" s="88">
        <v>2.6499999999999999E-2</v>
      </c>
      <c r="N46" s="88">
        <v>1.2800000000000897E-2</v>
      </c>
      <c r="O46" s="84">
        <v>3511415.1161039998</v>
      </c>
      <c r="P46" s="86">
        <v>114.21</v>
      </c>
      <c r="Q46" s="74"/>
      <c r="R46" s="84">
        <v>4010.3871914630004</v>
      </c>
      <c r="S46" s="85">
        <v>3.0198274339571897E-3</v>
      </c>
      <c r="T46" s="85">
        <f t="shared" si="0"/>
        <v>9.2212454280714827E-4</v>
      </c>
      <c r="U46" s="85">
        <f>R46/'סכום נכסי הקרן'!$C$42</f>
        <v>7.6988011018815121E-5</v>
      </c>
    </row>
    <row r="47" spans="2:21" s="122" customFormat="1">
      <c r="B47" s="77" t="s">
        <v>438</v>
      </c>
      <c r="C47" s="74" t="s">
        <v>439</v>
      </c>
      <c r="D47" s="87" t="s">
        <v>123</v>
      </c>
      <c r="E47" s="87" t="s">
        <v>352</v>
      </c>
      <c r="F47" s="74" t="s">
        <v>440</v>
      </c>
      <c r="G47" s="87" t="s">
        <v>3376</v>
      </c>
      <c r="H47" s="74" t="s">
        <v>427</v>
      </c>
      <c r="I47" s="74" t="s">
        <v>356</v>
      </c>
      <c r="J47" s="74"/>
      <c r="K47" s="84">
        <v>2.959999999999988</v>
      </c>
      <c r="L47" s="87" t="s">
        <v>165</v>
      </c>
      <c r="M47" s="88">
        <v>6.5000000000000006E-3</v>
      </c>
      <c r="N47" s="88">
        <v>1.3700000000000108E-2</v>
      </c>
      <c r="O47" s="84">
        <v>8575551.1004149988</v>
      </c>
      <c r="P47" s="86">
        <v>98</v>
      </c>
      <c r="Q47" s="84">
        <v>1750.137343201</v>
      </c>
      <c r="R47" s="84">
        <v>10154.177421996999</v>
      </c>
      <c r="S47" s="85">
        <v>1.3633296970421687E-2</v>
      </c>
      <c r="T47" s="85">
        <f t="shared" si="0"/>
        <v>2.3347910727357598E-3</v>
      </c>
      <c r="U47" s="85">
        <f>R47/'סכום נכסי הקרן'!$C$42</f>
        <v>1.9493128367152103E-4</v>
      </c>
    </row>
    <row r="48" spans="2:21" s="122" customFormat="1">
      <c r="B48" s="77" t="s">
        <v>441</v>
      </c>
      <c r="C48" s="74" t="s">
        <v>442</v>
      </c>
      <c r="D48" s="87" t="s">
        <v>123</v>
      </c>
      <c r="E48" s="87" t="s">
        <v>352</v>
      </c>
      <c r="F48" s="74" t="s">
        <v>440</v>
      </c>
      <c r="G48" s="87" t="s">
        <v>3376</v>
      </c>
      <c r="H48" s="74" t="s">
        <v>416</v>
      </c>
      <c r="I48" s="74" t="s">
        <v>163</v>
      </c>
      <c r="J48" s="74"/>
      <c r="K48" s="84">
        <v>5.0199999999999969</v>
      </c>
      <c r="L48" s="87" t="s">
        <v>165</v>
      </c>
      <c r="M48" s="88">
        <v>1.34E-2</v>
      </c>
      <c r="N48" s="88">
        <v>1.4899999999999943E-2</v>
      </c>
      <c r="O48" s="84">
        <v>68362600.684579</v>
      </c>
      <c r="P48" s="86">
        <v>101</v>
      </c>
      <c r="Q48" s="74"/>
      <c r="R48" s="84">
        <v>69046.226893860003</v>
      </c>
      <c r="S48" s="85">
        <v>1.7907337177662637E-2</v>
      </c>
      <c r="T48" s="85">
        <f t="shared" si="0"/>
        <v>1.5876078135944917E-2</v>
      </c>
      <c r="U48" s="85">
        <f>R48/'סכום נכסי הקרן'!$C$42</f>
        <v>1.32549088732076E-3</v>
      </c>
    </row>
    <row r="49" spans="2:21" s="122" customFormat="1">
      <c r="B49" s="77" t="s">
        <v>443</v>
      </c>
      <c r="C49" s="74" t="s">
        <v>444</v>
      </c>
      <c r="D49" s="87" t="s">
        <v>123</v>
      </c>
      <c r="E49" s="87" t="s">
        <v>352</v>
      </c>
      <c r="F49" s="74" t="s">
        <v>440</v>
      </c>
      <c r="G49" s="87" t="s">
        <v>3376</v>
      </c>
      <c r="H49" s="74" t="s">
        <v>416</v>
      </c>
      <c r="I49" s="74" t="s">
        <v>163</v>
      </c>
      <c r="J49" s="74"/>
      <c r="K49" s="84">
        <v>5.9699999999999465</v>
      </c>
      <c r="L49" s="87" t="s">
        <v>165</v>
      </c>
      <c r="M49" s="88">
        <v>1.77E-2</v>
      </c>
      <c r="N49" s="88">
        <v>1.5299999999999909E-2</v>
      </c>
      <c r="O49" s="84">
        <v>31325645.468681</v>
      </c>
      <c r="P49" s="86">
        <v>102</v>
      </c>
      <c r="Q49" s="74"/>
      <c r="R49" s="84">
        <v>31952.158499176003</v>
      </c>
      <c r="S49" s="85">
        <v>1.2877057961672992E-2</v>
      </c>
      <c r="T49" s="85">
        <f t="shared" si="0"/>
        <v>7.3468890012601765E-3</v>
      </c>
      <c r="U49" s="85">
        <f>R49/'סכום נכסי הקרן'!$C$42</f>
        <v>6.1339043168849214E-4</v>
      </c>
    </row>
    <row r="50" spans="2:21" s="122" customFormat="1">
      <c r="B50" s="77" t="s">
        <v>445</v>
      </c>
      <c r="C50" s="74" t="s">
        <v>446</v>
      </c>
      <c r="D50" s="87" t="s">
        <v>123</v>
      </c>
      <c r="E50" s="87" t="s">
        <v>352</v>
      </c>
      <c r="F50" s="74" t="s">
        <v>440</v>
      </c>
      <c r="G50" s="87" t="s">
        <v>3376</v>
      </c>
      <c r="H50" s="74" t="s">
        <v>416</v>
      </c>
      <c r="I50" s="74" t="s">
        <v>163</v>
      </c>
      <c r="J50" s="74"/>
      <c r="K50" s="84">
        <v>9.2699999999997669</v>
      </c>
      <c r="L50" s="87" t="s">
        <v>165</v>
      </c>
      <c r="M50" s="88">
        <v>2.4799999999999999E-2</v>
      </c>
      <c r="N50" s="88">
        <v>1.5899999999999911E-2</v>
      </c>
      <c r="O50" s="84">
        <v>15510630.226979999</v>
      </c>
      <c r="P50" s="86">
        <v>109.3</v>
      </c>
      <c r="Q50" s="74"/>
      <c r="R50" s="84">
        <v>16953.119050484998</v>
      </c>
      <c r="S50" s="85">
        <v>1.2968082111947374E-2</v>
      </c>
      <c r="T50" s="85">
        <f t="shared" si="0"/>
        <v>3.8980992126799391E-3</v>
      </c>
      <c r="U50" s="85">
        <f>R50/'סכום נכסי הקרן'!$C$42</f>
        <v>3.2545159705287403E-4</v>
      </c>
    </row>
    <row r="51" spans="2:21" s="122" customFormat="1">
      <c r="B51" s="77" t="s">
        <v>447</v>
      </c>
      <c r="C51" s="74" t="s">
        <v>448</v>
      </c>
      <c r="D51" s="87" t="s">
        <v>123</v>
      </c>
      <c r="E51" s="87" t="s">
        <v>352</v>
      </c>
      <c r="F51" s="74" t="s">
        <v>405</v>
      </c>
      <c r="G51" s="87" t="s">
        <v>362</v>
      </c>
      <c r="H51" s="74" t="s">
        <v>416</v>
      </c>
      <c r="I51" s="74" t="s">
        <v>163</v>
      </c>
      <c r="J51" s="74"/>
      <c r="K51" s="84">
        <v>0.98999999999996913</v>
      </c>
      <c r="L51" s="87" t="s">
        <v>165</v>
      </c>
      <c r="M51" s="88">
        <v>4.0999999999999995E-2</v>
      </c>
      <c r="N51" s="88">
        <v>1.9499999999999927E-2</v>
      </c>
      <c r="O51" s="84">
        <v>11057197.308333002</v>
      </c>
      <c r="P51" s="86">
        <v>124.05</v>
      </c>
      <c r="Q51" s="74"/>
      <c r="R51" s="84">
        <v>13716.452806158</v>
      </c>
      <c r="S51" s="85">
        <v>1.4192062018772928E-2</v>
      </c>
      <c r="T51" s="85">
        <f t="shared" si="0"/>
        <v>3.1538794557640069E-3</v>
      </c>
      <c r="U51" s="85">
        <f>R51/'סכום נכסי הקרן'!$C$42</f>
        <v>2.6331682437732827E-4</v>
      </c>
    </row>
    <row r="52" spans="2:21" s="122" customFormat="1">
      <c r="B52" s="77" t="s">
        <v>449</v>
      </c>
      <c r="C52" s="74" t="s">
        <v>450</v>
      </c>
      <c r="D52" s="87" t="s">
        <v>123</v>
      </c>
      <c r="E52" s="87" t="s">
        <v>352</v>
      </c>
      <c r="F52" s="74" t="s">
        <v>405</v>
      </c>
      <c r="G52" s="87" t="s">
        <v>362</v>
      </c>
      <c r="H52" s="74" t="s">
        <v>416</v>
      </c>
      <c r="I52" s="74" t="s">
        <v>163</v>
      </c>
      <c r="J52" s="74"/>
      <c r="K52" s="84">
        <v>2.0500000000000456</v>
      </c>
      <c r="L52" s="87" t="s">
        <v>165</v>
      </c>
      <c r="M52" s="88">
        <v>4.2000000000000003E-2</v>
      </c>
      <c r="N52" s="88">
        <v>1.8499999999999933E-2</v>
      </c>
      <c r="O52" s="84">
        <v>6905826.1122099999</v>
      </c>
      <c r="P52" s="86">
        <v>110.7</v>
      </c>
      <c r="Q52" s="74"/>
      <c r="R52" s="84">
        <v>7644.749386513</v>
      </c>
      <c r="S52" s="85">
        <v>6.9215102544465763E-3</v>
      </c>
      <c r="T52" s="85">
        <f t="shared" si="0"/>
        <v>1.7577881377438477E-3</v>
      </c>
      <c r="U52" s="85">
        <f>R52/'סכום נכסי הקרן'!$C$42</f>
        <v>1.467574131639486E-4</v>
      </c>
    </row>
    <row r="53" spans="2:21" s="122" customFormat="1">
      <c r="B53" s="77" t="s">
        <v>451</v>
      </c>
      <c r="C53" s="74" t="s">
        <v>452</v>
      </c>
      <c r="D53" s="87" t="s">
        <v>123</v>
      </c>
      <c r="E53" s="87" t="s">
        <v>352</v>
      </c>
      <c r="F53" s="74" t="s">
        <v>405</v>
      </c>
      <c r="G53" s="87" t="s">
        <v>362</v>
      </c>
      <c r="H53" s="74" t="s">
        <v>416</v>
      </c>
      <c r="I53" s="74" t="s">
        <v>163</v>
      </c>
      <c r="J53" s="74"/>
      <c r="K53" s="84">
        <v>1.6200000000000372</v>
      </c>
      <c r="L53" s="87" t="s">
        <v>165</v>
      </c>
      <c r="M53" s="88">
        <v>0.04</v>
      </c>
      <c r="N53" s="88">
        <v>2.1400000000000287E-2</v>
      </c>
      <c r="O53" s="84">
        <v>25759383.358463999</v>
      </c>
      <c r="P53" s="86">
        <v>110.7</v>
      </c>
      <c r="Q53" s="74"/>
      <c r="R53" s="84">
        <v>28515.635540537001</v>
      </c>
      <c r="S53" s="85">
        <v>1.1824373715368897E-2</v>
      </c>
      <c r="T53" s="85">
        <f t="shared" si="0"/>
        <v>6.5567153819081677E-3</v>
      </c>
      <c r="U53" s="85">
        <f>R53/'סכום נכסי הקרן'!$C$42</f>
        <v>5.4741897936356229E-4</v>
      </c>
    </row>
    <row r="54" spans="2:21" s="122" customFormat="1">
      <c r="B54" s="77" t="s">
        <v>453</v>
      </c>
      <c r="C54" s="74" t="s">
        <v>454</v>
      </c>
      <c r="D54" s="87" t="s">
        <v>123</v>
      </c>
      <c r="E54" s="87" t="s">
        <v>352</v>
      </c>
      <c r="F54" s="74" t="s">
        <v>455</v>
      </c>
      <c r="G54" s="87" t="s">
        <v>3376</v>
      </c>
      <c r="H54" s="74" t="s">
        <v>456</v>
      </c>
      <c r="I54" s="74" t="s">
        <v>356</v>
      </c>
      <c r="J54" s="74"/>
      <c r="K54" s="84">
        <v>4.4300000000000317</v>
      </c>
      <c r="L54" s="87" t="s">
        <v>165</v>
      </c>
      <c r="M54" s="88">
        <v>2.3399999999999997E-2</v>
      </c>
      <c r="N54" s="88">
        <v>1.6300000000000134E-2</v>
      </c>
      <c r="O54" s="84">
        <v>42016569.980772004</v>
      </c>
      <c r="P54" s="86">
        <v>103.2</v>
      </c>
      <c r="Q54" s="74"/>
      <c r="R54" s="84">
        <v>43361.100507534</v>
      </c>
      <c r="S54" s="85">
        <v>1.3152955980687536E-2</v>
      </c>
      <c r="T54" s="85">
        <f t="shared" si="0"/>
        <v>9.970193168938931E-3</v>
      </c>
      <c r="U54" s="85">
        <f>R54/'סכום נכסי הקרן'!$C$42</f>
        <v>8.3240962138724612E-4</v>
      </c>
    </row>
    <row r="55" spans="2:21" s="122" customFormat="1">
      <c r="B55" s="77" t="s">
        <v>457</v>
      </c>
      <c r="C55" s="74" t="s">
        <v>458</v>
      </c>
      <c r="D55" s="87" t="s">
        <v>123</v>
      </c>
      <c r="E55" s="87" t="s">
        <v>352</v>
      </c>
      <c r="F55" s="74" t="s">
        <v>455</v>
      </c>
      <c r="G55" s="87" t="s">
        <v>3376</v>
      </c>
      <c r="H55" s="74" t="s">
        <v>456</v>
      </c>
      <c r="I55" s="74" t="s">
        <v>356</v>
      </c>
      <c r="J55" s="74"/>
      <c r="K55" s="84">
        <v>1.5699999999999765</v>
      </c>
      <c r="L55" s="87" t="s">
        <v>165</v>
      </c>
      <c r="M55" s="88">
        <v>0.03</v>
      </c>
      <c r="N55" s="88">
        <v>2.2099999999999852E-2</v>
      </c>
      <c r="O55" s="84">
        <v>8749574.9043729994</v>
      </c>
      <c r="P55" s="86">
        <v>103</v>
      </c>
      <c r="Q55" s="74"/>
      <c r="R55" s="84">
        <v>9012.0619172530005</v>
      </c>
      <c r="S55" s="85">
        <v>2.4243647092142193E-2</v>
      </c>
      <c r="T55" s="85">
        <f t="shared" si="0"/>
        <v>2.0721798366219683E-3</v>
      </c>
      <c r="U55" s="85">
        <f>R55/'סכום נכסי הקרן'!$C$42</f>
        <v>1.7300591914533078E-4</v>
      </c>
    </row>
    <row r="56" spans="2:21" s="122" customFormat="1">
      <c r="B56" s="77" t="s">
        <v>459</v>
      </c>
      <c r="C56" s="74" t="s">
        <v>460</v>
      </c>
      <c r="D56" s="87" t="s">
        <v>123</v>
      </c>
      <c r="E56" s="87" t="s">
        <v>352</v>
      </c>
      <c r="F56" s="74" t="s">
        <v>455</v>
      </c>
      <c r="G56" s="87" t="s">
        <v>3376</v>
      </c>
      <c r="H56" s="74" t="s">
        <v>456</v>
      </c>
      <c r="I56" s="74" t="s">
        <v>356</v>
      </c>
      <c r="J56" s="74"/>
      <c r="K56" s="84">
        <v>8</v>
      </c>
      <c r="L56" s="87" t="s">
        <v>165</v>
      </c>
      <c r="M56" s="88">
        <v>6.5000000000000006E-3</v>
      </c>
      <c r="N56" s="88">
        <v>1.9899999999999193E-2</v>
      </c>
      <c r="O56" s="84">
        <v>6354982.8893640004</v>
      </c>
      <c r="P56" s="86">
        <v>89.4</v>
      </c>
      <c r="Q56" s="74"/>
      <c r="R56" s="84">
        <v>5681.3549150539993</v>
      </c>
      <c r="S56" s="85">
        <v>2.1183276297880003E-2</v>
      </c>
      <c r="T56" s="85">
        <f t="shared" si="0"/>
        <v>1.3063369079976894E-3</v>
      </c>
      <c r="U56" s="85">
        <f>R56/'סכום נכסי הקרן'!$C$42</f>
        <v>1.0906583178129824E-4</v>
      </c>
    </row>
    <row r="57" spans="2:21" s="122" customFormat="1">
      <c r="B57" s="77" t="s">
        <v>461</v>
      </c>
      <c r="C57" s="74" t="s">
        <v>462</v>
      </c>
      <c r="D57" s="87" t="s">
        <v>123</v>
      </c>
      <c r="E57" s="87" t="s">
        <v>352</v>
      </c>
      <c r="F57" s="74" t="s">
        <v>463</v>
      </c>
      <c r="G57" s="87" t="s">
        <v>3376</v>
      </c>
      <c r="H57" s="74" t="s">
        <v>464</v>
      </c>
      <c r="I57" s="74" t="s">
        <v>163</v>
      </c>
      <c r="J57" s="74"/>
      <c r="K57" s="84">
        <v>1.2000000000000119</v>
      </c>
      <c r="L57" s="87" t="s">
        <v>165</v>
      </c>
      <c r="M57" s="88">
        <v>4.8000000000000001E-2</v>
      </c>
      <c r="N57" s="88">
        <v>3.1200000000000429E-2</v>
      </c>
      <c r="O57" s="84">
        <v>30965507.133802</v>
      </c>
      <c r="P57" s="86">
        <v>107.8</v>
      </c>
      <c r="Q57" s="74"/>
      <c r="R57" s="84">
        <v>33380.815735513002</v>
      </c>
      <c r="S57" s="85">
        <v>2.530706503314914E-2</v>
      </c>
      <c r="T57" s="85">
        <f t="shared" si="0"/>
        <v>7.675385936341597E-3</v>
      </c>
      <c r="U57" s="85">
        <f>R57/'סכום נכסי הקרן'!$C$42</f>
        <v>6.4081658128505969E-4</v>
      </c>
    </row>
    <row r="58" spans="2:21" s="122" customFormat="1">
      <c r="B58" s="77" t="s">
        <v>465</v>
      </c>
      <c r="C58" s="74" t="s">
        <v>466</v>
      </c>
      <c r="D58" s="87" t="s">
        <v>123</v>
      </c>
      <c r="E58" s="87" t="s">
        <v>352</v>
      </c>
      <c r="F58" s="74" t="s">
        <v>463</v>
      </c>
      <c r="G58" s="87" t="s">
        <v>3376</v>
      </c>
      <c r="H58" s="74" t="s">
        <v>464</v>
      </c>
      <c r="I58" s="74" t="s">
        <v>163</v>
      </c>
      <c r="J58" s="74"/>
      <c r="K58" s="84">
        <v>0.75</v>
      </c>
      <c r="L58" s="87" t="s">
        <v>165</v>
      </c>
      <c r="M58" s="88">
        <v>4.9000000000000002E-2</v>
      </c>
      <c r="N58" s="88">
        <v>2.0800000000000537E-2</v>
      </c>
      <c r="O58" s="84">
        <v>1991345.0942790001</v>
      </c>
      <c r="P58" s="86">
        <v>112</v>
      </c>
      <c r="Q58" s="74"/>
      <c r="R58" s="84">
        <v>2230.306522636</v>
      </c>
      <c r="S58" s="85">
        <v>2.0104064412870326E-2</v>
      </c>
      <c r="T58" s="85">
        <f t="shared" si="0"/>
        <v>5.1282339692374228E-4</v>
      </c>
      <c r="U58" s="85">
        <f>R58/'סכום נכסי הקרן'!$C$42</f>
        <v>4.2815532501587823E-5</v>
      </c>
    </row>
    <row r="59" spans="2:21" s="122" customFormat="1">
      <c r="B59" s="77" t="s">
        <v>467</v>
      </c>
      <c r="C59" s="74" t="s">
        <v>468</v>
      </c>
      <c r="D59" s="87" t="s">
        <v>123</v>
      </c>
      <c r="E59" s="87" t="s">
        <v>352</v>
      </c>
      <c r="F59" s="74" t="s">
        <v>463</v>
      </c>
      <c r="G59" s="87" t="s">
        <v>3376</v>
      </c>
      <c r="H59" s="74" t="s">
        <v>464</v>
      </c>
      <c r="I59" s="74" t="s">
        <v>163</v>
      </c>
      <c r="J59" s="74"/>
      <c r="K59" s="84">
        <v>5.0800000000000374</v>
      </c>
      <c r="L59" s="87" t="s">
        <v>165</v>
      </c>
      <c r="M59" s="88">
        <v>3.2000000000000001E-2</v>
      </c>
      <c r="N59" s="88">
        <v>1.660000000000008E-2</v>
      </c>
      <c r="O59" s="84">
        <v>33332332.21449</v>
      </c>
      <c r="P59" s="86">
        <v>110.35</v>
      </c>
      <c r="Q59" s="74"/>
      <c r="R59" s="84">
        <v>36782.230151045005</v>
      </c>
      <c r="S59" s="85">
        <v>2.0206115977591147E-2</v>
      </c>
      <c r="T59" s="85">
        <f t="shared" si="0"/>
        <v>8.4574869064167266E-3</v>
      </c>
      <c r="U59" s="85">
        <f>R59/'סכום נכסי הקרן'!$C$42</f>
        <v>7.0611404958437478E-4</v>
      </c>
    </row>
    <row r="60" spans="2:21" s="122" customFormat="1">
      <c r="B60" s="77" t="s">
        <v>469</v>
      </c>
      <c r="C60" s="74" t="s">
        <v>470</v>
      </c>
      <c r="D60" s="87" t="s">
        <v>123</v>
      </c>
      <c r="E60" s="87" t="s">
        <v>352</v>
      </c>
      <c r="F60" s="74" t="s">
        <v>463</v>
      </c>
      <c r="G60" s="87" t="s">
        <v>3376</v>
      </c>
      <c r="H60" s="74" t="s">
        <v>464</v>
      </c>
      <c r="I60" s="74" t="s">
        <v>163</v>
      </c>
      <c r="J60" s="74"/>
      <c r="K60" s="84">
        <v>7.5399999999998801</v>
      </c>
      <c r="L60" s="87" t="s">
        <v>165</v>
      </c>
      <c r="M60" s="88">
        <v>1.1399999999999999E-2</v>
      </c>
      <c r="N60" s="88">
        <v>1.8699999999999599E-2</v>
      </c>
      <c r="O60" s="84">
        <v>21867106.803358003</v>
      </c>
      <c r="P60" s="86">
        <v>93.9</v>
      </c>
      <c r="Q60" s="74"/>
      <c r="R60" s="84">
        <v>20533.213288786003</v>
      </c>
      <c r="S60" s="85">
        <v>1.3506693278038129E-2</v>
      </c>
      <c r="T60" s="85">
        <f t="shared" si="0"/>
        <v>4.7212847568905711E-3</v>
      </c>
      <c r="U60" s="85">
        <f>R60/'סכום נכסי הקרן'!$C$42</f>
        <v>3.9417920900352101E-4</v>
      </c>
    </row>
    <row r="61" spans="2:21" s="122" customFormat="1">
      <c r="B61" s="77" t="s">
        <v>471</v>
      </c>
      <c r="C61" s="74" t="s">
        <v>472</v>
      </c>
      <c r="D61" s="87" t="s">
        <v>123</v>
      </c>
      <c r="E61" s="87" t="s">
        <v>352</v>
      </c>
      <c r="F61" s="74" t="s">
        <v>473</v>
      </c>
      <c r="G61" s="87" t="s">
        <v>3376</v>
      </c>
      <c r="H61" s="74" t="s">
        <v>456</v>
      </c>
      <c r="I61" s="74" t="s">
        <v>356</v>
      </c>
      <c r="J61" s="74"/>
      <c r="K61" s="84">
        <v>5.9099999999997728</v>
      </c>
      <c r="L61" s="87" t="s">
        <v>165</v>
      </c>
      <c r="M61" s="88">
        <v>1.8200000000000001E-2</v>
      </c>
      <c r="N61" s="88">
        <v>2.1099999999999657E-2</v>
      </c>
      <c r="O61" s="84">
        <v>10418321.42821</v>
      </c>
      <c r="P61" s="86">
        <v>99.17</v>
      </c>
      <c r="Q61" s="74"/>
      <c r="R61" s="84">
        <v>10331.849585685</v>
      </c>
      <c r="S61" s="85">
        <v>2.3185315295894068E-2</v>
      </c>
      <c r="T61" s="85">
        <f t="shared" si="0"/>
        <v>2.3756439517443294E-3</v>
      </c>
      <c r="U61" s="85">
        <f>R61/'סכום נכסי הקרן'!$C$42</f>
        <v>1.9834208313868136E-4</v>
      </c>
    </row>
    <row r="62" spans="2:21" s="122" customFormat="1">
      <c r="B62" s="77" t="s">
        <v>474</v>
      </c>
      <c r="C62" s="74" t="s">
        <v>475</v>
      </c>
      <c r="D62" s="87" t="s">
        <v>123</v>
      </c>
      <c r="E62" s="87" t="s">
        <v>352</v>
      </c>
      <c r="F62" s="74" t="s">
        <v>473</v>
      </c>
      <c r="G62" s="87" t="s">
        <v>3376</v>
      </c>
      <c r="H62" s="74" t="s">
        <v>456</v>
      </c>
      <c r="I62" s="74" t="s">
        <v>356</v>
      </c>
      <c r="J62" s="74"/>
      <c r="K62" s="84">
        <v>7.0600000000002625</v>
      </c>
      <c r="L62" s="87" t="s">
        <v>165</v>
      </c>
      <c r="M62" s="88">
        <v>7.8000000000000005E-3</v>
      </c>
      <c r="N62" s="88">
        <v>2.189999999999373E-2</v>
      </c>
      <c r="O62" s="84">
        <v>762648.95291200001</v>
      </c>
      <c r="P62" s="86">
        <v>89.92</v>
      </c>
      <c r="Q62" s="74"/>
      <c r="R62" s="84">
        <v>685.77396509699997</v>
      </c>
      <c r="S62" s="85">
        <v>1.6637193562652705E-3</v>
      </c>
      <c r="T62" s="85">
        <f t="shared" si="0"/>
        <v>1.5768278070014141E-4</v>
      </c>
      <c r="U62" s="85">
        <f>R62/'סכום נכסי הקרן'!$C$42</f>
        <v>1.3164906793462031E-5</v>
      </c>
    </row>
    <row r="63" spans="2:21" s="122" customFormat="1">
      <c r="B63" s="77" t="s">
        <v>476</v>
      </c>
      <c r="C63" s="74" t="s">
        <v>477</v>
      </c>
      <c r="D63" s="87" t="s">
        <v>123</v>
      </c>
      <c r="E63" s="87" t="s">
        <v>352</v>
      </c>
      <c r="F63" s="74" t="s">
        <v>473</v>
      </c>
      <c r="G63" s="87" t="s">
        <v>3376</v>
      </c>
      <c r="H63" s="74" t="s">
        <v>456</v>
      </c>
      <c r="I63" s="74" t="s">
        <v>356</v>
      </c>
      <c r="J63" s="74"/>
      <c r="K63" s="84">
        <v>5.0099999999998586</v>
      </c>
      <c r="L63" s="87" t="s">
        <v>165</v>
      </c>
      <c r="M63" s="88">
        <v>2E-3</v>
      </c>
      <c r="N63" s="88">
        <v>1.6799999999999388E-2</v>
      </c>
      <c r="O63" s="84">
        <v>8528896.6127659995</v>
      </c>
      <c r="P63" s="86">
        <v>92.15</v>
      </c>
      <c r="Q63" s="74"/>
      <c r="R63" s="84">
        <v>7859.3778588110008</v>
      </c>
      <c r="S63" s="85">
        <v>2.2743724300709332E-2</v>
      </c>
      <c r="T63" s="85">
        <f t="shared" si="0"/>
        <v>1.8071385302227821E-3</v>
      </c>
      <c r="U63" s="85">
        <f>R63/'סכום נכסי הקרן'!$C$42</f>
        <v>1.5087766849126576E-4</v>
      </c>
    </row>
    <row r="64" spans="2:21" s="122" customFormat="1">
      <c r="B64" s="77" t="s">
        <v>478</v>
      </c>
      <c r="C64" s="74" t="s">
        <v>479</v>
      </c>
      <c r="D64" s="87" t="s">
        <v>123</v>
      </c>
      <c r="E64" s="87" t="s">
        <v>352</v>
      </c>
      <c r="F64" s="74" t="s">
        <v>375</v>
      </c>
      <c r="G64" s="87" t="s">
        <v>362</v>
      </c>
      <c r="H64" s="74" t="s">
        <v>464</v>
      </c>
      <c r="I64" s="74" t="s">
        <v>163</v>
      </c>
      <c r="J64" s="74"/>
      <c r="K64" s="84">
        <v>0.83000000000001017</v>
      </c>
      <c r="L64" s="87" t="s">
        <v>165</v>
      </c>
      <c r="M64" s="88">
        <v>0.04</v>
      </c>
      <c r="N64" s="88">
        <v>1.4399999999999982E-2</v>
      </c>
      <c r="O64" s="84">
        <v>38729802.998204999</v>
      </c>
      <c r="P64" s="86">
        <v>111.43</v>
      </c>
      <c r="Q64" s="74"/>
      <c r="R64" s="84">
        <v>43156.620059831999</v>
      </c>
      <c r="S64" s="85">
        <v>2.8688785463537723E-2</v>
      </c>
      <c r="T64" s="85">
        <f t="shared" si="0"/>
        <v>9.9231761527885723E-3</v>
      </c>
      <c r="U64" s="85">
        <f>R64/'סכום נכסי הקרן'!$C$42</f>
        <v>8.2848417922686685E-4</v>
      </c>
    </row>
    <row r="65" spans="2:21" s="122" customFormat="1">
      <c r="B65" s="77" t="s">
        <v>480</v>
      </c>
      <c r="C65" s="74" t="s">
        <v>481</v>
      </c>
      <c r="D65" s="87" t="s">
        <v>123</v>
      </c>
      <c r="E65" s="87" t="s">
        <v>352</v>
      </c>
      <c r="F65" s="74" t="s">
        <v>482</v>
      </c>
      <c r="G65" s="87" t="s">
        <v>3376</v>
      </c>
      <c r="H65" s="74" t="s">
        <v>464</v>
      </c>
      <c r="I65" s="74" t="s">
        <v>163</v>
      </c>
      <c r="J65" s="74"/>
      <c r="K65" s="84">
        <v>3.3000000000000043</v>
      </c>
      <c r="L65" s="87" t="s">
        <v>165</v>
      </c>
      <c r="M65" s="88">
        <v>4.7500000000000001E-2</v>
      </c>
      <c r="N65" s="88">
        <v>1.570000000000012E-2</v>
      </c>
      <c r="O65" s="84">
        <v>36666920.047412001</v>
      </c>
      <c r="P65" s="86">
        <v>134.51</v>
      </c>
      <c r="Q65" s="74"/>
      <c r="R65" s="84">
        <v>49320.674084005994</v>
      </c>
      <c r="S65" s="85">
        <v>1.9428241428184178E-2</v>
      </c>
      <c r="T65" s="85">
        <f t="shared" si="0"/>
        <v>1.1340502018724838E-2</v>
      </c>
      <c r="U65" s="85">
        <f>R65/'סכום נכסי הקרן'!$C$42</f>
        <v>9.468164589987257E-4</v>
      </c>
    </row>
    <row r="66" spans="2:21" s="122" customFormat="1">
      <c r="B66" s="77" t="s">
        <v>483</v>
      </c>
      <c r="C66" s="74" t="s">
        <v>484</v>
      </c>
      <c r="D66" s="87" t="s">
        <v>123</v>
      </c>
      <c r="E66" s="87" t="s">
        <v>352</v>
      </c>
      <c r="F66" s="74" t="s">
        <v>482</v>
      </c>
      <c r="G66" s="87" t="s">
        <v>3376</v>
      </c>
      <c r="H66" s="74" t="s">
        <v>464</v>
      </c>
      <c r="I66" s="74" t="s">
        <v>163</v>
      </c>
      <c r="J66" s="74"/>
      <c r="K66" s="84">
        <v>5.5000000000002673</v>
      </c>
      <c r="L66" s="87" t="s">
        <v>165</v>
      </c>
      <c r="M66" s="88">
        <v>5.0000000000000001E-3</v>
      </c>
      <c r="N66" s="88">
        <v>1.4700000000000863E-2</v>
      </c>
      <c r="O66" s="84">
        <v>9904046.9306109995</v>
      </c>
      <c r="P66" s="86">
        <v>94.74</v>
      </c>
      <c r="Q66" s="74"/>
      <c r="R66" s="84">
        <v>9383.0945089769994</v>
      </c>
      <c r="S66" s="85">
        <v>1.3128915597818839E-2</v>
      </c>
      <c r="T66" s="85">
        <f t="shared" si="0"/>
        <v>2.1574928606956441E-3</v>
      </c>
      <c r="U66" s="85">
        <f>R66/'סכום נכסי הקרן'!$C$42</f>
        <v>1.8012868806918777E-4</v>
      </c>
    </row>
    <row r="67" spans="2:21" s="122" customFormat="1">
      <c r="B67" s="77" t="s">
        <v>485</v>
      </c>
      <c r="C67" s="74" t="s">
        <v>486</v>
      </c>
      <c r="D67" s="87" t="s">
        <v>123</v>
      </c>
      <c r="E67" s="87" t="s">
        <v>352</v>
      </c>
      <c r="F67" s="74" t="s">
        <v>487</v>
      </c>
      <c r="G67" s="87" t="s">
        <v>488</v>
      </c>
      <c r="H67" s="74" t="s">
        <v>456</v>
      </c>
      <c r="I67" s="74" t="s">
        <v>356</v>
      </c>
      <c r="J67" s="74"/>
      <c r="K67" s="84">
        <v>1.2400000000006466</v>
      </c>
      <c r="L67" s="87" t="s">
        <v>165</v>
      </c>
      <c r="M67" s="88">
        <v>4.6500000000000007E-2</v>
      </c>
      <c r="N67" s="88">
        <v>1.549999999988688E-2</v>
      </c>
      <c r="O67" s="84">
        <v>48848.511858999998</v>
      </c>
      <c r="P67" s="86">
        <v>126.68</v>
      </c>
      <c r="Q67" s="74"/>
      <c r="R67" s="84">
        <v>61.881292254000002</v>
      </c>
      <c r="S67" s="85">
        <v>9.6413651955455735E-4</v>
      </c>
      <c r="T67" s="85">
        <f t="shared" si="0"/>
        <v>1.422861574301478E-5</v>
      </c>
      <c r="U67" s="85">
        <f>R67/'סכום נכסי הקרן'!$C$42</f>
        <v>1.1879445506037305E-6</v>
      </c>
    </row>
    <row r="68" spans="2:21" s="122" customFormat="1">
      <c r="B68" s="77" t="s">
        <v>489</v>
      </c>
      <c r="C68" s="74" t="s">
        <v>490</v>
      </c>
      <c r="D68" s="87" t="s">
        <v>123</v>
      </c>
      <c r="E68" s="87" t="s">
        <v>352</v>
      </c>
      <c r="F68" s="74" t="s">
        <v>491</v>
      </c>
      <c r="G68" s="87" t="s">
        <v>492</v>
      </c>
      <c r="H68" s="74" t="s">
        <v>464</v>
      </c>
      <c r="I68" s="74" t="s">
        <v>163</v>
      </c>
      <c r="J68" s="74"/>
      <c r="K68" s="84">
        <v>7.0099999999999483</v>
      </c>
      <c r="L68" s="87" t="s">
        <v>165</v>
      </c>
      <c r="M68" s="88">
        <v>3.85E-2</v>
      </c>
      <c r="N68" s="88">
        <v>1.2899999999999854E-2</v>
      </c>
      <c r="O68" s="84">
        <v>30378193.424094003</v>
      </c>
      <c r="P68" s="86">
        <v>120</v>
      </c>
      <c r="Q68" s="84">
        <v>914.50968375000014</v>
      </c>
      <c r="R68" s="84">
        <v>37368.341793095002</v>
      </c>
      <c r="S68" s="85">
        <v>1.1513615823281271E-2</v>
      </c>
      <c r="T68" s="85">
        <f t="shared" si="0"/>
        <v>8.592253926197212E-3</v>
      </c>
      <c r="U68" s="85">
        <f>R68/'סכום נכסי הקרן'!$C$42</f>
        <v>7.1736572365027455E-4</v>
      </c>
    </row>
    <row r="69" spans="2:21" s="122" customFormat="1">
      <c r="B69" s="77" t="s">
        <v>493</v>
      </c>
      <c r="C69" s="74" t="s">
        <v>494</v>
      </c>
      <c r="D69" s="87" t="s">
        <v>123</v>
      </c>
      <c r="E69" s="87" t="s">
        <v>352</v>
      </c>
      <c r="F69" s="74" t="s">
        <v>491</v>
      </c>
      <c r="G69" s="87" t="s">
        <v>492</v>
      </c>
      <c r="H69" s="74" t="s">
        <v>464</v>
      </c>
      <c r="I69" s="74" t="s">
        <v>163</v>
      </c>
      <c r="J69" s="74"/>
      <c r="K69" s="84">
        <v>4.9000000000000083</v>
      </c>
      <c r="L69" s="87" t="s">
        <v>165</v>
      </c>
      <c r="M69" s="88">
        <v>4.4999999999999998E-2</v>
      </c>
      <c r="N69" s="88">
        <v>1.3900000000000037E-2</v>
      </c>
      <c r="O69" s="84">
        <v>61926755.622312002</v>
      </c>
      <c r="P69" s="86">
        <v>118.3</v>
      </c>
      <c r="Q69" s="74"/>
      <c r="R69" s="84">
        <v>73259.353127765993</v>
      </c>
      <c r="S69" s="85">
        <v>2.095231658182815E-2</v>
      </c>
      <c r="T69" s="85">
        <f t="shared" si="0"/>
        <v>1.6844819286549902E-2</v>
      </c>
      <c r="U69" s="85">
        <f>R69/'סכום נכסי הקרן'!$C$42</f>
        <v>1.4063709104791438E-3</v>
      </c>
    </row>
    <row r="70" spans="2:21" s="122" customFormat="1">
      <c r="B70" s="77" t="s">
        <v>495</v>
      </c>
      <c r="C70" s="74" t="s">
        <v>496</v>
      </c>
      <c r="D70" s="87" t="s">
        <v>123</v>
      </c>
      <c r="E70" s="87" t="s">
        <v>352</v>
      </c>
      <c r="F70" s="74" t="s">
        <v>491</v>
      </c>
      <c r="G70" s="87" t="s">
        <v>492</v>
      </c>
      <c r="H70" s="74" t="s">
        <v>464</v>
      </c>
      <c r="I70" s="74" t="s">
        <v>163</v>
      </c>
      <c r="J70" s="74"/>
      <c r="K70" s="84">
        <v>9.5800000000000143</v>
      </c>
      <c r="L70" s="87" t="s">
        <v>165</v>
      </c>
      <c r="M70" s="88">
        <v>2.3900000000000001E-2</v>
      </c>
      <c r="N70" s="88">
        <v>1.5699999999999839E-2</v>
      </c>
      <c r="O70" s="84">
        <v>22493983.408000004</v>
      </c>
      <c r="P70" s="86">
        <v>108</v>
      </c>
      <c r="Q70" s="74"/>
      <c r="R70" s="84">
        <v>24293.501830827001</v>
      </c>
      <c r="S70" s="85">
        <v>1.8152181312132372E-2</v>
      </c>
      <c r="T70" s="85">
        <f t="shared" si="0"/>
        <v>5.5859031059701213E-3</v>
      </c>
      <c r="U70" s="85">
        <f>R70/'סכום נכסי הקרן'!$C$42</f>
        <v>4.6636603832634439E-4</v>
      </c>
    </row>
    <row r="71" spans="2:21" s="122" customFormat="1">
      <c r="B71" s="77" t="s">
        <v>497</v>
      </c>
      <c r="C71" s="74" t="s">
        <v>498</v>
      </c>
      <c r="D71" s="87" t="s">
        <v>123</v>
      </c>
      <c r="E71" s="87" t="s">
        <v>352</v>
      </c>
      <c r="F71" s="74" t="s">
        <v>499</v>
      </c>
      <c r="G71" s="87" t="s">
        <v>3376</v>
      </c>
      <c r="H71" s="74" t="s">
        <v>464</v>
      </c>
      <c r="I71" s="74" t="s">
        <v>163</v>
      </c>
      <c r="J71" s="74"/>
      <c r="K71" s="84">
        <v>5.1899999999999169</v>
      </c>
      <c r="L71" s="87" t="s">
        <v>165</v>
      </c>
      <c r="M71" s="88">
        <v>1.5800000000000002E-2</v>
      </c>
      <c r="N71" s="88">
        <v>1.7499999999999998E-2</v>
      </c>
      <c r="O71" s="84">
        <v>7642421.6834070003</v>
      </c>
      <c r="P71" s="86">
        <v>100.87</v>
      </c>
      <c r="Q71" s="74"/>
      <c r="R71" s="84">
        <v>7708.9104431559999</v>
      </c>
      <c r="S71" s="85">
        <v>1.6884876818567093E-2</v>
      </c>
      <c r="T71" s="85">
        <f t="shared" si="0"/>
        <v>1.7725409489309806E-3</v>
      </c>
      <c r="U71" s="85">
        <f>R71/'סכום נכסי הקרן'!$C$42</f>
        <v>1.4798912269721392E-4</v>
      </c>
    </row>
    <row r="72" spans="2:21" s="122" customFormat="1">
      <c r="B72" s="77" t="s">
        <v>500</v>
      </c>
      <c r="C72" s="74" t="s">
        <v>501</v>
      </c>
      <c r="D72" s="87" t="s">
        <v>123</v>
      </c>
      <c r="E72" s="87" t="s">
        <v>352</v>
      </c>
      <c r="F72" s="74" t="s">
        <v>499</v>
      </c>
      <c r="G72" s="87" t="s">
        <v>3376</v>
      </c>
      <c r="H72" s="74" t="s">
        <v>464</v>
      </c>
      <c r="I72" s="74" t="s">
        <v>163</v>
      </c>
      <c r="J72" s="74"/>
      <c r="K72" s="84">
        <v>8.0600000000007057</v>
      </c>
      <c r="L72" s="87" t="s">
        <v>165</v>
      </c>
      <c r="M72" s="88">
        <v>8.3999999999999995E-3</v>
      </c>
      <c r="N72" s="88">
        <v>2.1600000000001524E-2</v>
      </c>
      <c r="O72" s="84">
        <v>6426790.6056279996</v>
      </c>
      <c r="P72" s="86">
        <v>89.75</v>
      </c>
      <c r="Q72" s="74"/>
      <c r="R72" s="84">
        <v>5768.0443219819999</v>
      </c>
      <c r="S72" s="85">
        <v>2.5707162422512E-2</v>
      </c>
      <c r="T72" s="85">
        <f t="shared" si="0"/>
        <v>1.3262697538585261E-3</v>
      </c>
      <c r="U72" s="85">
        <f>R72/'סכום נכסי הקרן'!$C$42</f>
        <v>1.1073002147101066E-4</v>
      </c>
    </row>
    <row r="73" spans="2:21" s="122" customFormat="1">
      <c r="B73" s="77" t="s">
        <v>502</v>
      </c>
      <c r="C73" s="74" t="s">
        <v>503</v>
      </c>
      <c r="D73" s="87" t="s">
        <v>123</v>
      </c>
      <c r="E73" s="87" t="s">
        <v>352</v>
      </c>
      <c r="F73" s="74" t="s">
        <v>504</v>
      </c>
      <c r="G73" s="87" t="s">
        <v>488</v>
      </c>
      <c r="H73" s="74" t="s">
        <v>464</v>
      </c>
      <c r="I73" s="74" t="s">
        <v>163</v>
      </c>
      <c r="J73" s="74"/>
      <c r="K73" s="84">
        <v>0.6500000000045445</v>
      </c>
      <c r="L73" s="87" t="s">
        <v>165</v>
      </c>
      <c r="M73" s="88">
        <v>4.8899999999999999E-2</v>
      </c>
      <c r="N73" s="88">
        <v>3.3500000000119809E-2</v>
      </c>
      <c r="O73" s="84">
        <v>96744.053132999979</v>
      </c>
      <c r="P73" s="86">
        <v>125.1</v>
      </c>
      <c r="Q73" s="74"/>
      <c r="R73" s="84">
        <v>121.026812173</v>
      </c>
      <c r="S73" s="85">
        <v>2.5995267665743448E-3</v>
      </c>
      <c r="T73" s="85">
        <f t="shared" si="0"/>
        <v>2.7828184291033899E-5</v>
      </c>
      <c r="U73" s="85">
        <f>R73/'סכום נכסי הקרן'!$C$42</f>
        <v>2.3233700648609691E-6</v>
      </c>
    </row>
    <row r="74" spans="2:21" s="122" customFormat="1">
      <c r="B74" s="77" t="s">
        <v>505</v>
      </c>
      <c r="C74" s="74" t="s">
        <v>506</v>
      </c>
      <c r="D74" s="87" t="s">
        <v>123</v>
      </c>
      <c r="E74" s="87" t="s">
        <v>352</v>
      </c>
      <c r="F74" s="74" t="s">
        <v>375</v>
      </c>
      <c r="G74" s="87" t="s">
        <v>362</v>
      </c>
      <c r="H74" s="74" t="s">
        <v>456</v>
      </c>
      <c r="I74" s="74" t="s">
        <v>356</v>
      </c>
      <c r="J74" s="74"/>
      <c r="K74" s="84">
        <v>3.2400000000000722</v>
      </c>
      <c r="L74" s="87" t="s">
        <v>165</v>
      </c>
      <c r="M74" s="88">
        <v>1.6399999999999998E-2</v>
      </c>
      <c r="N74" s="88">
        <v>3.4700000000000564E-2</v>
      </c>
      <c r="O74" s="84">
        <f>18197153.024/50000</f>
        <v>363.94306047999999</v>
      </c>
      <c r="P74" s="86">
        <v>4738000</v>
      </c>
      <c r="Q74" s="74"/>
      <c r="R74" s="84">
        <v>17243.622521148998</v>
      </c>
      <c r="S74" s="85">
        <f>148233.569762137%/50000</f>
        <v>2.9646713952427399E-2</v>
      </c>
      <c r="T74" s="85">
        <f t="shared" si="0"/>
        <v>3.9648958503313292E-3</v>
      </c>
      <c r="U74" s="85">
        <f>R74/'סכום נכסי הקרן'!$C$42</f>
        <v>3.3102843622892503E-4</v>
      </c>
    </row>
    <row r="75" spans="2:21" s="122" customFormat="1">
      <c r="B75" s="77" t="s">
        <v>507</v>
      </c>
      <c r="C75" s="74" t="s">
        <v>508</v>
      </c>
      <c r="D75" s="87" t="s">
        <v>123</v>
      </c>
      <c r="E75" s="87" t="s">
        <v>352</v>
      </c>
      <c r="F75" s="74" t="s">
        <v>375</v>
      </c>
      <c r="G75" s="87" t="s">
        <v>362</v>
      </c>
      <c r="H75" s="74" t="s">
        <v>456</v>
      </c>
      <c r="I75" s="74" t="s">
        <v>356</v>
      </c>
      <c r="J75" s="74"/>
      <c r="K75" s="84">
        <v>7.4199999999998036</v>
      </c>
      <c r="L75" s="87" t="s">
        <v>165</v>
      </c>
      <c r="M75" s="88">
        <v>2.7799999999999998E-2</v>
      </c>
      <c r="N75" s="88">
        <v>3.2899999999999499E-2</v>
      </c>
      <c r="O75" s="84">
        <f>6866581.9614/50000</f>
        <v>137.331639228</v>
      </c>
      <c r="P75" s="86">
        <v>4855001</v>
      </c>
      <c r="Q75" s="74"/>
      <c r="R75" s="84">
        <v>6667.4527933459995</v>
      </c>
      <c r="S75" s="85">
        <f>164193.734131994%/50000</f>
        <v>3.2838746826398799E-2</v>
      </c>
      <c r="T75" s="85">
        <f t="shared" ref="T75:T141" si="1">R75/$R$11</f>
        <v>1.5330743804090234E-3</v>
      </c>
      <c r="U75" s="85">
        <f>R75/'סכום נכסי הקרן'!$C$42</f>
        <v>1.2799610227517535E-4</v>
      </c>
    </row>
    <row r="76" spans="2:21" s="122" customFormat="1">
      <c r="B76" s="77" t="s">
        <v>509</v>
      </c>
      <c r="C76" s="74" t="s">
        <v>510</v>
      </c>
      <c r="D76" s="87" t="s">
        <v>123</v>
      </c>
      <c r="E76" s="87" t="s">
        <v>352</v>
      </c>
      <c r="F76" s="74" t="s">
        <v>375</v>
      </c>
      <c r="G76" s="87" t="s">
        <v>362</v>
      </c>
      <c r="H76" s="74" t="s">
        <v>456</v>
      </c>
      <c r="I76" s="74" t="s">
        <v>356</v>
      </c>
      <c r="J76" s="74"/>
      <c r="K76" s="84">
        <v>4.6799999999999224</v>
      </c>
      <c r="L76" s="87" t="s">
        <v>165</v>
      </c>
      <c r="M76" s="88">
        <v>2.4199999999999999E-2</v>
      </c>
      <c r="N76" s="88">
        <v>2.6099999999999835E-2</v>
      </c>
      <c r="O76" s="84">
        <f>14635913.3111/50000</f>
        <v>292.71826622200001</v>
      </c>
      <c r="P76" s="86">
        <v>4972667</v>
      </c>
      <c r="Q76" s="74"/>
      <c r="R76" s="84">
        <v>14555.903431784</v>
      </c>
      <c r="S76" s="85">
        <f>50778.591094265%/50000</f>
        <v>1.0155718218852999E-2</v>
      </c>
      <c r="T76" s="85">
        <f t="shared" si="1"/>
        <v>3.3468977324063085E-3</v>
      </c>
      <c r="U76" s="85">
        <f>R76/'סכום נכסי הקרן'!$C$42</f>
        <v>2.7943188532531351E-4</v>
      </c>
    </row>
    <row r="77" spans="2:21" s="122" customFormat="1">
      <c r="B77" s="77" t="s">
        <v>511</v>
      </c>
      <c r="C77" s="74" t="s">
        <v>512</v>
      </c>
      <c r="D77" s="87" t="s">
        <v>123</v>
      </c>
      <c r="E77" s="87" t="s">
        <v>352</v>
      </c>
      <c r="F77" s="74" t="s">
        <v>375</v>
      </c>
      <c r="G77" s="87" t="s">
        <v>362</v>
      </c>
      <c r="H77" s="74" t="s">
        <v>456</v>
      </c>
      <c r="I77" s="74" t="s">
        <v>356</v>
      </c>
      <c r="J77" s="74"/>
      <c r="K77" s="84">
        <v>4.2899999999999769</v>
      </c>
      <c r="L77" s="87" t="s">
        <v>165</v>
      </c>
      <c r="M77" s="88">
        <v>1.95E-2</v>
      </c>
      <c r="N77" s="88">
        <v>2.5599999999999873E-2</v>
      </c>
      <c r="O77" s="84">
        <f>22312837.2431/50000</f>
        <v>446.25674486199995</v>
      </c>
      <c r="P77" s="86">
        <v>4873513</v>
      </c>
      <c r="Q77" s="74"/>
      <c r="R77" s="84">
        <v>21748.382178788001</v>
      </c>
      <c r="S77" s="85">
        <f>89902.2411986784%/50000</f>
        <v>1.7980448239735679E-2</v>
      </c>
      <c r="T77" s="85">
        <f t="shared" si="1"/>
        <v>5.0006934532657926E-3</v>
      </c>
      <c r="U77" s="85">
        <f>R77/'סכום נכסי הקרן'!$C$42</f>
        <v>4.1750699044376313E-4</v>
      </c>
    </row>
    <row r="78" spans="2:21" s="122" customFormat="1">
      <c r="B78" s="77" t="s">
        <v>513</v>
      </c>
      <c r="C78" s="74" t="s">
        <v>514</v>
      </c>
      <c r="D78" s="87" t="s">
        <v>123</v>
      </c>
      <c r="E78" s="87" t="s">
        <v>352</v>
      </c>
      <c r="F78" s="74" t="s">
        <v>375</v>
      </c>
      <c r="G78" s="87" t="s">
        <v>362</v>
      </c>
      <c r="H78" s="74" t="s">
        <v>464</v>
      </c>
      <c r="I78" s="74" t="s">
        <v>163</v>
      </c>
      <c r="J78" s="74"/>
      <c r="K78" s="84">
        <v>0.36000000000001187</v>
      </c>
      <c r="L78" s="87" t="s">
        <v>165</v>
      </c>
      <c r="M78" s="88">
        <v>0.05</v>
      </c>
      <c r="N78" s="88">
        <v>8.1599999999999215E-2</v>
      </c>
      <c r="O78" s="84">
        <v>24427945.154895</v>
      </c>
      <c r="P78" s="86">
        <v>109.96</v>
      </c>
      <c r="Q78" s="74"/>
      <c r="R78" s="84">
        <v>26860.970168963002</v>
      </c>
      <c r="S78" s="85">
        <v>2.4427969582864584E-2</v>
      </c>
      <c r="T78" s="85">
        <f t="shared" si="1"/>
        <v>6.1762514824349407E-3</v>
      </c>
      <c r="U78" s="85">
        <f>R78/'סכום נכסי הקרן'!$C$42</f>
        <v>5.1565411732471293E-4</v>
      </c>
    </row>
    <row r="79" spans="2:21" s="122" customFormat="1">
      <c r="B79" s="77" t="s">
        <v>515</v>
      </c>
      <c r="C79" s="74" t="s">
        <v>516</v>
      </c>
      <c r="D79" s="87" t="s">
        <v>123</v>
      </c>
      <c r="E79" s="87" t="s">
        <v>352</v>
      </c>
      <c r="F79" s="74" t="s">
        <v>517</v>
      </c>
      <c r="G79" s="87" t="s">
        <v>3376</v>
      </c>
      <c r="H79" s="74" t="s">
        <v>456</v>
      </c>
      <c r="I79" s="74" t="s">
        <v>356</v>
      </c>
      <c r="J79" s="74"/>
      <c r="K79" s="84">
        <v>3.5500000000000278</v>
      </c>
      <c r="L79" s="87" t="s">
        <v>165</v>
      </c>
      <c r="M79" s="88">
        <v>2.8500000000000001E-2</v>
      </c>
      <c r="N79" s="88">
        <v>1.6900000000000501E-2</v>
      </c>
      <c r="O79" s="84">
        <v>16618607.067311</v>
      </c>
      <c r="P79" s="86">
        <v>107.66</v>
      </c>
      <c r="Q79" s="74"/>
      <c r="R79" s="84">
        <v>17891.59284329</v>
      </c>
      <c r="S79" s="85">
        <v>2.4331781943354319E-2</v>
      </c>
      <c r="T79" s="85">
        <f t="shared" si="1"/>
        <v>4.113886286548761E-3</v>
      </c>
      <c r="U79" s="85">
        <f>R79/'סכום נכסי הקרן'!$C$42</f>
        <v>3.4346762075630679E-4</v>
      </c>
    </row>
    <row r="80" spans="2:21" s="122" customFormat="1">
      <c r="B80" s="77" t="s">
        <v>518</v>
      </c>
      <c r="C80" s="74" t="s">
        <v>519</v>
      </c>
      <c r="D80" s="87" t="s">
        <v>123</v>
      </c>
      <c r="E80" s="87" t="s">
        <v>352</v>
      </c>
      <c r="F80" s="74" t="s">
        <v>520</v>
      </c>
      <c r="G80" s="87" t="s">
        <v>3376</v>
      </c>
      <c r="H80" s="74" t="s">
        <v>456</v>
      </c>
      <c r="I80" s="74" t="s">
        <v>356</v>
      </c>
      <c r="J80" s="74"/>
      <c r="K80" s="84">
        <v>0.2700000000000855</v>
      </c>
      <c r="L80" s="87" t="s">
        <v>165</v>
      </c>
      <c r="M80" s="88">
        <v>5.0999999999999997E-2</v>
      </c>
      <c r="N80" s="88">
        <v>4.8700000000002408E-2</v>
      </c>
      <c r="O80" s="84">
        <v>5708676.9529889999</v>
      </c>
      <c r="P80" s="86">
        <v>112.64</v>
      </c>
      <c r="Q80" s="74"/>
      <c r="R80" s="84">
        <v>6430.2536906350006</v>
      </c>
      <c r="S80" s="85">
        <v>1.2850197177702008E-2</v>
      </c>
      <c r="T80" s="85">
        <f t="shared" si="1"/>
        <v>1.4785342316155966E-3</v>
      </c>
      <c r="U80" s="85">
        <f>R80/'סכום נכסי הקרן'!$C$42</f>
        <v>1.2344255513338289E-4</v>
      </c>
    </row>
    <row r="81" spans="2:21" s="122" customFormat="1">
      <c r="B81" s="77" t="s">
        <v>521</v>
      </c>
      <c r="C81" s="74" t="s">
        <v>522</v>
      </c>
      <c r="D81" s="87" t="s">
        <v>123</v>
      </c>
      <c r="E81" s="87" t="s">
        <v>352</v>
      </c>
      <c r="F81" s="74" t="s">
        <v>520</v>
      </c>
      <c r="G81" s="87" t="s">
        <v>3376</v>
      </c>
      <c r="H81" s="74" t="s">
        <v>456</v>
      </c>
      <c r="I81" s="74" t="s">
        <v>356</v>
      </c>
      <c r="J81" s="74"/>
      <c r="K81" s="84">
        <v>1.6799999999999815</v>
      </c>
      <c r="L81" s="87" t="s">
        <v>165</v>
      </c>
      <c r="M81" s="88">
        <v>2.5499999999999998E-2</v>
      </c>
      <c r="N81" s="88">
        <v>3.1099999999999947E-2</v>
      </c>
      <c r="O81" s="84">
        <v>23492834.502071001</v>
      </c>
      <c r="P81" s="86">
        <v>101</v>
      </c>
      <c r="Q81" s="74"/>
      <c r="R81" s="84">
        <v>23727.761903783001</v>
      </c>
      <c r="S81" s="85">
        <v>2.1320151078153198E-2</v>
      </c>
      <c r="T81" s="85">
        <f t="shared" si="1"/>
        <v>5.4558202369933521E-3</v>
      </c>
      <c r="U81" s="85">
        <f>R81/'סכום נכסי הקרן'!$C$42</f>
        <v>4.5550544316242509E-4</v>
      </c>
    </row>
    <row r="82" spans="2:21" s="122" customFormat="1">
      <c r="B82" s="77" t="s">
        <v>523</v>
      </c>
      <c r="C82" s="74" t="s">
        <v>524</v>
      </c>
      <c r="D82" s="87" t="s">
        <v>123</v>
      </c>
      <c r="E82" s="87" t="s">
        <v>352</v>
      </c>
      <c r="F82" s="74" t="s">
        <v>520</v>
      </c>
      <c r="G82" s="87" t="s">
        <v>3376</v>
      </c>
      <c r="H82" s="74" t="s">
        <v>456</v>
      </c>
      <c r="I82" s="74" t="s">
        <v>356</v>
      </c>
      <c r="J82" s="74"/>
      <c r="K82" s="84">
        <v>6.050000000000078</v>
      </c>
      <c r="L82" s="87" t="s">
        <v>165</v>
      </c>
      <c r="M82" s="88">
        <v>2.35E-2</v>
      </c>
      <c r="N82" s="88">
        <v>2.4600000000000698E-2</v>
      </c>
      <c r="O82" s="84">
        <v>16182402.663946999</v>
      </c>
      <c r="P82" s="86">
        <v>100.7</v>
      </c>
      <c r="Q82" s="84">
        <v>370.96345300500002</v>
      </c>
      <c r="R82" s="84">
        <v>16666.642935354001</v>
      </c>
      <c r="S82" s="85">
        <v>2.083991892962464E-2</v>
      </c>
      <c r="T82" s="85">
        <f t="shared" si="1"/>
        <v>3.8322286011707369E-3</v>
      </c>
      <c r="U82" s="85">
        <f>R82/'סכום נכסי הקרן'!$C$42</f>
        <v>3.1995207163166732E-4</v>
      </c>
    </row>
    <row r="83" spans="2:21" s="122" customFormat="1">
      <c r="B83" s="77" t="s">
        <v>525</v>
      </c>
      <c r="C83" s="74" t="s">
        <v>526</v>
      </c>
      <c r="D83" s="87" t="s">
        <v>123</v>
      </c>
      <c r="E83" s="87" t="s">
        <v>352</v>
      </c>
      <c r="F83" s="74" t="s">
        <v>520</v>
      </c>
      <c r="G83" s="87" t="s">
        <v>3376</v>
      </c>
      <c r="H83" s="74" t="s">
        <v>456</v>
      </c>
      <c r="I83" s="74" t="s">
        <v>356</v>
      </c>
      <c r="J83" s="74"/>
      <c r="K83" s="84">
        <v>4.7500000000000604</v>
      </c>
      <c r="L83" s="87" t="s">
        <v>165</v>
      </c>
      <c r="M83" s="88">
        <v>1.7600000000000001E-2</v>
      </c>
      <c r="N83" s="88">
        <v>2.2200000000000161E-2</v>
      </c>
      <c r="O83" s="84">
        <v>25076158.244371001</v>
      </c>
      <c r="P83" s="86">
        <v>100</v>
      </c>
      <c r="Q83" s="74"/>
      <c r="R83" s="84">
        <v>25076.158048630001</v>
      </c>
      <c r="S83" s="85">
        <v>1.9623088889313949E-2</v>
      </c>
      <c r="T83" s="85">
        <f t="shared" si="1"/>
        <v>5.7658624147752854E-3</v>
      </c>
      <c r="U83" s="85">
        <f>R83/'סכום נכסי הקרן'!$C$42</f>
        <v>4.8139080841548391E-4</v>
      </c>
    </row>
    <row r="84" spans="2:21" s="122" customFormat="1">
      <c r="B84" s="77" t="s">
        <v>527</v>
      </c>
      <c r="C84" s="74" t="s">
        <v>528</v>
      </c>
      <c r="D84" s="87" t="s">
        <v>123</v>
      </c>
      <c r="E84" s="87" t="s">
        <v>352</v>
      </c>
      <c r="F84" s="74" t="s">
        <v>520</v>
      </c>
      <c r="G84" s="87" t="s">
        <v>3376</v>
      </c>
      <c r="H84" s="74" t="s">
        <v>456</v>
      </c>
      <c r="I84" s="74" t="s">
        <v>356</v>
      </c>
      <c r="J84" s="74"/>
      <c r="K84" s="84">
        <v>5.280000000000002</v>
      </c>
      <c r="L84" s="87" t="s">
        <v>165</v>
      </c>
      <c r="M84" s="88">
        <v>2.1499999999999998E-2</v>
      </c>
      <c r="N84" s="88">
        <v>2.4200000000000027E-2</v>
      </c>
      <c r="O84" s="84">
        <v>23931549.214517001</v>
      </c>
      <c r="P84" s="86">
        <v>101.5</v>
      </c>
      <c r="Q84" s="74"/>
      <c r="R84" s="84">
        <v>24290.523179706997</v>
      </c>
      <c r="S84" s="85">
        <v>1.898273196939761E-2</v>
      </c>
      <c r="T84" s="85">
        <f t="shared" si="1"/>
        <v>5.5852182126740176E-3</v>
      </c>
      <c r="U84" s="85">
        <f>R84/'סכום נכסי הקרן'!$C$42</f>
        <v>4.6630885670913394E-4</v>
      </c>
    </row>
    <row r="85" spans="2:21" s="122" customFormat="1">
      <c r="B85" s="77" t="s">
        <v>529</v>
      </c>
      <c r="C85" s="74" t="s">
        <v>530</v>
      </c>
      <c r="D85" s="87" t="s">
        <v>123</v>
      </c>
      <c r="E85" s="87" t="s">
        <v>352</v>
      </c>
      <c r="F85" s="74" t="s">
        <v>520</v>
      </c>
      <c r="G85" s="87" t="s">
        <v>3376</v>
      </c>
      <c r="H85" s="74" t="s">
        <v>456</v>
      </c>
      <c r="I85" s="74" t="s">
        <v>356</v>
      </c>
      <c r="J85" s="74"/>
      <c r="K85" s="84">
        <v>7.3399999999998684</v>
      </c>
      <c r="L85" s="87" t="s">
        <v>165</v>
      </c>
      <c r="M85" s="88">
        <v>6.5000000000000006E-3</v>
      </c>
      <c r="N85" s="88">
        <v>1.8300000000000139E-2</v>
      </c>
      <c r="O85" s="84">
        <v>10633598.079528</v>
      </c>
      <c r="P85" s="86">
        <v>91.71</v>
      </c>
      <c r="Q85" s="74"/>
      <c r="R85" s="84">
        <v>9752.0731188419995</v>
      </c>
      <c r="S85" s="85">
        <v>2.6583995198820001E-2</v>
      </c>
      <c r="T85" s="85">
        <f t="shared" si="1"/>
        <v>2.2423336044152696E-3</v>
      </c>
      <c r="U85" s="85">
        <f>R85/'סכום נכסי הקרן'!$C$42</f>
        <v>1.8721202639184755E-4</v>
      </c>
    </row>
    <row r="86" spans="2:21" s="122" customFormat="1">
      <c r="B86" s="77" t="s">
        <v>531</v>
      </c>
      <c r="C86" s="74" t="s">
        <v>532</v>
      </c>
      <c r="D86" s="87" t="s">
        <v>123</v>
      </c>
      <c r="E86" s="87" t="s">
        <v>352</v>
      </c>
      <c r="F86" s="74" t="s">
        <v>405</v>
      </c>
      <c r="G86" s="87" t="s">
        <v>362</v>
      </c>
      <c r="H86" s="74" t="s">
        <v>456</v>
      </c>
      <c r="I86" s="74" t="s">
        <v>356</v>
      </c>
      <c r="J86" s="74"/>
      <c r="K86" s="84">
        <v>0.25</v>
      </c>
      <c r="L86" s="87" t="s">
        <v>165</v>
      </c>
      <c r="M86" s="88">
        <v>6.5000000000000002E-2</v>
      </c>
      <c r="N86" s="88">
        <v>9.0899999999999398E-2</v>
      </c>
      <c r="O86" s="84">
        <v>48081256.669434004</v>
      </c>
      <c r="P86" s="86">
        <v>110.66</v>
      </c>
      <c r="Q86" s="84">
        <v>869.4710461599999</v>
      </c>
      <c r="R86" s="84">
        <v>54076.193376036004</v>
      </c>
      <c r="S86" s="85">
        <v>3.052778201233905E-2</v>
      </c>
      <c r="T86" s="85">
        <f t="shared" si="1"/>
        <v>1.2433957798333495E-2</v>
      </c>
      <c r="U86" s="85">
        <f>R86/'סכום נכסי הקרן'!$C$42</f>
        <v>1.0381088839382321E-3</v>
      </c>
    </row>
    <row r="87" spans="2:21" s="122" customFormat="1">
      <c r="B87" s="77" t="s">
        <v>533</v>
      </c>
      <c r="C87" s="74" t="s">
        <v>534</v>
      </c>
      <c r="D87" s="87" t="s">
        <v>123</v>
      </c>
      <c r="E87" s="87" t="s">
        <v>352</v>
      </c>
      <c r="F87" s="74" t="s">
        <v>535</v>
      </c>
      <c r="G87" s="87" t="s">
        <v>3376</v>
      </c>
      <c r="H87" s="74" t="s">
        <v>456</v>
      </c>
      <c r="I87" s="74" t="s">
        <v>356</v>
      </c>
      <c r="J87" s="74"/>
      <c r="K87" s="84">
        <v>7.0300000000002312</v>
      </c>
      <c r="L87" s="87" t="s">
        <v>165</v>
      </c>
      <c r="M87" s="88">
        <v>3.5000000000000003E-2</v>
      </c>
      <c r="N87" s="88">
        <v>1.6600000000000458E-2</v>
      </c>
      <c r="O87" s="84">
        <v>7927955.3395649996</v>
      </c>
      <c r="P87" s="86">
        <v>115.54</v>
      </c>
      <c r="Q87" s="74"/>
      <c r="R87" s="84">
        <v>9159.9601901629994</v>
      </c>
      <c r="S87" s="85">
        <v>1.7936051416589539E-2</v>
      </c>
      <c r="T87" s="85">
        <f t="shared" si="1"/>
        <v>2.1061866845341641E-3</v>
      </c>
      <c r="U87" s="85">
        <f>R87/'סכום נכסי הקרן'!$C$42</f>
        <v>1.7584514471654178E-4</v>
      </c>
    </row>
    <row r="88" spans="2:21" s="122" customFormat="1">
      <c r="B88" s="77" t="s">
        <v>536</v>
      </c>
      <c r="C88" s="74" t="s">
        <v>537</v>
      </c>
      <c r="D88" s="87" t="s">
        <v>123</v>
      </c>
      <c r="E88" s="87" t="s">
        <v>352</v>
      </c>
      <c r="F88" s="74" t="s">
        <v>535</v>
      </c>
      <c r="G88" s="87" t="s">
        <v>3376</v>
      </c>
      <c r="H88" s="74" t="s">
        <v>456</v>
      </c>
      <c r="I88" s="74" t="s">
        <v>356</v>
      </c>
      <c r="J88" s="74"/>
      <c r="K88" s="84">
        <v>2.8500000000000179</v>
      </c>
      <c r="L88" s="87" t="s">
        <v>165</v>
      </c>
      <c r="M88" s="88">
        <v>0.04</v>
      </c>
      <c r="N88" s="88">
        <v>1.920000000000056E-2</v>
      </c>
      <c r="O88" s="84">
        <v>5389378.5321690002</v>
      </c>
      <c r="P88" s="86">
        <v>106.01</v>
      </c>
      <c r="Q88" s="74"/>
      <c r="R88" s="84">
        <v>5713.280302354</v>
      </c>
      <c r="S88" s="85">
        <v>8.135311728199153E-3</v>
      </c>
      <c r="T88" s="85">
        <f t="shared" si="1"/>
        <v>1.3136776413888748E-3</v>
      </c>
      <c r="U88" s="85">
        <f>R88/'סכום נכסי הקרן'!$C$42</f>
        <v>1.0967870828221679E-4</v>
      </c>
    </row>
    <row r="89" spans="2:21" s="122" customFormat="1">
      <c r="B89" s="77" t="s">
        <v>538</v>
      </c>
      <c r="C89" s="74" t="s">
        <v>539</v>
      </c>
      <c r="D89" s="87" t="s">
        <v>123</v>
      </c>
      <c r="E89" s="87" t="s">
        <v>352</v>
      </c>
      <c r="F89" s="74" t="s">
        <v>535</v>
      </c>
      <c r="G89" s="87" t="s">
        <v>3376</v>
      </c>
      <c r="H89" s="74" t="s">
        <v>456</v>
      </c>
      <c r="I89" s="74" t="s">
        <v>356</v>
      </c>
      <c r="J89" s="74"/>
      <c r="K89" s="84">
        <v>5.6199999999998962</v>
      </c>
      <c r="L89" s="87" t="s">
        <v>165</v>
      </c>
      <c r="M89" s="88">
        <v>0.04</v>
      </c>
      <c r="N89" s="88">
        <v>1.2699999999999901E-2</v>
      </c>
      <c r="O89" s="84">
        <v>18996209.053300999</v>
      </c>
      <c r="P89" s="86">
        <v>117.1</v>
      </c>
      <c r="Q89" s="74"/>
      <c r="R89" s="84">
        <v>22244.560737386</v>
      </c>
      <c r="S89" s="85">
        <v>1.8879121159212229E-2</v>
      </c>
      <c r="T89" s="85">
        <f t="shared" si="1"/>
        <v>5.1147817955265757E-3</v>
      </c>
      <c r="U89" s="85">
        <f>R89/'סכום נכסי הקרן'!$C$42</f>
        <v>4.2703220546987314E-4</v>
      </c>
    </row>
    <row r="90" spans="2:21" s="122" customFormat="1">
      <c r="B90" s="77" t="s">
        <v>540</v>
      </c>
      <c r="C90" s="74" t="s">
        <v>541</v>
      </c>
      <c r="D90" s="87" t="s">
        <v>123</v>
      </c>
      <c r="E90" s="87" t="s">
        <v>352</v>
      </c>
      <c r="F90" s="74" t="s">
        <v>542</v>
      </c>
      <c r="G90" s="87" t="s">
        <v>154</v>
      </c>
      <c r="H90" s="74" t="s">
        <v>456</v>
      </c>
      <c r="I90" s="74" t="s">
        <v>356</v>
      </c>
      <c r="J90" s="74"/>
      <c r="K90" s="84">
        <v>4.7000000000013671</v>
      </c>
      <c r="L90" s="87" t="s">
        <v>165</v>
      </c>
      <c r="M90" s="88">
        <v>2.9900000000000003E-2</v>
      </c>
      <c r="N90" s="88">
        <v>1.3299999999997116E-2</v>
      </c>
      <c r="O90" s="84">
        <v>602843.838109</v>
      </c>
      <c r="P90" s="86">
        <v>109.25</v>
      </c>
      <c r="Q90" s="74"/>
      <c r="R90" s="84">
        <v>658.60686204299998</v>
      </c>
      <c r="S90" s="85">
        <v>2.0418426666294095E-3</v>
      </c>
      <c r="T90" s="85">
        <f t="shared" si="1"/>
        <v>1.5143613884561127E-4</v>
      </c>
      <c r="U90" s="85">
        <f>R90/'סכום נכסי הקרן'!$C$42</f>
        <v>1.2643375796723623E-5</v>
      </c>
    </row>
    <row r="91" spans="2:21" s="122" customFormat="1">
      <c r="B91" s="77" t="s">
        <v>543</v>
      </c>
      <c r="C91" s="74" t="s">
        <v>544</v>
      </c>
      <c r="D91" s="87" t="s">
        <v>123</v>
      </c>
      <c r="E91" s="87" t="s">
        <v>352</v>
      </c>
      <c r="F91" s="74" t="s">
        <v>542</v>
      </c>
      <c r="G91" s="87" t="s">
        <v>154</v>
      </c>
      <c r="H91" s="74" t="s">
        <v>456</v>
      </c>
      <c r="I91" s="74" t="s">
        <v>356</v>
      </c>
      <c r="J91" s="74"/>
      <c r="K91" s="84">
        <v>4.1799999999997848</v>
      </c>
      <c r="L91" s="87" t="s">
        <v>165</v>
      </c>
      <c r="M91" s="88">
        <v>4.2999999999999997E-2</v>
      </c>
      <c r="N91" s="88">
        <v>1.6899999999998923E-2</v>
      </c>
      <c r="O91" s="84">
        <v>6143382.63631</v>
      </c>
      <c r="P91" s="86">
        <v>113.29</v>
      </c>
      <c r="Q91" s="74"/>
      <c r="R91" s="84">
        <v>6959.8384130750001</v>
      </c>
      <c r="S91" s="85">
        <v>6.6933452729633644E-3</v>
      </c>
      <c r="T91" s="85">
        <f t="shared" si="1"/>
        <v>1.6003037882053397E-3</v>
      </c>
      <c r="U91" s="85">
        <f>R91/'סכום נכסי הקרן'!$C$42</f>
        <v>1.3360907335222181E-4</v>
      </c>
    </row>
    <row r="92" spans="2:21" s="122" customFormat="1">
      <c r="B92" s="77" t="s">
        <v>545</v>
      </c>
      <c r="C92" s="74" t="s">
        <v>546</v>
      </c>
      <c r="D92" s="87" t="s">
        <v>123</v>
      </c>
      <c r="E92" s="87" t="s">
        <v>352</v>
      </c>
      <c r="F92" s="74" t="s">
        <v>547</v>
      </c>
      <c r="G92" s="87" t="s">
        <v>548</v>
      </c>
      <c r="H92" s="74" t="s">
        <v>549</v>
      </c>
      <c r="I92" s="74" t="s">
        <v>356</v>
      </c>
      <c r="J92" s="74"/>
      <c r="K92" s="84">
        <v>7.1399999999999704</v>
      </c>
      <c r="L92" s="87" t="s">
        <v>165</v>
      </c>
      <c r="M92" s="88">
        <v>5.1500000000000004E-2</v>
      </c>
      <c r="N92" s="88">
        <v>2.6399999999999917E-2</v>
      </c>
      <c r="O92" s="84">
        <v>48858115.673446998</v>
      </c>
      <c r="P92" s="86">
        <v>145.5</v>
      </c>
      <c r="Q92" s="74"/>
      <c r="R92" s="84">
        <v>71088.558766165006</v>
      </c>
      <c r="S92" s="85">
        <v>1.3758888475894264E-2</v>
      </c>
      <c r="T92" s="85">
        <f t="shared" si="1"/>
        <v>1.6345679761448486E-2</v>
      </c>
      <c r="U92" s="85">
        <f>R92/'סכום נכסי הקרן'!$C$42</f>
        <v>1.364697841956912E-3</v>
      </c>
    </row>
    <row r="93" spans="2:21" s="122" customFormat="1">
      <c r="B93" s="77" t="s">
        <v>550</v>
      </c>
      <c r="C93" s="74" t="s">
        <v>551</v>
      </c>
      <c r="D93" s="87" t="s">
        <v>123</v>
      </c>
      <c r="E93" s="87" t="s">
        <v>352</v>
      </c>
      <c r="F93" s="74" t="s">
        <v>552</v>
      </c>
      <c r="G93" s="87" t="s">
        <v>192</v>
      </c>
      <c r="H93" s="74" t="s">
        <v>549</v>
      </c>
      <c r="I93" s="74" t="s">
        <v>356</v>
      </c>
      <c r="J93" s="74"/>
      <c r="K93" s="84">
        <v>1.6099999999999568</v>
      </c>
      <c r="L93" s="87" t="s">
        <v>165</v>
      </c>
      <c r="M93" s="88">
        <v>3.7000000000000005E-2</v>
      </c>
      <c r="N93" s="88">
        <v>2.4599999999999796E-2</v>
      </c>
      <c r="O93" s="84">
        <v>16401878.375291998</v>
      </c>
      <c r="P93" s="86">
        <v>107.15</v>
      </c>
      <c r="Q93" s="74"/>
      <c r="R93" s="84">
        <v>17574.614044215999</v>
      </c>
      <c r="S93" s="85">
        <v>1.0934666026221064E-2</v>
      </c>
      <c r="T93" s="85">
        <f t="shared" si="1"/>
        <v>4.0410020695839039E-3</v>
      </c>
      <c r="U93" s="85">
        <f>R93/'סכום נכסי הקרן'!$C$42</f>
        <v>3.3738253068625363E-4</v>
      </c>
    </row>
    <row r="94" spans="2:21" s="122" customFormat="1">
      <c r="B94" s="77" t="s">
        <v>553</v>
      </c>
      <c r="C94" s="74" t="s">
        <v>554</v>
      </c>
      <c r="D94" s="87" t="s">
        <v>123</v>
      </c>
      <c r="E94" s="87" t="s">
        <v>352</v>
      </c>
      <c r="F94" s="74" t="s">
        <v>552</v>
      </c>
      <c r="G94" s="87" t="s">
        <v>192</v>
      </c>
      <c r="H94" s="74" t="s">
        <v>549</v>
      </c>
      <c r="I94" s="74" t="s">
        <v>356</v>
      </c>
      <c r="J94" s="74"/>
      <c r="K94" s="84">
        <v>4.2399999999999336</v>
      </c>
      <c r="L94" s="87" t="s">
        <v>165</v>
      </c>
      <c r="M94" s="88">
        <v>2.2000000000000002E-2</v>
      </c>
      <c r="N94" s="88">
        <v>2.39999999999994E-2</v>
      </c>
      <c r="O94" s="84">
        <v>19987327.975756001</v>
      </c>
      <c r="P94" s="86">
        <v>100.22</v>
      </c>
      <c r="Q94" s="74"/>
      <c r="R94" s="84">
        <v>20031.300531718</v>
      </c>
      <c r="S94" s="85">
        <v>2.2669496472998631E-2</v>
      </c>
      <c r="T94" s="85">
        <f t="shared" si="1"/>
        <v>4.6058779271895304E-3</v>
      </c>
      <c r="U94" s="85">
        <f>R94/'סכום נכסי הקרן'!$C$42</f>
        <v>3.8454391369989254E-4</v>
      </c>
    </row>
    <row r="95" spans="2:21" s="122" customFormat="1">
      <c r="B95" s="77" t="s">
        <v>555</v>
      </c>
      <c r="C95" s="74" t="s">
        <v>556</v>
      </c>
      <c r="D95" s="87" t="s">
        <v>123</v>
      </c>
      <c r="E95" s="87" t="s">
        <v>352</v>
      </c>
      <c r="F95" s="74" t="s">
        <v>473</v>
      </c>
      <c r="G95" s="87" t="s">
        <v>3376</v>
      </c>
      <c r="H95" s="74" t="s">
        <v>557</v>
      </c>
      <c r="I95" s="74" t="s">
        <v>163</v>
      </c>
      <c r="J95" s="74"/>
      <c r="K95" s="84">
        <v>1.7100000000000355</v>
      </c>
      <c r="L95" s="87" t="s">
        <v>165</v>
      </c>
      <c r="M95" s="88">
        <v>2.8500000000000001E-2</v>
      </c>
      <c r="N95" s="88">
        <v>2.5700000000000122E-2</v>
      </c>
      <c r="O95" s="84">
        <v>4958957.7601899998</v>
      </c>
      <c r="P95" s="86">
        <v>102.1</v>
      </c>
      <c r="Q95" s="74"/>
      <c r="R95" s="84">
        <v>5063.0957154420003</v>
      </c>
      <c r="S95" s="85">
        <v>1.1583585895591685E-2</v>
      </c>
      <c r="T95" s="85">
        <f t="shared" si="1"/>
        <v>1.1641780703193381E-3</v>
      </c>
      <c r="U95" s="85">
        <f>R95/'סכום נכסי הקרן'!$C$42</f>
        <v>9.7197016178272072E-5</v>
      </c>
    </row>
    <row r="96" spans="2:21" s="122" customFormat="1">
      <c r="B96" s="77" t="s">
        <v>558</v>
      </c>
      <c r="C96" s="74" t="s">
        <v>559</v>
      </c>
      <c r="D96" s="87" t="s">
        <v>123</v>
      </c>
      <c r="E96" s="87" t="s">
        <v>352</v>
      </c>
      <c r="F96" s="74" t="s">
        <v>473</v>
      </c>
      <c r="G96" s="87" t="s">
        <v>3376</v>
      </c>
      <c r="H96" s="74" t="s">
        <v>557</v>
      </c>
      <c r="I96" s="74" t="s">
        <v>163</v>
      </c>
      <c r="J96" s="74"/>
      <c r="K96" s="84">
        <v>3.5899999999999017</v>
      </c>
      <c r="L96" s="87" t="s">
        <v>165</v>
      </c>
      <c r="M96" s="88">
        <v>2.5000000000000001E-2</v>
      </c>
      <c r="N96" s="88">
        <v>2.9599999999999252E-2</v>
      </c>
      <c r="O96" s="84">
        <v>3779751.74236</v>
      </c>
      <c r="P96" s="86">
        <v>99.7</v>
      </c>
      <c r="Q96" s="74"/>
      <c r="R96" s="84">
        <v>3768.412314443</v>
      </c>
      <c r="S96" s="85">
        <v>8.3508739732900961E-3</v>
      </c>
      <c r="T96" s="85">
        <f t="shared" si="1"/>
        <v>8.6648628091615988E-4</v>
      </c>
      <c r="U96" s="85">
        <f>R96/'סכום נכסי הקרן'!$C$42</f>
        <v>7.2342782613451034E-5</v>
      </c>
    </row>
    <row r="97" spans="2:21" s="122" customFormat="1">
      <c r="B97" s="77" t="s">
        <v>560</v>
      </c>
      <c r="C97" s="74" t="s">
        <v>561</v>
      </c>
      <c r="D97" s="87" t="s">
        <v>123</v>
      </c>
      <c r="E97" s="87" t="s">
        <v>352</v>
      </c>
      <c r="F97" s="74" t="s">
        <v>473</v>
      </c>
      <c r="G97" s="87" t="s">
        <v>3376</v>
      </c>
      <c r="H97" s="74" t="s">
        <v>557</v>
      </c>
      <c r="I97" s="74" t="s">
        <v>163</v>
      </c>
      <c r="J97" s="74"/>
      <c r="K97" s="84">
        <v>4.5799999999995498</v>
      </c>
      <c r="L97" s="87" t="s">
        <v>165</v>
      </c>
      <c r="M97" s="88">
        <v>1.34E-2</v>
      </c>
      <c r="N97" s="88">
        <v>2.1599999999997954E-2</v>
      </c>
      <c r="O97" s="84">
        <v>4387236.0178709999</v>
      </c>
      <c r="P97" s="86">
        <v>98.05</v>
      </c>
      <c r="Q97" s="74"/>
      <c r="R97" s="84">
        <v>4301.6847459430001</v>
      </c>
      <c r="S97" s="85">
        <v>1.1144515017054813E-2</v>
      </c>
      <c r="T97" s="85">
        <f t="shared" si="1"/>
        <v>9.8910376736120417E-4</v>
      </c>
      <c r="U97" s="85">
        <f>R97/'סכום נכסי הקרן'!$C$42</f>
        <v>8.2580094342290652E-5</v>
      </c>
    </row>
    <row r="98" spans="2:21" s="122" customFormat="1">
      <c r="B98" s="77" t="s">
        <v>562</v>
      </c>
      <c r="C98" s="74" t="s">
        <v>563</v>
      </c>
      <c r="D98" s="87" t="s">
        <v>123</v>
      </c>
      <c r="E98" s="87" t="s">
        <v>352</v>
      </c>
      <c r="F98" s="74" t="s">
        <v>473</v>
      </c>
      <c r="G98" s="87" t="s">
        <v>3376</v>
      </c>
      <c r="H98" s="74" t="s">
        <v>557</v>
      </c>
      <c r="I98" s="74" t="s">
        <v>163</v>
      </c>
      <c r="J98" s="74"/>
      <c r="K98" s="84">
        <v>4.7300000000001754</v>
      </c>
      <c r="L98" s="87" t="s">
        <v>165</v>
      </c>
      <c r="M98" s="88">
        <v>1.95E-2</v>
      </c>
      <c r="N98" s="88">
        <v>2.6300000000001222E-2</v>
      </c>
      <c r="O98" s="84">
        <v>7657381.7266719993</v>
      </c>
      <c r="P98" s="86">
        <v>98.45</v>
      </c>
      <c r="Q98" s="74"/>
      <c r="R98" s="84">
        <v>7538.6926255160006</v>
      </c>
      <c r="S98" s="85">
        <v>1.1700676332721123E-2</v>
      </c>
      <c r="T98" s="85">
        <f t="shared" si="1"/>
        <v>1.7334020778506411E-3</v>
      </c>
      <c r="U98" s="85">
        <f>R98/'סכום נכסי הקרן'!$C$42</f>
        <v>1.4472142544145683E-4</v>
      </c>
    </row>
    <row r="99" spans="2:21" s="122" customFormat="1">
      <c r="B99" s="77" t="s">
        <v>564</v>
      </c>
      <c r="C99" s="74" t="s">
        <v>565</v>
      </c>
      <c r="D99" s="87" t="s">
        <v>123</v>
      </c>
      <c r="E99" s="87" t="s">
        <v>352</v>
      </c>
      <c r="F99" s="74" t="s">
        <v>473</v>
      </c>
      <c r="G99" s="87" t="s">
        <v>3376</v>
      </c>
      <c r="H99" s="74" t="s">
        <v>557</v>
      </c>
      <c r="I99" s="74" t="s">
        <v>163</v>
      </c>
      <c r="J99" s="74"/>
      <c r="K99" s="84">
        <v>7.4799999999967044</v>
      </c>
      <c r="L99" s="87" t="s">
        <v>165</v>
      </c>
      <c r="M99" s="88">
        <v>1.1699999999999999E-2</v>
      </c>
      <c r="N99" s="88">
        <v>3.0499999999988436E-2</v>
      </c>
      <c r="O99" s="84">
        <v>797035.04573599994</v>
      </c>
      <c r="P99" s="86">
        <v>86.84</v>
      </c>
      <c r="Q99" s="74"/>
      <c r="R99" s="84">
        <v>692.14524963600013</v>
      </c>
      <c r="S99" s="85">
        <v>1.3283917428933332E-3</v>
      </c>
      <c r="T99" s="85">
        <f t="shared" si="1"/>
        <v>1.5914775591628172E-4</v>
      </c>
      <c r="U99" s="85">
        <f>R99/'סכום נכסי הקרן'!$C$42</f>
        <v>1.3287217308849851E-5</v>
      </c>
    </row>
    <row r="100" spans="2:21" s="122" customFormat="1">
      <c r="B100" s="77" t="s">
        <v>566</v>
      </c>
      <c r="C100" s="74" t="s">
        <v>567</v>
      </c>
      <c r="D100" s="87" t="s">
        <v>123</v>
      </c>
      <c r="E100" s="87" t="s">
        <v>352</v>
      </c>
      <c r="F100" s="74" t="s">
        <v>473</v>
      </c>
      <c r="G100" s="87" t="s">
        <v>3376</v>
      </c>
      <c r="H100" s="74" t="s">
        <v>557</v>
      </c>
      <c r="I100" s="74" t="s">
        <v>163</v>
      </c>
      <c r="J100" s="74"/>
      <c r="K100" s="84">
        <v>5.8700000000000649</v>
      </c>
      <c r="L100" s="87" t="s">
        <v>165</v>
      </c>
      <c r="M100" s="88">
        <v>3.3500000000000002E-2</v>
      </c>
      <c r="N100" s="88">
        <v>3.1300000000000411E-2</v>
      </c>
      <c r="O100" s="84">
        <v>9422697.6908519994</v>
      </c>
      <c r="P100" s="86">
        <v>101.53</v>
      </c>
      <c r="Q100" s="74"/>
      <c r="R100" s="84">
        <v>9566.8653841970008</v>
      </c>
      <c r="S100" s="85">
        <v>1.9822061660794955E-2</v>
      </c>
      <c r="T100" s="85">
        <f t="shared" si="1"/>
        <v>2.199748041106714E-3</v>
      </c>
      <c r="U100" s="85">
        <f>R100/'סכום נכסי הקרן'!$C$42</f>
        <v>1.8365656542638966E-4</v>
      </c>
    </row>
    <row r="101" spans="2:21" s="122" customFormat="1">
      <c r="B101" s="77" t="s">
        <v>568</v>
      </c>
      <c r="C101" s="74" t="s">
        <v>569</v>
      </c>
      <c r="D101" s="87" t="s">
        <v>123</v>
      </c>
      <c r="E101" s="87" t="s">
        <v>352</v>
      </c>
      <c r="F101" s="74" t="s">
        <v>369</v>
      </c>
      <c r="G101" s="87" t="s">
        <v>362</v>
      </c>
      <c r="H101" s="74" t="s">
        <v>557</v>
      </c>
      <c r="I101" s="74" t="s">
        <v>163</v>
      </c>
      <c r="J101" s="74"/>
      <c r="K101" s="84">
        <v>1.209999999999988</v>
      </c>
      <c r="L101" s="87" t="s">
        <v>165</v>
      </c>
      <c r="M101" s="88">
        <v>2.7999999999999997E-2</v>
      </c>
      <c r="N101" s="88">
        <v>4.1800000000000316E-2</v>
      </c>
      <c r="O101" s="84">
        <f>23400401.4668/50000</f>
        <v>468.00802933599999</v>
      </c>
      <c r="P101" s="86">
        <v>5095100</v>
      </c>
      <c r="Q101" s="74"/>
      <c r="R101" s="84">
        <v>23845.477317368001</v>
      </c>
      <c r="S101" s="85">
        <f>132302.829574264%/50000</f>
        <v>2.64605659148528E-2</v>
      </c>
      <c r="T101" s="85">
        <f t="shared" si="1"/>
        <v>5.4828870180175108E-3</v>
      </c>
      <c r="U101" s="85">
        <f>R101/'סכום נכסי הקרן'!$C$42</f>
        <v>4.5776524380647718E-4</v>
      </c>
    </row>
    <row r="102" spans="2:21" s="122" customFormat="1">
      <c r="B102" s="77" t="s">
        <v>570</v>
      </c>
      <c r="C102" s="74" t="s">
        <v>571</v>
      </c>
      <c r="D102" s="87" t="s">
        <v>123</v>
      </c>
      <c r="E102" s="87" t="s">
        <v>352</v>
      </c>
      <c r="F102" s="74" t="s">
        <v>369</v>
      </c>
      <c r="G102" s="87" t="s">
        <v>362</v>
      </c>
      <c r="H102" s="74" t="s">
        <v>557</v>
      </c>
      <c r="I102" s="74" t="s">
        <v>163</v>
      </c>
      <c r="J102" s="74"/>
      <c r="K102" s="84">
        <v>2.4600000000001461</v>
      </c>
      <c r="L102" s="87" t="s">
        <v>165</v>
      </c>
      <c r="M102" s="88">
        <v>1.49E-2</v>
      </c>
      <c r="N102" s="88">
        <v>3.6699999999996825E-2</v>
      </c>
      <c r="O102" s="84">
        <f>1272379.0591/50000</f>
        <v>25.447581182</v>
      </c>
      <c r="P102" s="86">
        <v>4833000</v>
      </c>
      <c r="Q102" s="74"/>
      <c r="R102" s="84">
        <v>1229.8816767170001</v>
      </c>
      <c r="S102" s="85">
        <f>21038.0135433201%/50000</f>
        <v>4.2076027086640202E-3</v>
      </c>
      <c r="T102" s="85">
        <f t="shared" si="1"/>
        <v>2.8279166691529064E-4</v>
      </c>
      <c r="U102" s="85">
        <f>R102/'סכום נכסי הקרן'!$C$42</f>
        <v>2.3610225037743912E-5</v>
      </c>
    </row>
    <row r="103" spans="2:21" s="122" customFormat="1">
      <c r="B103" s="77" t="s">
        <v>572</v>
      </c>
      <c r="C103" s="74" t="s">
        <v>573</v>
      </c>
      <c r="D103" s="87" t="s">
        <v>123</v>
      </c>
      <c r="E103" s="87" t="s">
        <v>352</v>
      </c>
      <c r="F103" s="74" t="s">
        <v>369</v>
      </c>
      <c r="G103" s="87" t="s">
        <v>362</v>
      </c>
      <c r="H103" s="74" t="s">
        <v>557</v>
      </c>
      <c r="I103" s="74" t="s">
        <v>163</v>
      </c>
      <c r="J103" s="74"/>
      <c r="K103" s="84">
        <v>4.0699999999996406</v>
      </c>
      <c r="L103" s="87" t="s">
        <v>165</v>
      </c>
      <c r="M103" s="88">
        <v>2.2000000000000002E-2</v>
      </c>
      <c r="N103" s="88">
        <v>1.7999999999999638E-2</v>
      </c>
      <c r="O103" s="84">
        <f>5331197.175/50000</f>
        <v>106.6239435</v>
      </c>
      <c r="P103" s="86">
        <v>5164800</v>
      </c>
      <c r="Q103" s="74"/>
      <c r="R103" s="84">
        <v>5506.9133699140002</v>
      </c>
      <c r="S103" s="85">
        <f>105903.797675805%/50000</f>
        <v>2.1180759535160999E-2</v>
      </c>
      <c r="T103" s="85">
        <f t="shared" si="1"/>
        <v>1.2662268581747661E-3</v>
      </c>
      <c r="U103" s="85">
        <f>R103/'סכום נכסי הקרן'!$C$42</f>
        <v>1.057170509882701E-4</v>
      </c>
    </row>
    <row r="104" spans="2:21" s="122" customFormat="1">
      <c r="B104" s="77" t="s">
        <v>574</v>
      </c>
      <c r="C104" s="74" t="s">
        <v>575</v>
      </c>
      <c r="D104" s="87" t="s">
        <v>123</v>
      </c>
      <c r="E104" s="87" t="s">
        <v>352</v>
      </c>
      <c r="F104" s="74" t="s">
        <v>576</v>
      </c>
      <c r="G104" s="87" t="s">
        <v>3377</v>
      </c>
      <c r="H104" s="74" t="s">
        <v>557</v>
      </c>
      <c r="I104" s="74" t="s">
        <v>163</v>
      </c>
      <c r="J104" s="74"/>
      <c r="K104" s="84">
        <v>5.1600000000000206</v>
      </c>
      <c r="L104" s="87" t="s">
        <v>165</v>
      </c>
      <c r="M104" s="88">
        <v>0.04</v>
      </c>
      <c r="N104" s="88">
        <v>3.9199999999999083E-2</v>
      </c>
      <c r="O104" s="84">
        <v>6037575.3722689999</v>
      </c>
      <c r="P104" s="86">
        <v>101.5</v>
      </c>
      <c r="Q104" s="74"/>
      <c r="R104" s="84">
        <v>6128.1390704429996</v>
      </c>
      <c r="S104" s="85">
        <v>2.0412378561874174E-3</v>
      </c>
      <c r="T104" s="85">
        <f t="shared" si="1"/>
        <v>1.4090677954039163E-3</v>
      </c>
      <c r="U104" s="85">
        <f>R104/'סכום נכסי הקרן'!$C$42</f>
        <v>1.1764281495921735E-4</v>
      </c>
    </row>
    <row r="105" spans="2:21" s="122" customFormat="1">
      <c r="B105" s="77" t="s">
        <v>577</v>
      </c>
      <c r="C105" s="74" t="s">
        <v>578</v>
      </c>
      <c r="D105" s="87" t="s">
        <v>123</v>
      </c>
      <c r="E105" s="87" t="s">
        <v>352</v>
      </c>
      <c r="F105" s="74" t="s">
        <v>576</v>
      </c>
      <c r="G105" s="87" t="s">
        <v>3377</v>
      </c>
      <c r="H105" s="74" t="s">
        <v>557</v>
      </c>
      <c r="I105" s="74" t="s">
        <v>163</v>
      </c>
      <c r="J105" s="74"/>
      <c r="K105" s="84">
        <v>5.3800000000000292</v>
      </c>
      <c r="L105" s="87" t="s">
        <v>165</v>
      </c>
      <c r="M105" s="88">
        <v>2.7799999999999998E-2</v>
      </c>
      <c r="N105" s="88">
        <v>3.6800000000000083E-2</v>
      </c>
      <c r="O105" s="84">
        <v>14520415.337719001</v>
      </c>
      <c r="P105" s="86">
        <v>97.5</v>
      </c>
      <c r="Q105" s="74"/>
      <c r="R105" s="84">
        <v>14157.404988341001</v>
      </c>
      <c r="S105" s="85">
        <v>8.0619258888790808E-3</v>
      </c>
      <c r="T105" s="85">
        <f t="shared" si="1"/>
        <v>3.2552693739895783E-3</v>
      </c>
      <c r="U105" s="85">
        <f>R105/'סכום נכסי הקרן'!$C$42</f>
        <v>2.7178185028129618E-4</v>
      </c>
    </row>
    <row r="106" spans="2:21" s="122" customFormat="1">
      <c r="B106" s="77" t="s">
        <v>579</v>
      </c>
      <c r="C106" s="74" t="s">
        <v>580</v>
      </c>
      <c r="D106" s="87" t="s">
        <v>123</v>
      </c>
      <c r="E106" s="87" t="s">
        <v>352</v>
      </c>
      <c r="F106" s="74" t="s">
        <v>421</v>
      </c>
      <c r="G106" s="87" t="s">
        <v>362</v>
      </c>
      <c r="H106" s="74" t="s">
        <v>549</v>
      </c>
      <c r="I106" s="74" t="s">
        <v>356</v>
      </c>
      <c r="J106" s="74"/>
      <c r="K106" s="84">
        <v>4.9999999999998955E-2</v>
      </c>
      <c r="L106" s="87" t="s">
        <v>165</v>
      </c>
      <c r="M106" s="88">
        <v>6.4000000000000001E-2</v>
      </c>
      <c r="N106" s="88">
        <v>0.18599999999999819</v>
      </c>
      <c r="O106" s="84">
        <v>42051195.725658</v>
      </c>
      <c r="P106" s="86">
        <v>114.18</v>
      </c>
      <c r="Q106" s="74"/>
      <c r="R106" s="84">
        <v>48014.055859961001</v>
      </c>
      <c r="S106" s="85">
        <v>3.3587740165008963E-2</v>
      </c>
      <c r="T106" s="85">
        <f t="shared" si="1"/>
        <v>1.1040066007200615E-2</v>
      </c>
      <c r="U106" s="85">
        <f>R106/'סכום נכסי הקרן'!$C$42</f>
        <v>9.2173311082618589E-4</v>
      </c>
    </row>
    <row r="107" spans="2:21" s="122" customFormat="1">
      <c r="B107" s="77" t="s">
        <v>581</v>
      </c>
      <c r="C107" s="74" t="s">
        <v>582</v>
      </c>
      <c r="D107" s="87" t="s">
        <v>123</v>
      </c>
      <c r="E107" s="87" t="s">
        <v>352</v>
      </c>
      <c r="F107" s="74" t="s">
        <v>421</v>
      </c>
      <c r="G107" s="87" t="s">
        <v>362</v>
      </c>
      <c r="H107" s="74" t="s">
        <v>557</v>
      </c>
      <c r="I107" s="74" t="s">
        <v>163</v>
      </c>
      <c r="J107" s="74"/>
      <c r="K107" s="84">
        <v>5.360000000000043</v>
      </c>
      <c r="L107" s="87" t="s">
        <v>165</v>
      </c>
      <c r="M107" s="88">
        <v>1.46E-2</v>
      </c>
      <c r="N107" s="88">
        <v>2.5799999999999993E-2</v>
      </c>
      <c r="O107" s="84">
        <f>28624974.6983/50000</f>
        <v>572.49949396600005</v>
      </c>
      <c r="P107" s="86">
        <v>4718500</v>
      </c>
      <c r="Q107" s="74"/>
      <c r="R107" s="84">
        <v>27013.389787119002</v>
      </c>
      <c r="S107" s="85">
        <f>107479.347795216%/50000</f>
        <v>2.1495869559043198E-2</v>
      </c>
      <c r="T107" s="85">
        <f t="shared" si="1"/>
        <v>6.2112979415414665E-3</v>
      </c>
      <c r="U107" s="85">
        <f>R107/'סכום נכסי הקרן'!$C$42</f>
        <v>5.1858013984619337E-4</v>
      </c>
    </row>
    <row r="108" spans="2:21" s="122" customFormat="1">
      <c r="B108" s="77" t="s">
        <v>583</v>
      </c>
      <c r="C108" s="74" t="s">
        <v>584</v>
      </c>
      <c r="D108" s="87" t="s">
        <v>123</v>
      </c>
      <c r="E108" s="87" t="s">
        <v>352</v>
      </c>
      <c r="F108" s="74" t="s">
        <v>487</v>
      </c>
      <c r="G108" s="87" t="s">
        <v>488</v>
      </c>
      <c r="H108" s="74" t="s">
        <v>549</v>
      </c>
      <c r="I108" s="74" t="s">
        <v>356</v>
      </c>
      <c r="J108" s="74"/>
      <c r="K108" s="84">
        <v>2.9799999999996101</v>
      </c>
      <c r="L108" s="87" t="s">
        <v>165</v>
      </c>
      <c r="M108" s="88">
        <v>3.85E-2</v>
      </c>
      <c r="N108" s="88">
        <v>9.0999999999988972E-3</v>
      </c>
      <c r="O108" s="84">
        <v>3733134.4703580006</v>
      </c>
      <c r="P108" s="86">
        <v>114.18</v>
      </c>
      <c r="Q108" s="74"/>
      <c r="R108" s="84">
        <v>4262.4930028170002</v>
      </c>
      <c r="S108" s="85">
        <v>1.5584149834712941E-2</v>
      </c>
      <c r="T108" s="85">
        <f t="shared" si="1"/>
        <v>9.8009225139366642E-4</v>
      </c>
      <c r="U108" s="85">
        <f>R108/'סכום נכסי הקרן'!$C$42</f>
        <v>8.1827724506766024E-5</v>
      </c>
    </row>
    <row r="109" spans="2:21" s="122" customFormat="1">
      <c r="B109" s="77" t="s">
        <v>585</v>
      </c>
      <c r="C109" s="74" t="s">
        <v>586</v>
      </c>
      <c r="D109" s="87" t="s">
        <v>123</v>
      </c>
      <c r="E109" s="87" t="s">
        <v>352</v>
      </c>
      <c r="F109" s="74" t="s">
        <v>487</v>
      </c>
      <c r="G109" s="87" t="s">
        <v>488</v>
      </c>
      <c r="H109" s="74" t="s">
        <v>549</v>
      </c>
      <c r="I109" s="74" t="s">
        <v>356</v>
      </c>
      <c r="J109" s="74"/>
      <c r="K109" s="84">
        <v>0.15999999999986531</v>
      </c>
      <c r="L109" s="87" t="s">
        <v>165</v>
      </c>
      <c r="M109" s="88">
        <v>3.9E-2</v>
      </c>
      <c r="N109" s="88">
        <v>0.20520000000003769</v>
      </c>
      <c r="O109" s="84">
        <v>2493401.9804639998</v>
      </c>
      <c r="P109" s="86">
        <v>107.2</v>
      </c>
      <c r="Q109" s="74"/>
      <c r="R109" s="84">
        <v>2672.9269367960001</v>
      </c>
      <c r="S109" s="85">
        <v>1.2527612226465526E-2</v>
      </c>
      <c r="T109" s="85">
        <f t="shared" si="1"/>
        <v>6.1459689847322878E-4</v>
      </c>
      <c r="U109" s="85">
        <f>R109/'סכום נכסי הקרן'!$C$42</f>
        <v>5.1312583707776069E-5</v>
      </c>
    </row>
    <row r="110" spans="2:21" s="122" customFormat="1">
      <c r="B110" s="77" t="s">
        <v>587</v>
      </c>
      <c r="C110" s="74" t="s">
        <v>588</v>
      </c>
      <c r="D110" s="87" t="s">
        <v>123</v>
      </c>
      <c r="E110" s="87" t="s">
        <v>352</v>
      </c>
      <c r="F110" s="74" t="s">
        <v>487</v>
      </c>
      <c r="G110" s="87" t="s">
        <v>488</v>
      </c>
      <c r="H110" s="74" t="s">
        <v>549</v>
      </c>
      <c r="I110" s="74" t="s">
        <v>356</v>
      </c>
      <c r="J110" s="74"/>
      <c r="K110" s="84">
        <v>1.1400000000000001</v>
      </c>
      <c r="L110" s="87" t="s">
        <v>165</v>
      </c>
      <c r="M110" s="88">
        <v>3.9E-2</v>
      </c>
      <c r="N110" s="88">
        <v>2.8199999999997765E-2</v>
      </c>
      <c r="O110" s="84">
        <v>4024803.4394349996</v>
      </c>
      <c r="P110" s="86">
        <v>111.2</v>
      </c>
      <c r="Q110" s="74"/>
      <c r="R110" s="84">
        <v>4475.5814178000001</v>
      </c>
      <c r="S110" s="85">
        <v>1.0086405090901116E-2</v>
      </c>
      <c r="T110" s="85">
        <f t="shared" si="1"/>
        <v>1.0290885322669894E-3</v>
      </c>
      <c r="U110" s="85">
        <f>R110/'סכום נכסי הקרן'!$C$42</f>
        <v>8.5918415120284664E-5</v>
      </c>
    </row>
    <row r="111" spans="2:21" s="122" customFormat="1">
      <c r="B111" s="77" t="s">
        <v>589</v>
      </c>
      <c r="C111" s="74" t="s">
        <v>590</v>
      </c>
      <c r="D111" s="87" t="s">
        <v>123</v>
      </c>
      <c r="E111" s="87" t="s">
        <v>352</v>
      </c>
      <c r="F111" s="74" t="s">
        <v>487</v>
      </c>
      <c r="G111" s="87" t="s">
        <v>488</v>
      </c>
      <c r="H111" s="74" t="s">
        <v>549</v>
      </c>
      <c r="I111" s="74" t="s">
        <v>356</v>
      </c>
      <c r="J111" s="74"/>
      <c r="K111" s="84">
        <v>3.8600000000003463</v>
      </c>
      <c r="L111" s="87" t="s">
        <v>165</v>
      </c>
      <c r="M111" s="88">
        <v>3.85E-2</v>
      </c>
      <c r="N111" s="88">
        <v>1.4100000000001466E-2</v>
      </c>
      <c r="O111" s="84">
        <v>3268035.8402069998</v>
      </c>
      <c r="P111" s="86">
        <v>114.88</v>
      </c>
      <c r="Q111" s="74"/>
      <c r="R111" s="84">
        <v>3754.3196294449999</v>
      </c>
      <c r="S111" s="85">
        <v>1.3072143360827999E-2</v>
      </c>
      <c r="T111" s="85">
        <f t="shared" si="1"/>
        <v>8.6324589287124255E-4</v>
      </c>
      <c r="U111" s="85">
        <f>R111/'סכום נכסי הקרן'!$C$42</f>
        <v>7.2072243202637957E-5</v>
      </c>
    </row>
    <row r="112" spans="2:21" s="122" customFormat="1">
      <c r="B112" s="77" t="s">
        <v>591</v>
      </c>
      <c r="C112" s="74" t="s">
        <v>592</v>
      </c>
      <c r="D112" s="87" t="s">
        <v>123</v>
      </c>
      <c r="E112" s="87" t="s">
        <v>352</v>
      </c>
      <c r="F112" s="74" t="s">
        <v>593</v>
      </c>
      <c r="G112" s="87" t="s">
        <v>362</v>
      </c>
      <c r="H112" s="74" t="s">
        <v>557</v>
      </c>
      <c r="I112" s="74" t="s">
        <v>163</v>
      </c>
      <c r="J112" s="74"/>
      <c r="K112" s="84">
        <v>1.2499999999999432</v>
      </c>
      <c r="L112" s="87" t="s">
        <v>165</v>
      </c>
      <c r="M112" s="88">
        <v>0.02</v>
      </c>
      <c r="N112" s="88">
        <v>1.6199999999998594E-2</v>
      </c>
      <c r="O112" s="84">
        <v>4283559.7341860002</v>
      </c>
      <c r="P112" s="86">
        <v>102.87</v>
      </c>
      <c r="Q112" s="74"/>
      <c r="R112" s="84">
        <v>4406.4978803009999</v>
      </c>
      <c r="S112" s="85">
        <v>1.5056935880478385E-2</v>
      </c>
      <c r="T112" s="85">
        <f t="shared" si="1"/>
        <v>1.0132038751527405E-3</v>
      </c>
      <c r="U112" s="85">
        <f>R112/'סכום נכסי הקרן'!$C$42</f>
        <v>8.4592207975619534E-5</v>
      </c>
    </row>
    <row r="113" spans="2:21" s="122" customFormat="1">
      <c r="B113" s="77" t="s">
        <v>594</v>
      </c>
      <c r="C113" s="74" t="s">
        <v>595</v>
      </c>
      <c r="D113" s="87" t="s">
        <v>123</v>
      </c>
      <c r="E113" s="87" t="s">
        <v>352</v>
      </c>
      <c r="F113" s="74" t="s">
        <v>499</v>
      </c>
      <c r="G113" s="87" t="s">
        <v>3376</v>
      </c>
      <c r="H113" s="74" t="s">
        <v>557</v>
      </c>
      <c r="I113" s="74" t="s">
        <v>163</v>
      </c>
      <c r="J113" s="74"/>
      <c r="K113" s="84">
        <v>6.4700000000000948</v>
      </c>
      <c r="L113" s="87" t="s">
        <v>165</v>
      </c>
      <c r="M113" s="88">
        <v>2.4E-2</v>
      </c>
      <c r="N113" s="88">
        <v>2.2500000000000468E-2</v>
      </c>
      <c r="O113" s="84">
        <v>10470670.797665</v>
      </c>
      <c r="P113" s="86">
        <v>102.47</v>
      </c>
      <c r="Q113" s="74"/>
      <c r="R113" s="84">
        <v>10729.296313834</v>
      </c>
      <c r="S113" s="85">
        <v>2.01120944394555E-2</v>
      </c>
      <c r="T113" s="85">
        <f t="shared" si="1"/>
        <v>2.4670304850109327E-3</v>
      </c>
      <c r="U113" s="85">
        <f>R113/'סכום נכסי הקרן'!$C$42</f>
        <v>2.0597192824472576E-4</v>
      </c>
    </row>
    <row r="114" spans="2:21" s="122" customFormat="1">
      <c r="B114" s="77" t="s">
        <v>596</v>
      </c>
      <c r="C114" s="74" t="s">
        <v>597</v>
      </c>
      <c r="D114" s="87" t="s">
        <v>123</v>
      </c>
      <c r="E114" s="87" t="s">
        <v>352</v>
      </c>
      <c r="F114" s="74" t="s">
        <v>499</v>
      </c>
      <c r="G114" s="87" t="s">
        <v>3376</v>
      </c>
      <c r="H114" s="74" t="s">
        <v>557</v>
      </c>
      <c r="I114" s="74" t="s">
        <v>163</v>
      </c>
      <c r="J114" s="74"/>
      <c r="K114" s="84">
        <v>2.4199999999964827</v>
      </c>
      <c r="L114" s="87" t="s">
        <v>165</v>
      </c>
      <c r="M114" s="88">
        <v>3.4799999999999998E-2</v>
      </c>
      <c r="N114" s="88">
        <v>2.269999999994414E-2</v>
      </c>
      <c r="O114" s="84">
        <v>186934.881089</v>
      </c>
      <c r="P114" s="86">
        <v>103.42</v>
      </c>
      <c r="Q114" s="74"/>
      <c r="R114" s="84">
        <v>193.32805400399999</v>
      </c>
      <c r="S114" s="85">
        <v>4.567817395470722E-4</v>
      </c>
      <c r="T114" s="85">
        <f t="shared" si="1"/>
        <v>4.44527011730256E-5</v>
      </c>
      <c r="U114" s="85">
        <f>R114/'סכום נכסי הקרן'!$C$42</f>
        <v>3.7113479674954609E-6</v>
      </c>
    </row>
    <row r="115" spans="2:21" s="122" customFormat="1">
      <c r="B115" s="77" t="s">
        <v>598</v>
      </c>
      <c r="C115" s="74" t="s">
        <v>599</v>
      </c>
      <c r="D115" s="87" t="s">
        <v>123</v>
      </c>
      <c r="E115" s="87" t="s">
        <v>352</v>
      </c>
      <c r="F115" s="74" t="s">
        <v>504</v>
      </c>
      <c r="G115" s="87" t="s">
        <v>488</v>
      </c>
      <c r="H115" s="74" t="s">
        <v>557</v>
      </c>
      <c r="I115" s="74" t="s">
        <v>163</v>
      </c>
      <c r="J115" s="74"/>
      <c r="K115" s="84">
        <v>5.0099999999997147</v>
      </c>
      <c r="L115" s="87" t="s">
        <v>165</v>
      </c>
      <c r="M115" s="88">
        <v>2.4799999999999999E-2</v>
      </c>
      <c r="N115" s="88">
        <v>2.3099999999998729E-2</v>
      </c>
      <c r="O115" s="84">
        <v>4963739.6404090002</v>
      </c>
      <c r="P115" s="86">
        <v>101.64</v>
      </c>
      <c r="Q115" s="74"/>
      <c r="R115" s="84">
        <v>5045.1453674439999</v>
      </c>
      <c r="S115" s="85">
        <v>1.1721136394707786E-2</v>
      </c>
      <c r="T115" s="85">
        <f t="shared" si="1"/>
        <v>1.1600506742224922E-3</v>
      </c>
      <c r="U115" s="85">
        <f>R115/'סכום נכסי הקרן'!$C$42</f>
        <v>9.6852420625901609E-5</v>
      </c>
    </row>
    <row r="116" spans="2:21" s="122" customFormat="1">
      <c r="B116" s="77" t="s">
        <v>600</v>
      </c>
      <c r="C116" s="74" t="s">
        <v>601</v>
      </c>
      <c r="D116" s="87" t="s">
        <v>123</v>
      </c>
      <c r="E116" s="87" t="s">
        <v>352</v>
      </c>
      <c r="F116" s="74" t="s">
        <v>517</v>
      </c>
      <c r="G116" s="87" t="s">
        <v>3376</v>
      </c>
      <c r="H116" s="74" t="s">
        <v>549</v>
      </c>
      <c r="I116" s="74" t="s">
        <v>356</v>
      </c>
      <c r="J116" s="74"/>
      <c r="K116" s="84">
        <v>6.0999999999995476</v>
      </c>
      <c r="L116" s="87" t="s">
        <v>165</v>
      </c>
      <c r="M116" s="88">
        <v>2.81E-2</v>
      </c>
      <c r="N116" s="88">
        <v>2.7899999999995928E-2</v>
      </c>
      <c r="O116" s="84">
        <v>865023.59182800015</v>
      </c>
      <c r="P116" s="86">
        <v>102.26</v>
      </c>
      <c r="Q116" s="74"/>
      <c r="R116" s="84">
        <v>884.57315498399998</v>
      </c>
      <c r="S116" s="85">
        <v>1.7392829500490557E-3</v>
      </c>
      <c r="T116" s="85">
        <f t="shared" si="1"/>
        <v>2.0339348226911051E-4</v>
      </c>
      <c r="U116" s="85">
        <f>R116/'סכום נכסי הקרן'!$C$42</f>
        <v>1.698128498610445E-5</v>
      </c>
    </row>
    <row r="117" spans="2:21" s="122" customFormat="1">
      <c r="B117" s="77" t="s">
        <v>602</v>
      </c>
      <c r="C117" s="74" t="s">
        <v>603</v>
      </c>
      <c r="D117" s="87" t="s">
        <v>123</v>
      </c>
      <c r="E117" s="87" t="s">
        <v>352</v>
      </c>
      <c r="F117" s="74" t="s">
        <v>517</v>
      </c>
      <c r="G117" s="87" t="s">
        <v>3376</v>
      </c>
      <c r="H117" s="74" t="s">
        <v>549</v>
      </c>
      <c r="I117" s="74" t="s">
        <v>356</v>
      </c>
      <c r="J117" s="74"/>
      <c r="K117" s="84">
        <v>4.1500000000002499</v>
      </c>
      <c r="L117" s="87" t="s">
        <v>165</v>
      </c>
      <c r="M117" s="88">
        <v>3.7000000000000005E-2</v>
      </c>
      <c r="N117" s="88">
        <v>1.9400000000002068E-2</v>
      </c>
      <c r="O117" s="84">
        <v>2402396.830296</v>
      </c>
      <c r="P117" s="86">
        <v>108.6</v>
      </c>
      <c r="Q117" s="74"/>
      <c r="R117" s="84">
        <v>2609.0030708090003</v>
      </c>
      <c r="S117" s="85">
        <v>3.7591334714865737E-3</v>
      </c>
      <c r="T117" s="85">
        <f t="shared" si="1"/>
        <v>5.9989862549270296E-4</v>
      </c>
      <c r="U117" s="85">
        <f>R117/'סכום נכסי הקרן'!$C$42</f>
        <v>5.008542755949976E-5</v>
      </c>
    </row>
    <row r="118" spans="2:21" s="122" customFormat="1">
      <c r="B118" s="77" t="s">
        <v>604</v>
      </c>
      <c r="C118" s="74" t="s">
        <v>605</v>
      </c>
      <c r="D118" s="87" t="s">
        <v>123</v>
      </c>
      <c r="E118" s="87" t="s">
        <v>352</v>
      </c>
      <c r="F118" s="74" t="s">
        <v>606</v>
      </c>
      <c r="G118" s="87" t="s">
        <v>3376</v>
      </c>
      <c r="H118" s="74" t="s">
        <v>549</v>
      </c>
      <c r="I118" s="74" t="s">
        <v>356</v>
      </c>
      <c r="J118" s="74"/>
      <c r="K118" s="84">
        <v>5.5699999999998742</v>
      </c>
      <c r="L118" s="87" t="s">
        <v>165</v>
      </c>
      <c r="M118" s="88">
        <v>1.3999999999999999E-2</v>
      </c>
      <c r="N118" s="88">
        <v>1.7700000000000039E-2</v>
      </c>
      <c r="O118" s="84">
        <v>10941966.58405</v>
      </c>
      <c r="P118" s="86">
        <v>98.61</v>
      </c>
      <c r="Q118" s="74"/>
      <c r="R118" s="84">
        <v>10789.873223248</v>
      </c>
      <c r="S118" s="85">
        <v>2.0699898948259552E-2</v>
      </c>
      <c r="T118" s="85">
        <f t="shared" si="1"/>
        <v>2.4809591787333155E-3</v>
      </c>
      <c r="U118" s="85">
        <f>R118/'סכום נכסי הקרן'!$C$42</f>
        <v>2.0713483236016342E-4</v>
      </c>
    </row>
    <row r="119" spans="2:21" s="122" customFormat="1">
      <c r="B119" s="77" t="s">
        <v>607</v>
      </c>
      <c r="C119" s="74" t="s">
        <v>608</v>
      </c>
      <c r="D119" s="87" t="s">
        <v>123</v>
      </c>
      <c r="E119" s="87" t="s">
        <v>352</v>
      </c>
      <c r="F119" s="74" t="s">
        <v>380</v>
      </c>
      <c r="G119" s="87" t="s">
        <v>362</v>
      </c>
      <c r="H119" s="74" t="s">
        <v>557</v>
      </c>
      <c r="I119" s="74" t="s">
        <v>163</v>
      </c>
      <c r="J119" s="74"/>
      <c r="K119" s="84">
        <v>3.4600000000000044</v>
      </c>
      <c r="L119" s="87" t="s">
        <v>165</v>
      </c>
      <c r="M119" s="88">
        <v>1.8200000000000001E-2</v>
      </c>
      <c r="N119" s="88">
        <v>7.1999999999999443E-3</v>
      </c>
      <c r="O119" s="84">
        <f>13690514.3454/50000</f>
        <v>273.81028690800002</v>
      </c>
      <c r="P119" s="86">
        <v>5222837</v>
      </c>
      <c r="Q119" s="74"/>
      <c r="R119" s="84">
        <v>14300.665302838999</v>
      </c>
      <c r="S119" s="85">
        <f>96337.4452564915%/50000</f>
        <v>1.9267489051298298E-2</v>
      </c>
      <c r="T119" s="85">
        <f t="shared" si="1"/>
        <v>3.2882097973706646E-3</v>
      </c>
      <c r="U119" s="85">
        <f>R119/'סכום נכסי הקרן'!$C$42</f>
        <v>2.745320402616076E-4</v>
      </c>
    </row>
    <row r="120" spans="2:21" s="122" customFormat="1">
      <c r="B120" s="77" t="s">
        <v>609</v>
      </c>
      <c r="C120" s="74" t="s">
        <v>610</v>
      </c>
      <c r="D120" s="87" t="s">
        <v>123</v>
      </c>
      <c r="E120" s="87" t="s">
        <v>352</v>
      </c>
      <c r="F120" s="74" t="s">
        <v>380</v>
      </c>
      <c r="G120" s="87" t="s">
        <v>362</v>
      </c>
      <c r="H120" s="74" t="s">
        <v>557</v>
      </c>
      <c r="I120" s="74" t="s">
        <v>163</v>
      </c>
      <c r="J120" s="74"/>
      <c r="K120" s="84">
        <v>2.6799999999999762</v>
      </c>
      <c r="L120" s="87" t="s">
        <v>165</v>
      </c>
      <c r="M120" s="88">
        <v>1.06E-2</v>
      </c>
      <c r="N120" s="88">
        <v>2.5499999999999398E-2</v>
      </c>
      <c r="O120" s="84">
        <f>17059830.96/50000</f>
        <v>341.19661920000004</v>
      </c>
      <c r="P120" s="86">
        <v>4869803</v>
      </c>
      <c r="Q120" s="74"/>
      <c r="R120" s="84">
        <v>16615.604246880001</v>
      </c>
      <c r="S120" s="85">
        <f>125633.927093306%/50000</f>
        <v>2.5126785418661202E-2</v>
      </c>
      <c r="T120" s="85">
        <f t="shared" si="1"/>
        <v>3.820493069156584E-3</v>
      </c>
      <c r="U120" s="85">
        <f>R120/'סכום נכסי הקרן'!$C$42</f>
        <v>3.1897227418991735E-4</v>
      </c>
    </row>
    <row r="121" spans="2:21" s="122" customFormat="1">
      <c r="B121" s="77" t="s">
        <v>611</v>
      </c>
      <c r="C121" s="74" t="s">
        <v>612</v>
      </c>
      <c r="D121" s="87" t="s">
        <v>123</v>
      </c>
      <c r="E121" s="87" t="s">
        <v>352</v>
      </c>
      <c r="F121" s="74" t="s">
        <v>380</v>
      </c>
      <c r="G121" s="87" t="s">
        <v>362</v>
      </c>
      <c r="H121" s="74" t="s">
        <v>557</v>
      </c>
      <c r="I121" s="74" t="s">
        <v>163</v>
      </c>
      <c r="J121" s="74"/>
      <c r="K121" s="84">
        <v>4.5499999999999945</v>
      </c>
      <c r="L121" s="87" t="s">
        <v>165</v>
      </c>
      <c r="M121" s="88">
        <v>1.89E-2</v>
      </c>
      <c r="N121" s="88">
        <v>2.270000000000004E-2</v>
      </c>
      <c r="O121" s="84">
        <f>31482496.3841/50000</f>
        <v>629.649927682</v>
      </c>
      <c r="P121" s="86">
        <v>4873378</v>
      </c>
      <c r="Q121" s="74"/>
      <c r="R121" s="84">
        <v>30685.220702943996</v>
      </c>
      <c r="S121" s="85">
        <f>144428.371337279%/50000</f>
        <v>2.8885674267455801E-2</v>
      </c>
      <c r="T121" s="85">
        <f t="shared" si="1"/>
        <v>7.0555768709495504E-3</v>
      </c>
      <c r="U121" s="85">
        <f>R121/'סכום נכסי הקרן'!$C$42</f>
        <v>5.8906883470551336E-4</v>
      </c>
    </row>
    <row r="122" spans="2:21" s="122" customFormat="1">
      <c r="B122" s="77" t="s">
        <v>613</v>
      </c>
      <c r="C122" s="74" t="s">
        <v>614</v>
      </c>
      <c r="D122" s="87" t="s">
        <v>123</v>
      </c>
      <c r="E122" s="87" t="s">
        <v>352</v>
      </c>
      <c r="F122" s="74" t="s">
        <v>380</v>
      </c>
      <c r="G122" s="87" t="s">
        <v>362</v>
      </c>
      <c r="H122" s="74" t="s">
        <v>549</v>
      </c>
      <c r="I122" s="74" t="s">
        <v>356</v>
      </c>
      <c r="J122" s="74"/>
      <c r="K122" s="84">
        <v>1.7000000000000066</v>
      </c>
      <c r="L122" s="87" t="s">
        <v>165</v>
      </c>
      <c r="M122" s="88">
        <v>4.4999999999999998E-2</v>
      </c>
      <c r="N122" s="88">
        <v>1.9700000000000072E-2</v>
      </c>
      <c r="O122" s="84">
        <v>34537811.171703003</v>
      </c>
      <c r="P122" s="86">
        <v>125.96</v>
      </c>
      <c r="Q122" s="84">
        <v>468.96309269600005</v>
      </c>
      <c r="R122" s="84">
        <v>43972.790996511008</v>
      </c>
      <c r="S122" s="85">
        <v>2.0292673164563069E-2</v>
      </c>
      <c r="T122" s="85">
        <f t="shared" si="1"/>
        <v>1.0110841636420606E-2</v>
      </c>
      <c r="U122" s="85">
        <f>R122/'סכום נכסי הקרן'!$C$42</f>
        <v>8.4415233645618358E-4</v>
      </c>
    </row>
    <row r="123" spans="2:21" s="122" customFormat="1">
      <c r="B123" s="77" t="s">
        <v>615</v>
      </c>
      <c r="C123" s="74" t="s">
        <v>616</v>
      </c>
      <c r="D123" s="87" t="s">
        <v>123</v>
      </c>
      <c r="E123" s="87" t="s">
        <v>352</v>
      </c>
      <c r="F123" s="74" t="s">
        <v>520</v>
      </c>
      <c r="G123" s="87" t="s">
        <v>3376</v>
      </c>
      <c r="H123" s="74" t="s">
        <v>549</v>
      </c>
      <c r="I123" s="74" t="s">
        <v>356</v>
      </c>
      <c r="J123" s="74"/>
      <c r="K123" s="84">
        <v>1.9499999999998869</v>
      </c>
      <c r="L123" s="87" t="s">
        <v>165</v>
      </c>
      <c r="M123" s="88">
        <v>4.9000000000000002E-2</v>
      </c>
      <c r="N123" s="88">
        <v>3.4399999999998515E-2</v>
      </c>
      <c r="O123" s="84">
        <v>6913089.6399479993</v>
      </c>
      <c r="P123" s="86">
        <v>106</v>
      </c>
      <c r="Q123" s="84">
        <v>174.74504541900001</v>
      </c>
      <c r="R123" s="84">
        <v>7502.6202831229994</v>
      </c>
      <c r="S123" s="85">
        <v>1.299426992823036E-2</v>
      </c>
      <c r="T123" s="85">
        <f t="shared" si="1"/>
        <v>1.7251078183068403E-3</v>
      </c>
      <c r="U123" s="85">
        <f>R123/'סכום נכסי הקרן'!$C$42</f>
        <v>1.4402893921480555E-4</v>
      </c>
    </row>
    <row r="124" spans="2:21" s="122" customFormat="1">
      <c r="B124" s="77" t="s">
        <v>617</v>
      </c>
      <c r="C124" s="74" t="s">
        <v>618</v>
      </c>
      <c r="D124" s="87" t="s">
        <v>123</v>
      </c>
      <c r="E124" s="87" t="s">
        <v>352</v>
      </c>
      <c r="F124" s="74" t="s">
        <v>520</v>
      </c>
      <c r="G124" s="87" t="s">
        <v>3376</v>
      </c>
      <c r="H124" s="74" t="s">
        <v>549</v>
      </c>
      <c r="I124" s="74" t="s">
        <v>356</v>
      </c>
      <c r="J124" s="74"/>
      <c r="K124" s="84">
        <v>4.6799999999984134</v>
      </c>
      <c r="L124" s="87" t="s">
        <v>165</v>
      </c>
      <c r="M124" s="88">
        <v>2.3E-2</v>
      </c>
      <c r="N124" s="88">
        <v>3.4699999999988601E-2</v>
      </c>
      <c r="O124" s="84">
        <v>1039762.6460600001</v>
      </c>
      <c r="P124" s="86">
        <v>97</v>
      </c>
      <c r="Q124" s="74"/>
      <c r="R124" s="84">
        <v>1008.569786145</v>
      </c>
      <c r="S124" s="85">
        <v>7.6153042915172908E-4</v>
      </c>
      <c r="T124" s="85">
        <f t="shared" si="1"/>
        <v>2.319045290484246E-4</v>
      </c>
      <c r="U124" s="85">
        <f>R124/'סכום נכסי הקרן'!$C$42</f>
        <v>1.9361667116398588E-5</v>
      </c>
    </row>
    <row r="125" spans="2:21" s="122" customFormat="1">
      <c r="B125" s="77" t="s">
        <v>619</v>
      </c>
      <c r="C125" s="74" t="s">
        <v>620</v>
      </c>
      <c r="D125" s="87" t="s">
        <v>123</v>
      </c>
      <c r="E125" s="87" t="s">
        <v>352</v>
      </c>
      <c r="F125" s="74" t="s">
        <v>520</v>
      </c>
      <c r="G125" s="87" t="s">
        <v>3376</v>
      </c>
      <c r="H125" s="74" t="s">
        <v>549</v>
      </c>
      <c r="I125" s="74" t="s">
        <v>356</v>
      </c>
      <c r="J125" s="74"/>
      <c r="K125" s="84">
        <v>1.5899999999999741</v>
      </c>
      <c r="L125" s="87" t="s">
        <v>165</v>
      </c>
      <c r="M125" s="88">
        <v>5.8499999999999996E-2</v>
      </c>
      <c r="N125" s="88">
        <v>2.9400000000001411E-2</v>
      </c>
      <c r="O125" s="84">
        <v>4658656.6763150003</v>
      </c>
      <c r="P125" s="86">
        <v>115.65</v>
      </c>
      <c r="Q125" s="74"/>
      <c r="R125" s="84">
        <v>5387.7363859460002</v>
      </c>
      <c r="S125" s="85">
        <v>5.6470303963695586E-3</v>
      </c>
      <c r="T125" s="85">
        <f t="shared" si="1"/>
        <v>1.2388240123626299E-3</v>
      </c>
      <c r="U125" s="85">
        <f>R125/'סכום נכסי הקרן'!$C$42</f>
        <v>1.0342919235595425E-4</v>
      </c>
    </row>
    <row r="126" spans="2:21" s="122" customFormat="1">
      <c r="B126" s="77" t="s">
        <v>621</v>
      </c>
      <c r="C126" s="74" t="s">
        <v>622</v>
      </c>
      <c r="D126" s="87" t="s">
        <v>123</v>
      </c>
      <c r="E126" s="87" t="s">
        <v>352</v>
      </c>
      <c r="F126" s="74" t="s">
        <v>520</v>
      </c>
      <c r="G126" s="87" t="s">
        <v>3376</v>
      </c>
      <c r="H126" s="74" t="s">
        <v>549</v>
      </c>
      <c r="I126" s="74" t="s">
        <v>356</v>
      </c>
      <c r="J126" s="74"/>
      <c r="K126" s="84">
        <v>6.1900000000005297</v>
      </c>
      <c r="L126" s="87" t="s">
        <v>165</v>
      </c>
      <c r="M126" s="88">
        <v>2.2499999999999999E-2</v>
      </c>
      <c r="N126" s="88">
        <v>3.2300000000003208E-2</v>
      </c>
      <c r="O126" s="84">
        <v>4794812.7524769995</v>
      </c>
      <c r="P126" s="86">
        <v>96.14</v>
      </c>
      <c r="Q126" s="74"/>
      <c r="R126" s="84">
        <v>4609.7329837239995</v>
      </c>
      <c r="S126" s="85">
        <v>1.2191384322381165E-2</v>
      </c>
      <c r="T126" s="85">
        <f t="shared" si="1"/>
        <v>1.0599345442575184E-3</v>
      </c>
      <c r="U126" s="85">
        <f>R126/'סכום נכסי הקרן'!$C$42</f>
        <v>8.8493743073040377E-5</v>
      </c>
    </row>
    <row r="127" spans="2:21" s="122" customFormat="1">
      <c r="B127" s="77" t="s">
        <v>623</v>
      </c>
      <c r="C127" s="74" t="s">
        <v>624</v>
      </c>
      <c r="D127" s="87" t="s">
        <v>123</v>
      </c>
      <c r="E127" s="87" t="s">
        <v>352</v>
      </c>
      <c r="F127" s="74" t="s">
        <v>625</v>
      </c>
      <c r="G127" s="87" t="s">
        <v>488</v>
      </c>
      <c r="H127" s="74" t="s">
        <v>557</v>
      </c>
      <c r="I127" s="74" t="s">
        <v>163</v>
      </c>
      <c r="J127" s="74"/>
      <c r="K127" s="84">
        <v>1.2199999999997382</v>
      </c>
      <c r="L127" s="87" t="s">
        <v>165</v>
      </c>
      <c r="M127" s="88">
        <v>4.0500000000000001E-2</v>
      </c>
      <c r="N127" s="88">
        <v>2.0000000000174476E-4</v>
      </c>
      <c r="O127" s="84">
        <v>1407028.8830530001</v>
      </c>
      <c r="P127" s="86">
        <v>130.35</v>
      </c>
      <c r="Q127" s="74"/>
      <c r="R127" s="84">
        <v>1834.0622882340001</v>
      </c>
      <c r="S127" s="85">
        <v>1.2897730367371522E-2</v>
      </c>
      <c r="T127" s="85">
        <f t="shared" si="1"/>
        <v>4.2171335790663211E-4</v>
      </c>
      <c r="U127" s="85">
        <f>R127/'סכום נכסי הקרן'!$C$42</f>
        <v>3.5208771850341466E-5</v>
      </c>
    </row>
    <row r="128" spans="2:21" s="122" customFormat="1">
      <c r="B128" s="77" t="s">
        <v>626</v>
      </c>
      <c r="C128" s="74" t="s">
        <v>627</v>
      </c>
      <c r="D128" s="87" t="s">
        <v>123</v>
      </c>
      <c r="E128" s="87" t="s">
        <v>352</v>
      </c>
      <c r="F128" s="74" t="s">
        <v>628</v>
      </c>
      <c r="G128" s="87" t="s">
        <v>3376</v>
      </c>
      <c r="H128" s="74" t="s">
        <v>557</v>
      </c>
      <c r="I128" s="74" t="s">
        <v>163</v>
      </c>
      <c r="J128" s="74"/>
      <c r="K128" s="84">
        <v>6.9699999999996143</v>
      </c>
      <c r="L128" s="87" t="s">
        <v>165</v>
      </c>
      <c r="M128" s="88">
        <v>1.9599999999999999E-2</v>
      </c>
      <c r="N128" s="88">
        <v>1.929999999999869E-2</v>
      </c>
      <c r="O128" s="84">
        <v>8900353.7784269992</v>
      </c>
      <c r="P128" s="86">
        <v>101.9</v>
      </c>
      <c r="Q128" s="74"/>
      <c r="R128" s="84">
        <v>9069.4609004829999</v>
      </c>
      <c r="S128" s="85">
        <v>9.0238766354863928E-3</v>
      </c>
      <c r="T128" s="85">
        <f t="shared" si="1"/>
        <v>2.0853778169270198E-3</v>
      </c>
      <c r="U128" s="85">
        <f>R128/'סכום נכסי הקרן'!$C$42</f>
        <v>1.7410781612993789E-4</v>
      </c>
    </row>
    <row r="129" spans="2:21" s="122" customFormat="1">
      <c r="B129" s="77" t="s">
        <v>629</v>
      </c>
      <c r="C129" s="74" t="s">
        <v>630</v>
      </c>
      <c r="D129" s="87" t="s">
        <v>123</v>
      </c>
      <c r="E129" s="87" t="s">
        <v>352</v>
      </c>
      <c r="F129" s="74" t="s">
        <v>628</v>
      </c>
      <c r="G129" s="87" t="s">
        <v>3376</v>
      </c>
      <c r="H129" s="74" t="s">
        <v>557</v>
      </c>
      <c r="I129" s="74" t="s">
        <v>163</v>
      </c>
      <c r="J129" s="74"/>
      <c r="K129" s="84">
        <v>2.9600000000003659</v>
      </c>
      <c r="L129" s="87" t="s">
        <v>165</v>
      </c>
      <c r="M129" s="88">
        <v>2.75E-2</v>
      </c>
      <c r="N129" s="88">
        <v>1.7300000000001828E-2</v>
      </c>
      <c r="O129" s="84">
        <v>2191041.820059</v>
      </c>
      <c r="P129" s="86">
        <v>104.75</v>
      </c>
      <c r="Q129" s="74"/>
      <c r="R129" s="84">
        <v>2295.116379046</v>
      </c>
      <c r="S129" s="85">
        <v>5.0724532054148485E-3</v>
      </c>
      <c r="T129" s="85">
        <f t="shared" si="1"/>
        <v>5.2772538926470288E-4</v>
      </c>
      <c r="U129" s="85">
        <f>R129/'סכום נכסי הקרן'!$C$42</f>
        <v>4.4059697142359255E-5</v>
      </c>
    </row>
    <row r="130" spans="2:21" s="122" customFormat="1">
      <c r="B130" s="77" t="s">
        <v>631</v>
      </c>
      <c r="C130" s="74" t="s">
        <v>632</v>
      </c>
      <c r="D130" s="87" t="s">
        <v>123</v>
      </c>
      <c r="E130" s="87" t="s">
        <v>352</v>
      </c>
      <c r="F130" s="74" t="s">
        <v>405</v>
      </c>
      <c r="G130" s="87" t="s">
        <v>362</v>
      </c>
      <c r="H130" s="74" t="s">
        <v>557</v>
      </c>
      <c r="I130" s="74" t="s">
        <v>163</v>
      </c>
      <c r="J130" s="74"/>
      <c r="K130" s="84">
        <v>2.9899999999999931</v>
      </c>
      <c r="L130" s="87" t="s">
        <v>165</v>
      </c>
      <c r="M130" s="88">
        <v>1.4199999999999999E-2</v>
      </c>
      <c r="N130" s="88">
        <v>3.4599999999999721E-2</v>
      </c>
      <c r="O130" s="84">
        <f>27487652.6343/50000</f>
        <v>549.75305268600005</v>
      </c>
      <c r="P130" s="86">
        <v>4820000</v>
      </c>
      <c r="Q130" s="74"/>
      <c r="R130" s="84">
        <v>26498.096293581999</v>
      </c>
      <c r="S130" s="85">
        <f>129701.564829425%/50000</f>
        <v>2.5940312965885001E-2</v>
      </c>
      <c r="T130" s="85">
        <f t="shared" si="1"/>
        <v>6.0928144249995219E-3</v>
      </c>
      <c r="U130" s="85">
        <f>R130/'סכום נכסי הקרן'!$C$42</f>
        <v>5.0868797251561748E-4</v>
      </c>
    </row>
    <row r="131" spans="2:21" s="122" customFormat="1">
      <c r="B131" s="77" t="s">
        <v>633</v>
      </c>
      <c r="C131" s="74" t="s">
        <v>634</v>
      </c>
      <c r="D131" s="87" t="s">
        <v>123</v>
      </c>
      <c r="E131" s="87" t="s">
        <v>352</v>
      </c>
      <c r="F131" s="74" t="s">
        <v>405</v>
      </c>
      <c r="G131" s="87" t="s">
        <v>362</v>
      </c>
      <c r="H131" s="74" t="s">
        <v>557</v>
      </c>
      <c r="I131" s="74" t="s">
        <v>163</v>
      </c>
      <c r="J131" s="74"/>
      <c r="K131" s="84">
        <v>4.8100000000001684</v>
      </c>
      <c r="L131" s="87" t="s">
        <v>165</v>
      </c>
      <c r="M131" s="88">
        <v>2.0199999999999999E-2</v>
      </c>
      <c r="N131" s="88">
        <v>1.8400000000000614E-2</v>
      </c>
      <c r="O131" s="84">
        <f>3170285.2534/50000</f>
        <v>63.405705067999996</v>
      </c>
      <c r="P131" s="116">
        <v>5048000</v>
      </c>
      <c r="Q131" s="84">
        <v>64.454921635000005</v>
      </c>
      <c r="R131" s="84">
        <v>3264.8236316450002</v>
      </c>
      <c r="S131" s="85">
        <f>15064.3157681159%/50000</f>
        <v>3.0128631536231795E-3</v>
      </c>
      <c r="T131" s="85">
        <f t="shared" si="1"/>
        <v>7.5069409883546769E-4</v>
      </c>
      <c r="U131" s="85">
        <f>R131/'סכום נכסי הקרן'!$C$42</f>
        <v>6.2675314309459297E-5</v>
      </c>
    </row>
    <row r="132" spans="2:21" s="122" customFormat="1">
      <c r="B132" s="77" t="s">
        <v>635</v>
      </c>
      <c r="C132" s="74" t="s">
        <v>636</v>
      </c>
      <c r="D132" s="87" t="s">
        <v>123</v>
      </c>
      <c r="E132" s="87" t="s">
        <v>352</v>
      </c>
      <c r="F132" s="74" t="s">
        <v>405</v>
      </c>
      <c r="G132" s="87" t="s">
        <v>362</v>
      </c>
      <c r="H132" s="74" t="s">
        <v>557</v>
      </c>
      <c r="I132" s="74" t="s">
        <v>163</v>
      </c>
      <c r="J132" s="74"/>
      <c r="K132" s="84">
        <v>3.6599999999999602</v>
      </c>
      <c r="L132" s="87" t="s">
        <v>165</v>
      </c>
      <c r="M132" s="88">
        <v>1.5900000000000001E-2</v>
      </c>
      <c r="N132" s="88">
        <v>2.3699999999999385E-2</v>
      </c>
      <c r="O132" s="84">
        <f>20052409.6409/50000</f>
        <v>401.04819281800002</v>
      </c>
      <c r="P132" s="86">
        <v>4885714</v>
      </c>
      <c r="Q132" s="74"/>
      <c r="R132" s="84">
        <v>19594.067872432999</v>
      </c>
      <c r="S132" s="85">
        <f>133950.632203741%/50000</f>
        <v>2.6790126440748199E-2</v>
      </c>
      <c r="T132" s="85">
        <f t="shared" si="1"/>
        <v>4.5053432539036691E-3</v>
      </c>
      <c r="U132" s="85">
        <f>R132/'סכום נכסי הקרן'!$C$42</f>
        <v>3.761502920409974E-4</v>
      </c>
    </row>
    <row r="133" spans="2:21" s="122" customFormat="1">
      <c r="B133" s="77" t="s">
        <v>637</v>
      </c>
      <c r="C133" s="74" t="s">
        <v>638</v>
      </c>
      <c r="D133" s="87" t="s">
        <v>123</v>
      </c>
      <c r="E133" s="87" t="s">
        <v>352</v>
      </c>
      <c r="F133" s="74" t="s">
        <v>639</v>
      </c>
      <c r="G133" s="87" t="s">
        <v>492</v>
      </c>
      <c r="H133" s="74" t="s">
        <v>549</v>
      </c>
      <c r="I133" s="74" t="s">
        <v>356</v>
      </c>
      <c r="J133" s="74"/>
      <c r="K133" s="84">
        <v>4.3999999999998494</v>
      </c>
      <c r="L133" s="87" t="s">
        <v>165</v>
      </c>
      <c r="M133" s="88">
        <v>1.9400000000000001E-2</v>
      </c>
      <c r="N133" s="88">
        <v>2.0099999999999715E-2</v>
      </c>
      <c r="O133" s="84">
        <v>7846062.1873749997</v>
      </c>
      <c r="P133" s="86">
        <v>101.28</v>
      </c>
      <c r="Q133" s="74"/>
      <c r="R133" s="84">
        <v>7946.4910794229991</v>
      </c>
      <c r="S133" s="85">
        <v>1.4475454839317904E-2</v>
      </c>
      <c r="T133" s="85">
        <f t="shared" si="1"/>
        <v>1.8271688252776575E-3</v>
      </c>
      <c r="U133" s="85">
        <f>R133/'סכום נכסי הקרן'!$C$42</f>
        <v>1.5254999419653373E-4</v>
      </c>
    </row>
    <row r="134" spans="2:21" s="122" customFormat="1">
      <c r="B134" s="77" t="s">
        <v>640</v>
      </c>
      <c r="C134" s="74" t="s">
        <v>641</v>
      </c>
      <c r="D134" s="87" t="s">
        <v>123</v>
      </c>
      <c r="E134" s="87" t="s">
        <v>352</v>
      </c>
      <c r="F134" s="74" t="s">
        <v>639</v>
      </c>
      <c r="G134" s="87" t="s">
        <v>492</v>
      </c>
      <c r="H134" s="74" t="s">
        <v>549</v>
      </c>
      <c r="I134" s="74" t="s">
        <v>356</v>
      </c>
      <c r="J134" s="74"/>
      <c r="K134" s="84">
        <v>5.3700000000000712</v>
      </c>
      <c r="L134" s="87" t="s">
        <v>165</v>
      </c>
      <c r="M134" s="88">
        <v>1.23E-2</v>
      </c>
      <c r="N134" s="88">
        <v>2.1000000000000432E-2</v>
      </c>
      <c r="O134" s="84">
        <v>31184151.499963</v>
      </c>
      <c r="P134" s="86">
        <v>96.55</v>
      </c>
      <c r="Q134" s="74"/>
      <c r="R134" s="84">
        <v>30108.296682196997</v>
      </c>
      <c r="S134" s="85">
        <v>1.790117518942869E-2</v>
      </c>
      <c r="T134" s="85">
        <f t="shared" si="1"/>
        <v>6.9229223980851202E-3</v>
      </c>
      <c r="U134" s="85">
        <f>R134/'סכום נכסי הקרן'!$C$42</f>
        <v>5.7799353679890747E-4</v>
      </c>
    </row>
    <row r="135" spans="2:21" s="122" customFormat="1">
      <c r="B135" s="77" t="s">
        <v>642</v>
      </c>
      <c r="C135" s="74" t="s">
        <v>643</v>
      </c>
      <c r="D135" s="87" t="s">
        <v>123</v>
      </c>
      <c r="E135" s="87" t="s">
        <v>352</v>
      </c>
      <c r="F135" s="74" t="s">
        <v>644</v>
      </c>
      <c r="G135" s="87" t="s">
        <v>488</v>
      </c>
      <c r="H135" s="74" t="s">
        <v>557</v>
      </c>
      <c r="I135" s="74" t="s">
        <v>163</v>
      </c>
      <c r="J135" s="74"/>
      <c r="K135" s="84">
        <v>6.1200000000003358</v>
      </c>
      <c r="L135" s="87" t="s">
        <v>165</v>
      </c>
      <c r="M135" s="88">
        <v>2.2499999999999999E-2</v>
      </c>
      <c r="N135" s="88">
        <v>1.2400000000001465E-2</v>
      </c>
      <c r="O135" s="84">
        <v>3510402.3991200002</v>
      </c>
      <c r="P135" s="86">
        <v>108.84</v>
      </c>
      <c r="Q135" s="74"/>
      <c r="R135" s="84">
        <v>3820.7218500809995</v>
      </c>
      <c r="S135" s="85">
        <v>8.5804545428647058E-3</v>
      </c>
      <c r="T135" s="85">
        <f t="shared" si="1"/>
        <v>8.7851402395736175E-4</v>
      </c>
      <c r="U135" s="85">
        <f>R135/'סכום נכסי הקרן'!$C$42</f>
        <v>7.3346976700909778E-5</v>
      </c>
    </row>
    <row r="136" spans="2:21" s="122" customFormat="1">
      <c r="B136" s="77" t="s">
        <v>645</v>
      </c>
      <c r="C136" s="74" t="s">
        <v>646</v>
      </c>
      <c r="D136" s="87" t="s">
        <v>123</v>
      </c>
      <c r="E136" s="87" t="s">
        <v>352</v>
      </c>
      <c r="F136" s="74" t="s">
        <v>647</v>
      </c>
      <c r="G136" s="87" t="s">
        <v>3376</v>
      </c>
      <c r="H136" s="74" t="s">
        <v>557</v>
      </c>
      <c r="I136" s="74" t="s">
        <v>163</v>
      </c>
      <c r="J136" s="74"/>
      <c r="K136" s="84">
        <v>4.1800000000004554</v>
      </c>
      <c r="L136" s="87" t="s">
        <v>165</v>
      </c>
      <c r="M136" s="88">
        <v>1.6E-2</v>
      </c>
      <c r="N136" s="88">
        <v>1.2099999999997724E-2</v>
      </c>
      <c r="O136" s="84">
        <v>1271481.5762730001</v>
      </c>
      <c r="P136" s="86">
        <v>103.73</v>
      </c>
      <c r="Q136" s="74"/>
      <c r="R136" s="84">
        <v>1318.90790603</v>
      </c>
      <c r="S136" s="85">
        <v>8.0209370767451351E-3</v>
      </c>
      <c r="T136" s="85">
        <f t="shared" si="1"/>
        <v>3.0326182779597769E-4</v>
      </c>
      <c r="U136" s="85">
        <f>R136/'סכום נכסי הקרן'!$C$42</f>
        <v>2.5319275061118951E-5</v>
      </c>
    </row>
    <row r="137" spans="2:21" s="122" customFormat="1">
      <c r="B137" s="77" t="s">
        <v>670</v>
      </c>
      <c r="C137" s="74" t="s">
        <v>671</v>
      </c>
      <c r="D137" s="87" t="s">
        <v>123</v>
      </c>
      <c r="E137" s="87" t="s">
        <v>352</v>
      </c>
      <c r="F137" s="74" t="s">
        <v>517</v>
      </c>
      <c r="G137" s="87" t="s">
        <v>3376</v>
      </c>
      <c r="H137" s="74" t="s">
        <v>456</v>
      </c>
      <c r="I137" s="74" t="s">
        <v>356</v>
      </c>
      <c r="J137" s="74"/>
      <c r="K137" s="84">
        <v>5.0500000000000327</v>
      </c>
      <c r="L137" s="87" t="s">
        <v>165</v>
      </c>
      <c r="M137" s="88">
        <v>2.4E-2</v>
      </c>
      <c r="N137" s="88">
        <v>1.8999999999999375E-2</v>
      </c>
      <c r="O137" s="84">
        <v>1539398.8973749997</v>
      </c>
      <c r="P137" s="86">
        <v>103.3</v>
      </c>
      <c r="Q137" s="74"/>
      <c r="R137" s="84">
        <v>1590.1989461389996</v>
      </c>
      <c r="S137" s="85">
        <v>3.134911264322185E-3</v>
      </c>
      <c r="T137" s="85">
        <f>R137/$R$11</f>
        <v>3.6564087360500006E-4</v>
      </c>
      <c r="U137" s="85">
        <f>R137/'סכום נכסי הקרן'!$C$42</f>
        <v>3.0527290294580272E-5</v>
      </c>
    </row>
    <row r="138" spans="2:21" s="122" customFormat="1">
      <c r="B138" s="77" t="s">
        <v>668</v>
      </c>
      <c r="C138" s="74" t="s">
        <v>669</v>
      </c>
      <c r="D138" s="87" t="s">
        <v>123</v>
      </c>
      <c r="E138" s="87" t="s">
        <v>352</v>
      </c>
      <c r="F138" s="74" t="s">
        <v>517</v>
      </c>
      <c r="G138" s="87" t="s">
        <v>3376</v>
      </c>
      <c r="H138" s="74" t="s">
        <v>549</v>
      </c>
      <c r="I138" s="74" t="s">
        <v>356</v>
      </c>
      <c r="J138" s="74"/>
      <c r="K138" s="84">
        <v>2.9699999999970208</v>
      </c>
      <c r="L138" s="87" t="s">
        <v>165</v>
      </c>
      <c r="M138" s="88">
        <v>4.4000000000000004E-2</v>
      </c>
      <c r="N138" s="88">
        <v>1.8499999999990691E-2</v>
      </c>
      <c r="O138" s="84">
        <v>196981.17532000001</v>
      </c>
      <c r="P138" s="86">
        <v>109.08</v>
      </c>
      <c r="Q138" s="74"/>
      <c r="R138" s="84">
        <v>214.86707481200003</v>
      </c>
      <c r="S138" s="85">
        <v>7.5936644790710944E-4</v>
      </c>
      <c r="T138" s="85">
        <f>R138/$R$11</f>
        <v>4.9405255319760016E-5</v>
      </c>
      <c r="U138" s="85">
        <f>R138/'סכום נכסי הקרן'!$C$42</f>
        <v>4.1248358159582576E-6</v>
      </c>
    </row>
    <row r="139" spans="2:21" s="122" customFormat="1">
      <c r="B139" s="77" t="s">
        <v>672</v>
      </c>
      <c r="C139" s="74" t="s">
        <v>673</v>
      </c>
      <c r="D139" s="87" t="s">
        <v>123</v>
      </c>
      <c r="E139" s="87" t="s">
        <v>352</v>
      </c>
      <c r="F139" s="74" t="s">
        <v>517</v>
      </c>
      <c r="G139" s="87" t="s">
        <v>3376</v>
      </c>
      <c r="H139" s="74" t="s">
        <v>549</v>
      </c>
      <c r="I139" s="74" t="s">
        <v>356</v>
      </c>
      <c r="J139" s="74"/>
      <c r="K139" s="84">
        <v>6.049999999999792</v>
      </c>
      <c r="L139" s="87" t="s">
        <v>165</v>
      </c>
      <c r="M139" s="88">
        <v>2.6000000000000002E-2</v>
      </c>
      <c r="N139" s="88">
        <v>2.2399999999999073E-2</v>
      </c>
      <c r="O139" s="84">
        <v>10394689.13569</v>
      </c>
      <c r="P139" s="86">
        <v>103.54</v>
      </c>
      <c r="Q139" s="74"/>
      <c r="R139" s="84">
        <v>10762.661400425</v>
      </c>
      <c r="S139" s="85">
        <v>1.7669100019598923E-2</v>
      </c>
      <c r="T139" s="85">
        <f>R139/$R$11</f>
        <v>2.4747022542814761E-3</v>
      </c>
      <c r="U139" s="85">
        <f>R139/'סכום נכסי הקרן'!$C$42</f>
        <v>2.0661244287123858E-4</v>
      </c>
    </row>
    <row r="140" spans="2:21" s="122" customFormat="1">
      <c r="B140" s="77" t="s">
        <v>648</v>
      </c>
      <c r="C140" s="74" t="s">
        <v>649</v>
      </c>
      <c r="D140" s="87" t="s">
        <v>123</v>
      </c>
      <c r="E140" s="87" t="s">
        <v>352</v>
      </c>
      <c r="F140" s="74" t="s">
        <v>650</v>
      </c>
      <c r="G140" s="87" t="s">
        <v>159</v>
      </c>
      <c r="H140" s="74" t="s">
        <v>549</v>
      </c>
      <c r="I140" s="74" t="s">
        <v>356</v>
      </c>
      <c r="J140" s="74"/>
      <c r="K140" s="84">
        <v>1.6099999999999948</v>
      </c>
      <c r="L140" s="87" t="s">
        <v>165</v>
      </c>
      <c r="M140" s="88">
        <v>2.1499999999999998E-2</v>
      </c>
      <c r="N140" s="88">
        <v>4.5499999999998202E-2</v>
      </c>
      <c r="O140" s="84">
        <v>9247347.8600829989</v>
      </c>
      <c r="P140" s="86">
        <v>96.96</v>
      </c>
      <c r="Q140" s="84">
        <v>830.16487013300002</v>
      </c>
      <c r="R140" s="84">
        <v>9796.3933550050006</v>
      </c>
      <c r="S140" s="85">
        <v>1.4317858707777791E-2</v>
      </c>
      <c r="T140" s="85">
        <f t="shared" si="1"/>
        <v>2.2525243355237048E-3</v>
      </c>
      <c r="U140" s="85">
        <f>R140/'סכום נכסי הקרן'!$C$42</f>
        <v>1.8806284868584875E-4</v>
      </c>
    </row>
    <row r="141" spans="2:21" s="122" customFormat="1">
      <c r="B141" s="77" t="s">
        <v>651</v>
      </c>
      <c r="C141" s="74" t="s">
        <v>652</v>
      </c>
      <c r="D141" s="87" t="s">
        <v>123</v>
      </c>
      <c r="E141" s="87" t="s">
        <v>352</v>
      </c>
      <c r="F141" s="74" t="s">
        <v>650</v>
      </c>
      <c r="G141" s="87" t="s">
        <v>159</v>
      </c>
      <c r="H141" s="74" t="s">
        <v>549</v>
      </c>
      <c r="I141" s="74" t="s">
        <v>356</v>
      </c>
      <c r="J141" s="74"/>
      <c r="K141" s="84">
        <v>3.0299999999997089</v>
      </c>
      <c r="L141" s="87" t="s">
        <v>165</v>
      </c>
      <c r="M141" s="88">
        <v>1.8000000000000002E-2</v>
      </c>
      <c r="N141" s="88">
        <v>4.3599999999997016E-2</v>
      </c>
      <c r="O141" s="84">
        <v>6041845.4970620004</v>
      </c>
      <c r="P141" s="86">
        <v>93.3</v>
      </c>
      <c r="Q141" s="74"/>
      <c r="R141" s="84">
        <v>5637.0417882880001</v>
      </c>
      <c r="S141" s="85">
        <v>8.6829474529102179E-3</v>
      </c>
      <c r="T141" s="85">
        <f t="shared" si="1"/>
        <v>1.2961478115816535E-3</v>
      </c>
      <c r="U141" s="85">
        <f>R141/'סכום נכסי הקרן'!$C$42</f>
        <v>1.0821514596746929E-4</v>
      </c>
    </row>
    <row r="142" spans="2:21" s="122" customFormat="1">
      <c r="B142" s="77" t="s">
        <v>653</v>
      </c>
      <c r="C142" s="74" t="s">
        <v>654</v>
      </c>
      <c r="D142" s="87" t="s">
        <v>123</v>
      </c>
      <c r="E142" s="87" t="s">
        <v>352</v>
      </c>
      <c r="F142" s="74" t="s">
        <v>655</v>
      </c>
      <c r="G142" s="87" t="s">
        <v>362</v>
      </c>
      <c r="H142" s="74" t="s">
        <v>656</v>
      </c>
      <c r="I142" s="74" t="s">
        <v>163</v>
      </c>
      <c r="J142" s="74"/>
      <c r="K142" s="84">
        <v>0.74000000000023691</v>
      </c>
      <c r="L142" s="87" t="s">
        <v>165</v>
      </c>
      <c r="M142" s="88">
        <v>4.1500000000000002E-2</v>
      </c>
      <c r="N142" s="88">
        <v>4.869999999997579E-2</v>
      </c>
      <c r="O142" s="84">
        <v>555236.64390899998</v>
      </c>
      <c r="P142" s="86">
        <v>106.4</v>
      </c>
      <c r="Q142" s="74"/>
      <c r="R142" s="84">
        <v>590.77179838899997</v>
      </c>
      <c r="S142" s="85">
        <v>2.767924204266583E-3</v>
      </c>
      <c r="T142" s="85">
        <f t="shared" ref="T142:T164" si="2">R142/$R$11</f>
        <v>1.358385483707077E-4</v>
      </c>
      <c r="U142" s="85">
        <f>R142/'סכום נכסי הקרן'!$C$42</f>
        <v>1.1341135793769945E-5</v>
      </c>
    </row>
    <row r="143" spans="2:21" s="122" customFormat="1">
      <c r="B143" s="77" t="s">
        <v>657</v>
      </c>
      <c r="C143" s="74" t="s">
        <v>658</v>
      </c>
      <c r="D143" s="87" t="s">
        <v>123</v>
      </c>
      <c r="E143" s="87" t="s">
        <v>352</v>
      </c>
      <c r="F143" s="74" t="s">
        <v>659</v>
      </c>
      <c r="G143" s="87" t="s">
        <v>159</v>
      </c>
      <c r="H143" s="74" t="s">
        <v>660</v>
      </c>
      <c r="I143" s="74" t="s">
        <v>356</v>
      </c>
      <c r="J143" s="74"/>
      <c r="K143" s="84">
        <v>2.2300000000003002</v>
      </c>
      <c r="L143" s="87" t="s">
        <v>165</v>
      </c>
      <c r="M143" s="88">
        <v>3.15E-2</v>
      </c>
      <c r="N143" s="88">
        <v>0.17940000000001852</v>
      </c>
      <c r="O143" s="84">
        <v>5000608.987892</v>
      </c>
      <c r="P143" s="86">
        <v>73.3</v>
      </c>
      <c r="Q143" s="74"/>
      <c r="R143" s="84">
        <v>3665.4463887299999</v>
      </c>
      <c r="S143" s="85">
        <v>1.3169117723610723E-2</v>
      </c>
      <c r="T143" s="85">
        <f t="shared" si="2"/>
        <v>8.4281090927749817E-4</v>
      </c>
      <c r="U143" s="85">
        <f>R143/'סכום נכסי הקרן'!$C$42</f>
        <v>7.0366130124576733E-5</v>
      </c>
    </row>
    <row r="144" spans="2:21" s="122" customFormat="1">
      <c r="B144" s="77" t="s">
        <v>661</v>
      </c>
      <c r="C144" s="74" t="s">
        <v>662</v>
      </c>
      <c r="D144" s="87" t="s">
        <v>123</v>
      </c>
      <c r="E144" s="87" t="s">
        <v>352</v>
      </c>
      <c r="F144" s="74" t="s">
        <v>659</v>
      </c>
      <c r="G144" s="87" t="s">
        <v>159</v>
      </c>
      <c r="H144" s="74" t="s">
        <v>660</v>
      </c>
      <c r="I144" s="74" t="s">
        <v>356</v>
      </c>
      <c r="J144" s="74"/>
      <c r="K144" s="84">
        <v>1.4200000000003823</v>
      </c>
      <c r="L144" s="87" t="s">
        <v>165</v>
      </c>
      <c r="M144" s="88">
        <v>2.8500000000000001E-2</v>
      </c>
      <c r="N144" s="88">
        <v>0.21690000000003007</v>
      </c>
      <c r="O144" s="84">
        <v>2816002.5331890001</v>
      </c>
      <c r="P144" s="86">
        <v>79.900000000000006</v>
      </c>
      <c r="Q144" s="74"/>
      <c r="R144" s="84">
        <v>2249.9858241669999</v>
      </c>
      <c r="S144" s="85">
        <v>1.2874624646000719E-2</v>
      </c>
      <c r="T144" s="85">
        <f t="shared" si="2"/>
        <v>5.173483382973998E-4</v>
      </c>
      <c r="U144" s="85">
        <f>R144/'סכום נכסי הקרן'!$C$42</f>
        <v>4.3193319037096503E-5</v>
      </c>
    </row>
    <row r="145" spans="2:21" s="122" customFormat="1">
      <c r="B145" s="77" t="s">
        <v>663</v>
      </c>
      <c r="C145" s="74" t="s">
        <v>664</v>
      </c>
      <c r="D145" s="87" t="s">
        <v>123</v>
      </c>
      <c r="E145" s="87" t="s">
        <v>352</v>
      </c>
      <c r="F145" s="74" t="s">
        <v>665</v>
      </c>
      <c r="G145" s="87" t="s">
        <v>3376</v>
      </c>
      <c r="H145" s="74" t="s">
        <v>656</v>
      </c>
      <c r="I145" s="74" t="s">
        <v>163</v>
      </c>
      <c r="J145" s="74"/>
      <c r="K145" s="84">
        <v>4.5400000000001599</v>
      </c>
      <c r="L145" s="87" t="s">
        <v>165</v>
      </c>
      <c r="M145" s="88">
        <v>2.5000000000000001E-2</v>
      </c>
      <c r="N145" s="88">
        <v>3.0300000000002113E-2</v>
      </c>
      <c r="O145" s="84">
        <v>2757457.3560570003</v>
      </c>
      <c r="P145" s="86">
        <v>99.63</v>
      </c>
      <c r="Q145" s="74"/>
      <c r="R145" s="84">
        <v>2747.254858414</v>
      </c>
      <c r="S145" s="85">
        <v>1.2211251713252934E-2</v>
      </c>
      <c r="T145" s="85">
        <f t="shared" si="2"/>
        <v>6.3168741803346117E-4</v>
      </c>
      <c r="U145" s="85">
        <f>R145/'סכום נכסי הקרן'!$C$42</f>
        <v>5.273946808959175E-5</v>
      </c>
    </row>
    <row r="146" spans="2:21" s="122" customFormat="1">
      <c r="B146" s="77" t="s">
        <v>666</v>
      </c>
      <c r="C146" s="74" t="s">
        <v>667</v>
      </c>
      <c r="D146" s="87" t="s">
        <v>123</v>
      </c>
      <c r="E146" s="87" t="s">
        <v>352</v>
      </c>
      <c r="F146" s="74" t="s">
        <v>665</v>
      </c>
      <c r="G146" s="87" t="s">
        <v>3376</v>
      </c>
      <c r="H146" s="74" t="s">
        <v>656</v>
      </c>
      <c r="I146" s="74" t="s">
        <v>163</v>
      </c>
      <c r="J146" s="74"/>
      <c r="K146" s="84">
        <v>6.7299999999998779</v>
      </c>
      <c r="L146" s="87" t="s">
        <v>165</v>
      </c>
      <c r="M146" s="88">
        <v>1.9E-2</v>
      </c>
      <c r="N146" s="88">
        <v>2.8599999999999622E-2</v>
      </c>
      <c r="O146" s="84">
        <v>6120180.3800879987</v>
      </c>
      <c r="P146" s="86">
        <v>94.96</v>
      </c>
      <c r="Q146" s="74"/>
      <c r="R146" s="84">
        <v>5811.7232460270006</v>
      </c>
      <c r="S146" s="85">
        <v>2.638773118803377E-2</v>
      </c>
      <c r="T146" s="85">
        <f t="shared" si="2"/>
        <v>1.3363130254785442E-3</v>
      </c>
      <c r="U146" s="85">
        <f>R146/'סכום נכסי הקרן'!$C$42</f>
        <v>1.1156853239903897E-4</v>
      </c>
    </row>
    <row r="147" spans="2:21" s="122" customFormat="1">
      <c r="B147" s="77" t="s">
        <v>674</v>
      </c>
      <c r="C147" s="74" t="s">
        <v>675</v>
      </c>
      <c r="D147" s="87" t="s">
        <v>123</v>
      </c>
      <c r="E147" s="87" t="s">
        <v>352</v>
      </c>
      <c r="F147" s="74" t="s">
        <v>647</v>
      </c>
      <c r="G147" s="87" t="s">
        <v>3376</v>
      </c>
      <c r="H147" s="74" t="s">
        <v>656</v>
      </c>
      <c r="I147" s="74" t="s">
        <v>163</v>
      </c>
      <c r="J147" s="74"/>
      <c r="K147" s="84">
        <v>0.24999999999976194</v>
      </c>
      <c r="L147" s="87" t="s">
        <v>165</v>
      </c>
      <c r="M147" s="88">
        <v>4.4999999999999998E-2</v>
      </c>
      <c r="N147" s="88">
        <v>8.6499999999979524E-2</v>
      </c>
      <c r="O147" s="84">
        <v>1940963.4865970002</v>
      </c>
      <c r="P147" s="86">
        <v>108.21</v>
      </c>
      <c r="Q147" s="74"/>
      <c r="R147" s="84">
        <v>2100.3166734819997</v>
      </c>
      <c r="S147" s="85">
        <v>1.117101287250072E-2</v>
      </c>
      <c r="T147" s="85">
        <f t="shared" si="2"/>
        <v>4.8293430529790975E-4</v>
      </c>
      <c r="U147" s="85">
        <f>R147/'סכום נכסי הקרן'!$C$42</f>
        <v>4.0320097656716528E-5</v>
      </c>
    </row>
    <row r="148" spans="2:21" s="122" customFormat="1">
      <c r="B148" s="77" t="s">
        <v>676</v>
      </c>
      <c r="C148" s="74" t="s">
        <v>677</v>
      </c>
      <c r="D148" s="87" t="s">
        <v>123</v>
      </c>
      <c r="E148" s="87" t="s">
        <v>352</v>
      </c>
      <c r="F148" s="74" t="s">
        <v>655</v>
      </c>
      <c r="G148" s="87" t="s">
        <v>362</v>
      </c>
      <c r="H148" s="74" t="s">
        <v>678</v>
      </c>
      <c r="I148" s="74" t="s">
        <v>163</v>
      </c>
      <c r="J148" s="74"/>
      <c r="K148" s="84">
        <v>0.44000000000007061</v>
      </c>
      <c r="L148" s="87" t="s">
        <v>165</v>
      </c>
      <c r="M148" s="88">
        <v>5.2999999999999999E-2</v>
      </c>
      <c r="N148" s="88">
        <v>5.7300000000000767E-2</v>
      </c>
      <c r="O148" s="84">
        <v>5697319.9132160004</v>
      </c>
      <c r="P148" s="86">
        <v>109.33</v>
      </c>
      <c r="Q148" s="74"/>
      <c r="R148" s="84">
        <v>6228.8800508239992</v>
      </c>
      <c r="S148" s="85">
        <v>2.1912263229371631E-2</v>
      </c>
      <c r="T148" s="85">
        <f t="shared" si="2"/>
        <v>1.4322315763658949E-3</v>
      </c>
      <c r="U148" s="85">
        <f>R148/'סכום נכסי הקרן'!$C$42</f>
        <v>1.1957675483517961E-4</v>
      </c>
    </row>
    <row r="149" spans="2:21" s="122" customFormat="1">
      <c r="B149" s="77" t="s">
        <v>679</v>
      </c>
      <c r="C149" s="74" t="s">
        <v>680</v>
      </c>
      <c r="D149" s="87" t="s">
        <v>123</v>
      </c>
      <c r="E149" s="87" t="s">
        <v>352</v>
      </c>
      <c r="F149" s="74" t="s">
        <v>681</v>
      </c>
      <c r="G149" s="87" t="s">
        <v>682</v>
      </c>
      <c r="H149" s="74" t="s">
        <v>678</v>
      </c>
      <c r="I149" s="74" t="s">
        <v>163</v>
      </c>
      <c r="J149" s="74"/>
      <c r="K149" s="84">
        <v>1.2100000186917468</v>
      </c>
      <c r="L149" s="87" t="s">
        <v>165</v>
      </c>
      <c r="M149" s="88">
        <v>5.3499999999999999E-2</v>
      </c>
      <c r="N149" s="88">
        <v>2.3600000425145616E-2</v>
      </c>
      <c r="O149" s="84">
        <v>25.503634999999999</v>
      </c>
      <c r="P149" s="86">
        <v>106.98</v>
      </c>
      <c r="Q149" s="74"/>
      <c r="R149" s="84">
        <v>2.7284769E-2</v>
      </c>
      <c r="S149" s="85">
        <v>2.1710903066121559E-7</v>
      </c>
      <c r="T149" s="85">
        <f t="shared" si="2"/>
        <v>6.2736972612724782E-9</v>
      </c>
      <c r="U149" s="85">
        <f>R149/'סכום נכסי הקרן'!$C$42</f>
        <v>5.2378984774572858E-10</v>
      </c>
    </row>
    <row r="150" spans="2:21" s="122" customFormat="1">
      <c r="B150" s="77" t="s">
        <v>683</v>
      </c>
      <c r="C150" s="74" t="s">
        <v>684</v>
      </c>
      <c r="D150" s="87" t="s">
        <v>123</v>
      </c>
      <c r="E150" s="87" t="s">
        <v>352</v>
      </c>
      <c r="F150" s="74" t="s">
        <v>685</v>
      </c>
      <c r="G150" s="87" t="s">
        <v>682</v>
      </c>
      <c r="H150" s="74" t="s">
        <v>686</v>
      </c>
      <c r="I150" s="74" t="s">
        <v>356</v>
      </c>
      <c r="J150" s="74"/>
      <c r="K150" s="84">
        <v>0.16000000000183304</v>
      </c>
      <c r="L150" s="87" t="s">
        <v>165</v>
      </c>
      <c r="M150" s="88">
        <v>4.8499999999999995E-2</v>
      </c>
      <c r="N150" s="88">
        <v>4.7699999999876279E-2</v>
      </c>
      <c r="O150" s="84">
        <v>88556.655200999987</v>
      </c>
      <c r="P150" s="86">
        <v>123.21</v>
      </c>
      <c r="Q150" s="74"/>
      <c r="R150" s="84">
        <v>109.11064825499997</v>
      </c>
      <c r="S150" s="85">
        <v>1.3021897921992149E-3</v>
      </c>
      <c r="T150" s="85">
        <f t="shared" si="2"/>
        <v>2.5088252538735367E-5</v>
      </c>
      <c r="U150" s="85">
        <f>R150/'סכום נכסי הקרן'!$C$42</f>
        <v>2.094613659251584E-6</v>
      </c>
    </row>
    <row r="151" spans="2:21" s="122" customFormat="1">
      <c r="B151" s="77" t="s">
        <v>687</v>
      </c>
      <c r="C151" s="74" t="s">
        <v>688</v>
      </c>
      <c r="D151" s="87" t="s">
        <v>123</v>
      </c>
      <c r="E151" s="87" t="s">
        <v>352</v>
      </c>
      <c r="F151" s="74" t="s">
        <v>421</v>
      </c>
      <c r="G151" s="87" t="s">
        <v>362</v>
      </c>
      <c r="H151" s="74" t="s">
        <v>686</v>
      </c>
      <c r="I151" s="74" t="s">
        <v>356</v>
      </c>
      <c r="J151" s="74"/>
      <c r="K151" s="84">
        <v>1.6900000000000261</v>
      </c>
      <c r="L151" s="87" t="s">
        <v>165</v>
      </c>
      <c r="M151" s="88">
        <v>5.0999999999999997E-2</v>
      </c>
      <c r="N151" s="88">
        <v>2.7100000000000193E-2</v>
      </c>
      <c r="O151" s="84">
        <v>31103133.226746</v>
      </c>
      <c r="P151" s="86">
        <v>125.89</v>
      </c>
      <c r="Q151" s="84">
        <v>479.56672872299998</v>
      </c>
      <c r="R151" s="84">
        <v>39635.303702212994</v>
      </c>
      <c r="S151" s="85">
        <v>2.7111213397420935E-2</v>
      </c>
      <c r="T151" s="85">
        <f t="shared" si="2"/>
        <v>9.1135056443496579E-3</v>
      </c>
      <c r="U151" s="85">
        <f>R151/'סכום נכסי הקרן'!$C$42</f>
        <v>7.608849351642983E-4</v>
      </c>
    </row>
    <row r="152" spans="2:21" s="122" customFormat="1">
      <c r="B152" s="77" t="s">
        <v>689</v>
      </c>
      <c r="C152" s="74" t="s">
        <v>690</v>
      </c>
      <c r="D152" s="87" t="s">
        <v>123</v>
      </c>
      <c r="E152" s="87" t="s">
        <v>352</v>
      </c>
      <c r="F152" s="74" t="s">
        <v>593</v>
      </c>
      <c r="G152" s="87" t="s">
        <v>362</v>
      </c>
      <c r="H152" s="74" t="s">
        <v>686</v>
      </c>
      <c r="I152" s="74" t="s">
        <v>356</v>
      </c>
      <c r="J152" s="74"/>
      <c r="K152" s="84">
        <v>0.73000000000006027</v>
      </c>
      <c r="L152" s="87" t="s">
        <v>165</v>
      </c>
      <c r="M152" s="88">
        <v>2.4E-2</v>
      </c>
      <c r="N152" s="88">
        <v>3.6799999999996245E-2</v>
      </c>
      <c r="O152" s="84">
        <v>1468582.5400700001</v>
      </c>
      <c r="P152" s="86">
        <v>101.6</v>
      </c>
      <c r="Q152" s="74"/>
      <c r="R152" s="84">
        <v>1492.079866967</v>
      </c>
      <c r="S152" s="85">
        <v>1.6873656438894838E-2</v>
      </c>
      <c r="T152" s="85">
        <f t="shared" si="2"/>
        <v>3.430799569895817E-4</v>
      </c>
      <c r="U152" s="85">
        <f>R152/'סכום נכסי הקרן'!$C$42</f>
        <v>2.8643683453692129E-5</v>
      </c>
    </row>
    <row r="153" spans="2:21" s="122" customFormat="1">
      <c r="B153" s="77" t="s">
        <v>691</v>
      </c>
      <c r="C153" s="74" t="s">
        <v>692</v>
      </c>
      <c r="D153" s="87" t="s">
        <v>123</v>
      </c>
      <c r="E153" s="87" t="s">
        <v>352</v>
      </c>
      <c r="F153" s="74" t="s">
        <v>606</v>
      </c>
      <c r="G153" s="87" t="s">
        <v>3376</v>
      </c>
      <c r="H153" s="74" t="s">
        <v>686</v>
      </c>
      <c r="I153" s="74" t="s">
        <v>356</v>
      </c>
      <c r="J153" s="74"/>
      <c r="K153" s="84">
        <v>2.4899999999993248</v>
      </c>
      <c r="L153" s="87" t="s">
        <v>165</v>
      </c>
      <c r="M153" s="88">
        <v>3.4500000000000003E-2</v>
      </c>
      <c r="N153" s="88">
        <v>2.0699999999991E-2</v>
      </c>
      <c r="O153" s="84">
        <v>170061.65207800001</v>
      </c>
      <c r="P153" s="86">
        <v>104.53</v>
      </c>
      <c r="Q153" s="74"/>
      <c r="R153" s="84">
        <v>177.76544558800001</v>
      </c>
      <c r="S153" s="85">
        <v>5.4044146920347762E-4</v>
      </c>
      <c r="T153" s="85">
        <f t="shared" si="2"/>
        <v>4.0874327693018671E-5</v>
      </c>
      <c r="U153" s="85">
        <f>R153/'סכום נכסי הקרן'!$C$42</f>
        <v>3.4125902139391441E-6</v>
      </c>
    </row>
    <row r="154" spans="2:21" s="122" customFormat="1">
      <c r="B154" s="77" t="s">
        <v>693</v>
      </c>
      <c r="C154" s="74" t="s">
        <v>694</v>
      </c>
      <c r="D154" s="87" t="s">
        <v>123</v>
      </c>
      <c r="E154" s="87" t="s">
        <v>352</v>
      </c>
      <c r="F154" s="74" t="s">
        <v>606</v>
      </c>
      <c r="G154" s="87" t="s">
        <v>3376</v>
      </c>
      <c r="H154" s="74" t="s">
        <v>686</v>
      </c>
      <c r="I154" s="74" t="s">
        <v>356</v>
      </c>
      <c r="J154" s="74"/>
      <c r="K154" s="84">
        <v>3.8500000000004948</v>
      </c>
      <c r="L154" s="87" t="s">
        <v>165</v>
      </c>
      <c r="M154" s="88">
        <v>2.0499999999999997E-2</v>
      </c>
      <c r="N154" s="88">
        <v>1.7500000000005705E-2</v>
      </c>
      <c r="O154" s="84">
        <v>1274370.394209</v>
      </c>
      <c r="P154" s="86">
        <v>103.13</v>
      </c>
      <c r="Q154" s="74"/>
      <c r="R154" s="84">
        <v>1314.2582882709999</v>
      </c>
      <c r="S154" s="85">
        <v>2.2462669296367684E-3</v>
      </c>
      <c r="T154" s="85">
        <f t="shared" si="2"/>
        <v>3.021927223840681E-4</v>
      </c>
      <c r="U154" s="85">
        <f>R154/'סכום נכסי הקרן'!$C$42</f>
        <v>2.5230015643967113E-5</v>
      </c>
    </row>
    <row r="155" spans="2:21" s="122" customFormat="1">
      <c r="B155" s="77" t="s">
        <v>695</v>
      </c>
      <c r="C155" s="74" t="s">
        <v>696</v>
      </c>
      <c r="D155" s="87" t="s">
        <v>123</v>
      </c>
      <c r="E155" s="87" t="s">
        <v>352</v>
      </c>
      <c r="F155" s="74" t="s">
        <v>606</v>
      </c>
      <c r="G155" s="87" t="s">
        <v>3376</v>
      </c>
      <c r="H155" s="74" t="s">
        <v>686</v>
      </c>
      <c r="I155" s="74" t="s">
        <v>356</v>
      </c>
      <c r="J155" s="74"/>
      <c r="K155" s="84">
        <v>4.7499999999998295</v>
      </c>
      <c r="L155" s="87" t="s">
        <v>165</v>
      </c>
      <c r="M155" s="88">
        <v>2.0499999999999997E-2</v>
      </c>
      <c r="N155" s="88">
        <v>1.9699999999999451E-2</v>
      </c>
      <c r="O155" s="84">
        <v>5738096.1006709989</v>
      </c>
      <c r="P155" s="86">
        <v>102</v>
      </c>
      <c r="Q155" s="74"/>
      <c r="R155" s="84">
        <v>5852.8581816559999</v>
      </c>
      <c r="S155" s="85">
        <v>1.0035689414205734E-2</v>
      </c>
      <c r="T155" s="85">
        <f t="shared" si="2"/>
        <v>1.3457713475555342E-3</v>
      </c>
      <c r="U155" s="85">
        <f>R155/'סכום נכסי הקרן'!$C$42</f>
        <v>1.1235820599569446E-4</v>
      </c>
    </row>
    <row r="156" spans="2:21" s="122" customFormat="1">
      <c r="B156" s="77" t="s">
        <v>697</v>
      </c>
      <c r="C156" s="74" t="s">
        <v>698</v>
      </c>
      <c r="D156" s="87" t="s">
        <v>123</v>
      </c>
      <c r="E156" s="87" t="s">
        <v>352</v>
      </c>
      <c r="F156" s="74" t="s">
        <v>606</v>
      </c>
      <c r="G156" s="87" t="s">
        <v>3376</v>
      </c>
      <c r="H156" s="74" t="s">
        <v>686</v>
      </c>
      <c r="I156" s="74" t="s">
        <v>356</v>
      </c>
      <c r="J156" s="74"/>
      <c r="K156" s="84">
        <v>7.3199999999999639</v>
      </c>
      <c r="L156" s="87" t="s">
        <v>165</v>
      </c>
      <c r="M156" s="88">
        <v>8.3999999999999995E-3</v>
      </c>
      <c r="N156" s="88">
        <v>1.7199999999999799E-2</v>
      </c>
      <c r="O156" s="84">
        <v>12747078.688468002</v>
      </c>
      <c r="P156" s="86">
        <v>93.8</v>
      </c>
      <c r="Q156" s="74"/>
      <c r="R156" s="84">
        <v>11956.760071491999</v>
      </c>
      <c r="S156" s="85">
        <v>2.5612023910974308E-2</v>
      </c>
      <c r="T156" s="85">
        <f t="shared" si="2"/>
        <v>2.7492661900202077E-3</v>
      </c>
      <c r="U156" s="85">
        <f>R156/'סכום נכסי הקרן'!$C$42</f>
        <v>2.2953573612365937E-4</v>
      </c>
    </row>
    <row r="157" spans="2:21" s="122" customFormat="1">
      <c r="B157" s="77" t="s">
        <v>699</v>
      </c>
      <c r="C157" s="74" t="s">
        <v>700</v>
      </c>
      <c r="D157" s="87" t="s">
        <v>123</v>
      </c>
      <c r="E157" s="87" t="s">
        <v>352</v>
      </c>
      <c r="F157" s="74" t="s">
        <v>701</v>
      </c>
      <c r="G157" s="87" t="s">
        <v>192</v>
      </c>
      <c r="H157" s="74" t="s">
        <v>686</v>
      </c>
      <c r="I157" s="74" t="s">
        <v>356</v>
      </c>
      <c r="J157" s="74"/>
      <c r="K157" s="84">
        <v>2.2699999999999827</v>
      </c>
      <c r="L157" s="87" t="s">
        <v>165</v>
      </c>
      <c r="M157" s="88">
        <v>1.9799999999999998E-2</v>
      </c>
      <c r="N157" s="88">
        <v>3.5700000000000662E-2</v>
      </c>
      <c r="O157" s="84">
        <v>11135028.860825</v>
      </c>
      <c r="P157" s="86">
        <v>97.2</v>
      </c>
      <c r="Q157" s="74"/>
      <c r="R157" s="84">
        <v>10823.248241796999</v>
      </c>
      <c r="S157" s="85">
        <v>1.542858922702956E-2</v>
      </c>
      <c r="T157" s="85">
        <f t="shared" si="2"/>
        <v>2.4886332316991209E-3</v>
      </c>
      <c r="U157" s="85">
        <f>R157/'סכום נכסי הקרן'!$C$42</f>
        <v>2.0777553765197993E-4</v>
      </c>
    </row>
    <row r="158" spans="2:21" s="122" customFormat="1">
      <c r="B158" s="77" t="s">
        <v>702</v>
      </c>
      <c r="C158" s="74" t="s">
        <v>703</v>
      </c>
      <c r="D158" s="87" t="s">
        <v>123</v>
      </c>
      <c r="E158" s="87" t="s">
        <v>352</v>
      </c>
      <c r="F158" s="74" t="s">
        <v>704</v>
      </c>
      <c r="G158" s="87" t="s">
        <v>3377</v>
      </c>
      <c r="H158" s="74" t="s">
        <v>705</v>
      </c>
      <c r="I158" s="74" t="s">
        <v>163</v>
      </c>
      <c r="J158" s="74"/>
      <c r="K158" s="84">
        <v>3.0099972714043175</v>
      </c>
      <c r="L158" s="87" t="s">
        <v>165</v>
      </c>
      <c r="M158" s="88">
        <v>4.6500000000000007E-2</v>
      </c>
      <c r="N158" s="88">
        <v>3.1999984841135094E-2</v>
      </c>
      <c r="O158" s="84">
        <v>0.124366</v>
      </c>
      <c r="P158" s="86">
        <v>106.25</v>
      </c>
      <c r="Q158" s="74"/>
      <c r="R158" s="84">
        <v>1.3193600000000001E-4</v>
      </c>
      <c r="S158" s="85">
        <v>1.7354476976704596E-10</v>
      </c>
      <c r="T158" s="85">
        <f t="shared" si="2"/>
        <v>3.0336577959052748E-11</v>
      </c>
      <c r="U158" s="85">
        <f>R158/'סכום נכסי הקרן'!$C$42</f>
        <v>2.5327953977613096E-12</v>
      </c>
    </row>
    <row r="159" spans="2:21" s="122" customFormat="1">
      <c r="B159" s="77" t="s">
        <v>706</v>
      </c>
      <c r="C159" s="74" t="s">
        <v>707</v>
      </c>
      <c r="D159" s="87" t="s">
        <v>123</v>
      </c>
      <c r="E159" s="87" t="s">
        <v>352</v>
      </c>
      <c r="F159" s="74" t="s">
        <v>708</v>
      </c>
      <c r="G159" s="87" t="s">
        <v>3377</v>
      </c>
      <c r="H159" s="74" t="s">
        <v>705</v>
      </c>
      <c r="I159" s="74" t="s">
        <v>163</v>
      </c>
      <c r="J159" s="74"/>
      <c r="K159" s="84">
        <v>0.74999999999973088</v>
      </c>
      <c r="L159" s="87" t="s">
        <v>165</v>
      </c>
      <c r="M159" s="88">
        <v>4.8000000000000001E-2</v>
      </c>
      <c r="N159" s="88">
        <v>4.3199999999979762E-2</v>
      </c>
      <c r="O159" s="84">
        <v>914234.43417599995</v>
      </c>
      <c r="P159" s="86">
        <v>101.61</v>
      </c>
      <c r="Q159" s="74"/>
      <c r="R159" s="84">
        <v>928.95359715899997</v>
      </c>
      <c r="S159" s="85">
        <v>1.174444317064899E-2</v>
      </c>
      <c r="T159" s="85">
        <f t="shared" si="2"/>
        <v>2.1359805678932578E-4</v>
      </c>
      <c r="U159" s="85">
        <f>R159/'סכום נכסי הקרן'!$C$42</f>
        <v>1.783326306404718E-5</v>
      </c>
    </row>
    <row r="160" spans="2:21" s="122" customFormat="1">
      <c r="B160" s="77" t="s">
        <v>709</v>
      </c>
      <c r="C160" s="74" t="s">
        <v>710</v>
      </c>
      <c r="D160" s="87" t="s">
        <v>123</v>
      </c>
      <c r="E160" s="87" t="s">
        <v>352</v>
      </c>
      <c r="F160" s="74" t="s">
        <v>711</v>
      </c>
      <c r="G160" s="87" t="s">
        <v>492</v>
      </c>
      <c r="H160" s="74" t="s">
        <v>712</v>
      </c>
      <c r="I160" s="74" t="s">
        <v>356</v>
      </c>
      <c r="J160" s="74"/>
      <c r="K160" s="84">
        <v>0.25</v>
      </c>
      <c r="L160" s="87" t="s">
        <v>165</v>
      </c>
      <c r="M160" s="88">
        <v>4.8000000000000001E-2</v>
      </c>
      <c r="N160" s="88">
        <v>1.6000000000025772E-3</v>
      </c>
      <c r="O160" s="84">
        <v>1027005.175801</v>
      </c>
      <c r="P160" s="86">
        <v>120.9</v>
      </c>
      <c r="Q160" s="74"/>
      <c r="R160" s="84">
        <v>1241.649328748</v>
      </c>
      <c r="S160" s="85">
        <v>1.0039754056406789E-2</v>
      </c>
      <c r="T160" s="85">
        <f t="shared" si="2"/>
        <v>2.8549745072890809E-4</v>
      </c>
      <c r="U160" s="85">
        <f>R160/'סכום נכסי הקרן'!$C$42</f>
        <v>2.3836130438139355E-5</v>
      </c>
    </row>
    <row r="161" spans="2:21" s="122" customFormat="1">
      <c r="B161" s="77" t="s">
        <v>713</v>
      </c>
      <c r="C161" s="74" t="s">
        <v>714</v>
      </c>
      <c r="D161" s="87" t="s">
        <v>123</v>
      </c>
      <c r="E161" s="87" t="s">
        <v>352</v>
      </c>
      <c r="F161" s="74" t="s">
        <v>715</v>
      </c>
      <c r="G161" s="87" t="s">
        <v>3376</v>
      </c>
      <c r="H161" s="74" t="s">
        <v>712</v>
      </c>
      <c r="I161" s="74" t="s">
        <v>356</v>
      </c>
      <c r="J161" s="74"/>
      <c r="K161" s="84">
        <v>0.38999999999977297</v>
      </c>
      <c r="L161" s="87" t="s">
        <v>165</v>
      </c>
      <c r="M161" s="88">
        <v>5.4000000000000006E-2</v>
      </c>
      <c r="N161" s="88">
        <v>0.14060000000005102</v>
      </c>
      <c r="O161" s="84">
        <v>756351.169627</v>
      </c>
      <c r="P161" s="86">
        <v>99</v>
      </c>
      <c r="Q161" s="74"/>
      <c r="R161" s="84">
        <v>748.78765530299995</v>
      </c>
      <c r="S161" s="85">
        <v>2.100975471186111E-2</v>
      </c>
      <c r="T161" s="85">
        <f t="shared" si="2"/>
        <v>1.7217177328307493E-4</v>
      </c>
      <c r="U161" s="85">
        <f>R161/'סכום נכסי הקרן'!$C$42</f>
        <v>1.4374590159258429E-5</v>
      </c>
    </row>
    <row r="162" spans="2:21" s="122" customFormat="1">
      <c r="B162" s="77" t="s">
        <v>716</v>
      </c>
      <c r="C162" s="74" t="s">
        <v>717</v>
      </c>
      <c r="D162" s="87" t="s">
        <v>123</v>
      </c>
      <c r="E162" s="87" t="s">
        <v>352</v>
      </c>
      <c r="F162" s="74" t="s">
        <v>715</v>
      </c>
      <c r="G162" s="87" t="s">
        <v>3377</v>
      </c>
      <c r="H162" s="74" t="s">
        <v>712</v>
      </c>
      <c r="I162" s="74" t="s">
        <v>356</v>
      </c>
      <c r="J162" s="74"/>
      <c r="K162" s="84">
        <v>1.3599999999998895</v>
      </c>
      <c r="L162" s="87" t="s">
        <v>165</v>
      </c>
      <c r="M162" s="88">
        <v>2.5000000000000001E-2</v>
      </c>
      <c r="N162" s="88">
        <v>0.17540000000000755</v>
      </c>
      <c r="O162" s="84">
        <v>2608098.7326500001</v>
      </c>
      <c r="P162" s="86">
        <v>83.25</v>
      </c>
      <c r="Q162" s="74"/>
      <c r="R162" s="84">
        <v>2171.2419940340001</v>
      </c>
      <c r="S162" s="85">
        <v>6.6960179730185341E-3</v>
      </c>
      <c r="T162" s="85">
        <f t="shared" si="2"/>
        <v>4.9924245103672674E-4</v>
      </c>
      <c r="U162" s="85">
        <f>R162/'סכום נכסי הקרן'!$C$42</f>
        <v>4.1681661789923937E-5</v>
      </c>
    </row>
    <row r="163" spans="2:21" s="122" customFormat="1">
      <c r="B163" s="77" t="s">
        <v>718</v>
      </c>
      <c r="C163" s="74" t="s">
        <v>719</v>
      </c>
      <c r="D163" s="87" t="s">
        <v>123</v>
      </c>
      <c r="E163" s="87" t="s">
        <v>352</v>
      </c>
      <c r="F163" s="74" t="s">
        <v>720</v>
      </c>
      <c r="G163" s="87" t="s">
        <v>721</v>
      </c>
      <c r="H163" s="74" t="s">
        <v>722</v>
      </c>
      <c r="I163" s="74" t="s">
        <v>356</v>
      </c>
      <c r="J163" s="74"/>
      <c r="K163" s="84">
        <v>0</v>
      </c>
      <c r="L163" s="87" t="s">
        <v>165</v>
      </c>
      <c r="M163" s="88">
        <v>4.9000000000000002E-2</v>
      </c>
      <c r="N163" s="88">
        <v>0</v>
      </c>
      <c r="O163" s="84">
        <v>4054065.2568430002</v>
      </c>
      <c r="P163" s="86">
        <v>17.5</v>
      </c>
      <c r="Q163" s="74"/>
      <c r="R163" s="84">
        <v>709.46140140099999</v>
      </c>
      <c r="S163" s="85">
        <v>5.5888947939556483E-3</v>
      </c>
      <c r="T163" s="85">
        <f t="shared" si="2"/>
        <v>1.6312932870892139E-4</v>
      </c>
      <c r="U163" s="85">
        <f>R163/'סכום נכסי הקרן'!$C$42</f>
        <v>1.3619638099970758E-5</v>
      </c>
    </row>
    <row r="164" spans="2:21" s="122" customFormat="1">
      <c r="B164" s="77" t="s">
        <v>723</v>
      </c>
      <c r="C164" s="74" t="s">
        <v>724</v>
      </c>
      <c r="D164" s="87" t="s">
        <v>123</v>
      </c>
      <c r="E164" s="87" t="s">
        <v>352</v>
      </c>
      <c r="F164" s="74" t="s">
        <v>397</v>
      </c>
      <c r="G164" s="87" t="s">
        <v>3376</v>
      </c>
      <c r="H164" s="74" t="s">
        <v>725</v>
      </c>
      <c r="I164" s="74"/>
      <c r="J164" s="74"/>
      <c r="K164" s="84">
        <v>2.6800000000007422</v>
      </c>
      <c r="L164" s="87" t="s">
        <v>165</v>
      </c>
      <c r="M164" s="88">
        <v>2.1000000000000001E-2</v>
      </c>
      <c r="N164" s="88">
        <v>2.5900000000007573E-2</v>
      </c>
      <c r="O164" s="84">
        <v>616879.69768099999</v>
      </c>
      <c r="P164" s="86">
        <v>100.23</v>
      </c>
      <c r="Q164" s="84">
        <v>28.145630264000001</v>
      </c>
      <c r="R164" s="84">
        <v>646.444151089</v>
      </c>
      <c r="S164" s="85">
        <v>2.5956493330393355E-3</v>
      </c>
      <c r="T164" s="85">
        <f t="shared" si="2"/>
        <v>1.486395175364201E-4</v>
      </c>
      <c r="U164" s="85">
        <f>R164/'סכום נכסי הקרן'!$C$42</f>
        <v>1.2409886390279649E-5</v>
      </c>
    </row>
    <row r="165" spans="2:21" s="122" customFormat="1">
      <c r="B165" s="77" t="s">
        <v>395</v>
      </c>
      <c r="C165" s="74" t="s">
        <v>396</v>
      </c>
      <c r="D165" s="87" t="s">
        <v>123</v>
      </c>
      <c r="E165" s="87" t="s">
        <v>352</v>
      </c>
      <c r="F165" s="74" t="s">
        <v>397</v>
      </c>
      <c r="G165" s="87" t="s">
        <v>3376</v>
      </c>
      <c r="H165" s="74" t="s">
        <v>725</v>
      </c>
      <c r="I165" s="74"/>
      <c r="J165" s="74"/>
      <c r="K165" s="84">
        <v>6.0700000000000403</v>
      </c>
      <c r="L165" s="87" t="s">
        <v>165</v>
      </c>
      <c r="M165" s="88">
        <v>2.75E-2</v>
      </c>
      <c r="N165" s="88">
        <v>2.4299999999999586E-2</v>
      </c>
      <c r="O165" s="84">
        <v>10432017.382064</v>
      </c>
      <c r="P165" s="86">
        <v>102.24</v>
      </c>
      <c r="Q165" s="74"/>
      <c r="R165" s="84">
        <v>10665.694455708001</v>
      </c>
      <c r="S165" s="85">
        <v>2.6271827798086029E-2</v>
      </c>
      <c r="T165" s="85">
        <f>R165/$R$11</f>
        <v>2.4524062525999152E-3</v>
      </c>
      <c r="U165" s="85">
        <f>R165/'סכום נכסי הקרן'!$C$42</f>
        <v>2.0475095373018387E-4</v>
      </c>
    </row>
    <row r="166" spans="2:21" s="122" customFormat="1">
      <c r="B166" s="73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84"/>
      <c r="P166" s="86"/>
      <c r="Q166" s="74"/>
      <c r="R166" s="74"/>
      <c r="S166" s="74"/>
      <c r="T166" s="85"/>
      <c r="U166" s="74"/>
    </row>
    <row r="167" spans="2:21" s="122" customFormat="1">
      <c r="B167" s="92" t="s">
        <v>48</v>
      </c>
      <c r="C167" s="72"/>
      <c r="D167" s="72"/>
      <c r="E167" s="72"/>
      <c r="F167" s="72"/>
      <c r="G167" s="72"/>
      <c r="H167" s="72"/>
      <c r="I167" s="72"/>
      <c r="J167" s="72"/>
      <c r="K167" s="81">
        <v>4.5488988864299653</v>
      </c>
      <c r="L167" s="72"/>
      <c r="M167" s="72"/>
      <c r="N167" s="94">
        <v>4.181348248401924E-2</v>
      </c>
      <c r="O167" s="81"/>
      <c r="P167" s="83"/>
      <c r="Q167" s="81">
        <f>SUM(Q168:Q254)</f>
        <v>404.341646895</v>
      </c>
      <c r="R167" s="81">
        <f>SUM(R168:R255)</f>
        <v>530216.56476318883</v>
      </c>
      <c r="S167" s="72"/>
      <c r="T167" s="82">
        <f t="shared" ref="T167:T229" si="3">R167/$R$11</f>
        <v>0.12191483864994859</v>
      </c>
      <c r="U167" s="82">
        <f>R167/'סכום נכסי הקרן'!$C$42</f>
        <v>1.0178647791724896E-2</v>
      </c>
    </row>
    <row r="168" spans="2:21" s="122" customFormat="1">
      <c r="B168" s="77" t="s">
        <v>726</v>
      </c>
      <c r="C168" s="74" t="s">
        <v>727</v>
      </c>
      <c r="D168" s="87" t="s">
        <v>123</v>
      </c>
      <c r="E168" s="87" t="s">
        <v>352</v>
      </c>
      <c r="F168" s="74" t="s">
        <v>421</v>
      </c>
      <c r="G168" s="87" t="s">
        <v>362</v>
      </c>
      <c r="H168" s="74" t="s">
        <v>370</v>
      </c>
      <c r="I168" s="74" t="s">
        <v>163</v>
      </c>
      <c r="J168" s="74"/>
      <c r="K168" s="84">
        <v>2.6200000000001662</v>
      </c>
      <c r="L168" s="87" t="s">
        <v>165</v>
      </c>
      <c r="M168" s="88">
        <v>1.8700000000000001E-2</v>
      </c>
      <c r="N168" s="88">
        <v>1.250000000000083E-2</v>
      </c>
      <c r="O168" s="84">
        <v>5893935.8298159996</v>
      </c>
      <c r="P168" s="86">
        <v>102.2</v>
      </c>
      <c r="Q168" s="74"/>
      <c r="R168" s="84">
        <v>6023.6024841500002</v>
      </c>
      <c r="S168" s="85">
        <v>4.2620264772607452E-3</v>
      </c>
      <c r="T168" s="85">
        <f t="shared" si="3"/>
        <v>1.385031275427179E-3</v>
      </c>
      <c r="U168" s="85">
        <f>R168/'סכום נכסי הקרן'!$C$42</f>
        <v>1.1563601026102589E-4</v>
      </c>
    </row>
    <row r="169" spans="2:21" s="122" customFormat="1">
      <c r="B169" s="77" t="s">
        <v>728</v>
      </c>
      <c r="C169" s="74" t="s">
        <v>729</v>
      </c>
      <c r="D169" s="87" t="s">
        <v>123</v>
      </c>
      <c r="E169" s="87" t="s">
        <v>352</v>
      </c>
      <c r="F169" s="74" t="s">
        <v>421</v>
      </c>
      <c r="G169" s="87" t="s">
        <v>362</v>
      </c>
      <c r="H169" s="74" t="s">
        <v>370</v>
      </c>
      <c r="I169" s="74" t="s">
        <v>163</v>
      </c>
      <c r="J169" s="74"/>
      <c r="K169" s="84">
        <v>5.300000000000014</v>
      </c>
      <c r="L169" s="87" t="s">
        <v>165</v>
      </c>
      <c r="M169" s="88">
        <v>2.6800000000000001E-2</v>
      </c>
      <c r="N169" s="88">
        <v>1.600000000000008E-2</v>
      </c>
      <c r="O169" s="84">
        <v>47376592.700296991</v>
      </c>
      <c r="P169" s="86">
        <v>106.6</v>
      </c>
      <c r="Q169" s="74"/>
      <c r="R169" s="84">
        <v>50503.448345381003</v>
      </c>
      <c r="S169" s="85">
        <v>1.967144784006675E-2</v>
      </c>
      <c r="T169" s="85">
        <f t="shared" si="3"/>
        <v>1.1612462087153198E-2</v>
      </c>
      <c r="U169" s="85">
        <f>R169/'סכום נכסי הקרן'!$C$42</f>
        <v>9.6952235584114291E-4</v>
      </c>
    </row>
    <row r="170" spans="2:21" s="122" customFormat="1">
      <c r="B170" s="77" t="s">
        <v>730</v>
      </c>
      <c r="C170" s="74" t="s">
        <v>731</v>
      </c>
      <c r="D170" s="87" t="s">
        <v>123</v>
      </c>
      <c r="E170" s="87" t="s">
        <v>352</v>
      </c>
      <c r="F170" s="74" t="s">
        <v>361</v>
      </c>
      <c r="G170" s="87" t="s">
        <v>362</v>
      </c>
      <c r="H170" s="74" t="s">
        <v>355</v>
      </c>
      <c r="I170" s="74" t="s">
        <v>356</v>
      </c>
      <c r="J170" s="74"/>
      <c r="K170" s="84">
        <v>0</v>
      </c>
      <c r="L170" s="87" t="s">
        <v>165</v>
      </c>
      <c r="M170" s="88">
        <v>1.2E-2</v>
      </c>
      <c r="N170" s="88">
        <v>0</v>
      </c>
      <c r="O170" s="84">
        <v>2822914.411262</v>
      </c>
      <c r="P170" s="86">
        <v>100.22</v>
      </c>
      <c r="Q170" s="74">
        <v>8.5399999999999991</v>
      </c>
      <c r="R170" s="84">
        <v>2837.5704182099998</v>
      </c>
      <c r="S170" s="85">
        <v>9.4097147042066665E-3</v>
      </c>
      <c r="T170" s="85">
        <f t="shared" si="3"/>
        <v>6.5245403988547146E-4</v>
      </c>
      <c r="U170" s="85">
        <f>R170/'סכום נכסי הקרן'!$C$42</f>
        <v>5.4473269585753106E-5</v>
      </c>
    </row>
    <row r="171" spans="2:21" s="122" customFormat="1">
      <c r="B171" s="77" t="s">
        <v>732</v>
      </c>
      <c r="C171" s="74" t="s">
        <v>733</v>
      </c>
      <c r="D171" s="87" t="s">
        <v>123</v>
      </c>
      <c r="E171" s="87" t="s">
        <v>352</v>
      </c>
      <c r="F171" s="74" t="s">
        <v>380</v>
      </c>
      <c r="G171" s="87" t="s">
        <v>362</v>
      </c>
      <c r="H171" s="74" t="s">
        <v>370</v>
      </c>
      <c r="I171" s="74" t="s">
        <v>163</v>
      </c>
      <c r="J171" s="74"/>
      <c r="K171" s="84">
        <v>4.7900000000001501</v>
      </c>
      <c r="L171" s="87" t="s">
        <v>165</v>
      </c>
      <c r="M171" s="88">
        <v>2.98E-2</v>
      </c>
      <c r="N171" s="88">
        <v>1.6700000000000412E-2</v>
      </c>
      <c r="O171" s="84">
        <v>11477990.890701002</v>
      </c>
      <c r="P171" s="86">
        <v>108.89</v>
      </c>
      <c r="Q171" s="74"/>
      <c r="R171" s="84">
        <v>12498.383898046999</v>
      </c>
      <c r="S171" s="85">
        <v>4.5151415066851924E-3</v>
      </c>
      <c r="T171" s="85">
        <f t="shared" si="3"/>
        <v>2.8738039464988505E-3</v>
      </c>
      <c r="U171" s="85">
        <f>R171/'סכום נכסי הקרן'!$C$42</f>
        <v>2.3993337084971119E-4</v>
      </c>
    </row>
    <row r="172" spans="2:21" s="122" customFormat="1">
      <c r="B172" s="77" t="s">
        <v>734</v>
      </c>
      <c r="C172" s="74" t="s">
        <v>735</v>
      </c>
      <c r="D172" s="87" t="s">
        <v>123</v>
      </c>
      <c r="E172" s="87" t="s">
        <v>352</v>
      </c>
      <c r="F172" s="74" t="s">
        <v>380</v>
      </c>
      <c r="G172" s="87" t="s">
        <v>362</v>
      </c>
      <c r="H172" s="74" t="s">
        <v>370</v>
      </c>
      <c r="I172" s="74" t="s">
        <v>163</v>
      </c>
      <c r="J172" s="74"/>
      <c r="K172" s="84">
        <v>2.1099999999999568</v>
      </c>
      <c r="L172" s="87" t="s">
        <v>165</v>
      </c>
      <c r="M172" s="88">
        <v>2.4700000000000003E-2</v>
      </c>
      <c r="N172" s="88">
        <v>1.4399999999999247E-2</v>
      </c>
      <c r="O172" s="84">
        <v>9672235.6479759999</v>
      </c>
      <c r="P172" s="86">
        <v>104.21</v>
      </c>
      <c r="Q172" s="74"/>
      <c r="R172" s="84">
        <v>10079.437031803998</v>
      </c>
      <c r="S172" s="85">
        <v>2.903502804662542E-3</v>
      </c>
      <c r="T172" s="85">
        <f t="shared" si="3"/>
        <v>2.317605712608274E-3</v>
      </c>
      <c r="U172" s="85">
        <f>R172/'סכום נכסי הקרן'!$C$42</f>
        <v>1.934964810679275E-4</v>
      </c>
    </row>
    <row r="173" spans="2:21" s="122" customFormat="1">
      <c r="B173" s="77" t="s">
        <v>736</v>
      </c>
      <c r="C173" s="74" t="s">
        <v>737</v>
      </c>
      <c r="D173" s="87" t="s">
        <v>123</v>
      </c>
      <c r="E173" s="87" t="s">
        <v>352</v>
      </c>
      <c r="F173" s="74" t="s">
        <v>738</v>
      </c>
      <c r="G173" s="87" t="s">
        <v>362</v>
      </c>
      <c r="H173" s="74" t="s">
        <v>355</v>
      </c>
      <c r="I173" s="74" t="s">
        <v>356</v>
      </c>
      <c r="J173" s="74"/>
      <c r="K173" s="84">
        <v>1.9800000000001201</v>
      </c>
      <c r="L173" s="87" t="s">
        <v>165</v>
      </c>
      <c r="M173" s="88">
        <v>2.07E-2</v>
      </c>
      <c r="N173" s="88">
        <v>1.3100000000002171E-2</v>
      </c>
      <c r="O173" s="84">
        <v>4271526.912242</v>
      </c>
      <c r="P173" s="86">
        <v>101.5</v>
      </c>
      <c r="Q173" s="74"/>
      <c r="R173" s="84">
        <v>4335.5998685259992</v>
      </c>
      <c r="S173" s="85">
        <v>1.6852664539763199E-2</v>
      </c>
      <c r="T173" s="85">
        <f t="shared" si="3"/>
        <v>9.9690200863144108E-4</v>
      </c>
      <c r="U173" s="85">
        <f>R173/'סכום נכסי הקרן'!$C$42</f>
        <v>8.3231168093145079E-5</v>
      </c>
    </row>
    <row r="174" spans="2:21" s="122" customFormat="1">
      <c r="B174" s="77" t="s">
        <v>739</v>
      </c>
      <c r="C174" s="74" t="s">
        <v>740</v>
      </c>
      <c r="D174" s="87" t="s">
        <v>123</v>
      </c>
      <c r="E174" s="87" t="s">
        <v>352</v>
      </c>
      <c r="F174" s="74" t="s">
        <v>741</v>
      </c>
      <c r="G174" s="87" t="s">
        <v>3376</v>
      </c>
      <c r="H174" s="74" t="s">
        <v>370</v>
      </c>
      <c r="I174" s="74" t="s">
        <v>163</v>
      </c>
      <c r="J174" s="74"/>
      <c r="K174" s="84">
        <v>4.0999999999999055</v>
      </c>
      <c r="L174" s="87" t="s">
        <v>165</v>
      </c>
      <c r="M174" s="88">
        <v>1.44E-2</v>
      </c>
      <c r="N174" s="88">
        <v>1.4099999999999786E-2</v>
      </c>
      <c r="O174" s="84">
        <v>8430120.0357360002</v>
      </c>
      <c r="P174" s="86">
        <v>100.15</v>
      </c>
      <c r="Q174" s="74"/>
      <c r="R174" s="84">
        <v>8442.7652155979995</v>
      </c>
      <c r="S174" s="85">
        <v>1.0537650044669999E-2</v>
      </c>
      <c r="T174" s="85">
        <f t="shared" si="3"/>
        <v>1.941279144077185E-3</v>
      </c>
      <c r="U174" s="85">
        <f>R174/'סכום נכסי הקרן'!$C$42</f>
        <v>1.6207704403988209E-4</v>
      </c>
    </row>
    <row r="175" spans="2:21" s="122" customFormat="1">
      <c r="B175" s="77" t="s">
        <v>742</v>
      </c>
      <c r="C175" s="74" t="s">
        <v>743</v>
      </c>
      <c r="D175" s="87" t="s">
        <v>123</v>
      </c>
      <c r="E175" s="87" t="s">
        <v>352</v>
      </c>
      <c r="F175" s="74" t="s">
        <v>744</v>
      </c>
      <c r="G175" s="87" t="s">
        <v>745</v>
      </c>
      <c r="H175" s="74" t="s">
        <v>416</v>
      </c>
      <c r="I175" s="74" t="s">
        <v>163</v>
      </c>
      <c r="J175" s="74"/>
      <c r="K175" s="84">
        <v>0.24999999999932546</v>
      </c>
      <c r="L175" s="87" t="s">
        <v>165</v>
      </c>
      <c r="M175" s="88">
        <v>4.8399999999999999E-2</v>
      </c>
      <c r="N175" s="88">
        <v>7.9999999999946052E-3</v>
      </c>
      <c r="O175" s="84">
        <v>725055.42136600008</v>
      </c>
      <c r="P175" s="86">
        <v>102.22</v>
      </c>
      <c r="Q175" s="74"/>
      <c r="R175" s="84">
        <v>741.15168439799993</v>
      </c>
      <c r="S175" s="85">
        <v>3.4526448636476195E-3</v>
      </c>
      <c r="T175" s="85">
        <f t="shared" si="3"/>
        <v>1.7041600361708087E-4</v>
      </c>
      <c r="U175" s="85">
        <f>R175/'סכום נכסי הקרן'!$C$42</f>
        <v>1.4228001267935187E-5</v>
      </c>
    </row>
    <row r="176" spans="2:21" s="122" customFormat="1">
      <c r="B176" s="77" t="s">
        <v>746</v>
      </c>
      <c r="C176" s="74" t="s">
        <v>747</v>
      </c>
      <c r="D176" s="87" t="s">
        <v>123</v>
      </c>
      <c r="E176" s="87" t="s">
        <v>352</v>
      </c>
      <c r="F176" s="74" t="s">
        <v>421</v>
      </c>
      <c r="G176" s="87" t="s">
        <v>362</v>
      </c>
      <c r="H176" s="74" t="s">
        <v>416</v>
      </c>
      <c r="I176" s="74" t="s">
        <v>163</v>
      </c>
      <c r="J176" s="74"/>
      <c r="K176" s="84">
        <v>1.1600000000001489</v>
      </c>
      <c r="L176" s="87" t="s">
        <v>165</v>
      </c>
      <c r="M176" s="88">
        <v>6.4000000000000001E-2</v>
      </c>
      <c r="N176" s="88">
        <v>8.7000000000004522E-3</v>
      </c>
      <c r="O176" s="84">
        <v>3465638.498656</v>
      </c>
      <c r="P176" s="86">
        <v>108.5</v>
      </c>
      <c r="Q176" s="74"/>
      <c r="R176" s="84">
        <v>3760.2176427089998</v>
      </c>
      <c r="S176" s="85">
        <v>1.4199828316804747E-2</v>
      </c>
      <c r="T176" s="85">
        <f t="shared" si="3"/>
        <v>8.6460204690946461E-4</v>
      </c>
      <c r="U176" s="85">
        <f>R176/'סכום נכסי הקרן'!$C$42</f>
        <v>7.2185468257596368E-5</v>
      </c>
    </row>
    <row r="177" spans="2:21" s="122" customFormat="1">
      <c r="B177" s="77" t="s">
        <v>748</v>
      </c>
      <c r="C177" s="74" t="s">
        <v>749</v>
      </c>
      <c r="D177" s="87" t="s">
        <v>123</v>
      </c>
      <c r="E177" s="87" t="s">
        <v>352</v>
      </c>
      <c r="F177" s="74" t="s">
        <v>432</v>
      </c>
      <c r="G177" s="87" t="s">
        <v>3376</v>
      </c>
      <c r="H177" s="74" t="s">
        <v>416</v>
      </c>
      <c r="I177" s="74" t="s">
        <v>163</v>
      </c>
      <c r="J177" s="74"/>
      <c r="K177" s="84">
        <v>3.1599999999998887</v>
      </c>
      <c r="L177" s="87" t="s">
        <v>165</v>
      </c>
      <c r="M177" s="88">
        <v>1.6299999999999999E-2</v>
      </c>
      <c r="N177" s="88">
        <v>1.3599999999998884E-2</v>
      </c>
      <c r="O177" s="84">
        <v>7086249.7452370003</v>
      </c>
      <c r="P177" s="86">
        <v>101.27</v>
      </c>
      <c r="Q177" s="74"/>
      <c r="R177" s="84">
        <v>7176.2451177800003</v>
      </c>
      <c r="S177" s="85">
        <v>8.5044623994280158E-3</v>
      </c>
      <c r="T177" s="85">
        <f t="shared" si="3"/>
        <v>1.6500630568518423E-3</v>
      </c>
      <c r="U177" s="85">
        <f>R177/'סכום נכסי הקרן'!$C$42</f>
        <v>1.3776346567669363E-4</v>
      </c>
    </row>
    <row r="178" spans="2:21" s="122" customFormat="1">
      <c r="B178" s="77" t="s">
        <v>750</v>
      </c>
      <c r="C178" s="74" t="s">
        <v>751</v>
      </c>
      <c r="D178" s="87" t="s">
        <v>123</v>
      </c>
      <c r="E178" s="87" t="s">
        <v>352</v>
      </c>
      <c r="F178" s="74" t="s">
        <v>405</v>
      </c>
      <c r="G178" s="87" t="s">
        <v>362</v>
      </c>
      <c r="H178" s="74" t="s">
        <v>416</v>
      </c>
      <c r="I178" s="74" t="s">
        <v>163</v>
      </c>
      <c r="J178" s="74"/>
      <c r="K178" s="84">
        <v>0.98999999999994648</v>
      </c>
      <c r="L178" s="87" t="s">
        <v>165</v>
      </c>
      <c r="M178" s="88">
        <v>6.0999999999999999E-2</v>
      </c>
      <c r="N178" s="88">
        <v>6.7999999999981652E-3</v>
      </c>
      <c r="O178" s="84">
        <v>1242060.9388280001</v>
      </c>
      <c r="P178" s="86">
        <v>105.39</v>
      </c>
      <c r="Q178" s="74"/>
      <c r="R178" s="84">
        <v>1309.0080145930001</v>
      </c>
      <c r="S178" s="85">
        <v>3.6253762568536538E-3</v>
      </c>
      <c r="T178" s="85">
        <f t="shared" si="3"/>
        <v>3.0098550572796968E-4</v>
      </c>
      <c r="U178" s="85">
        <f>R178/'סכום נכסי הקרן'!$C$42</f>
        <v>2.5129225344059391E-5</v>
      </c>
    </row>
    <row r="179" spans="2:21" s="122" customFormat="1">
      <c r="B179" s="77" t="s">
        <v>752</v>
      </c>
      <c r="C179" s="74" t="s">
        <v>753</v>
      </c>
      <c r="D179" s="87" t="s">
        <v>123</v>
      </c>
      <c r="E179" s="87" t="s">
        <v>352</v>
      </c>
      <c r="F179" s="74" t="s">
        <v>754</v>
      </c>
      <c r="G179" s="87" t="s">
        <v>755</v>
      </c>
      <c r="H179" s="74" t="s">
        <v>416</v>
      </c>
      <c r="I179" s="74" t="s">
        <v>163</v>
      </c>
      <c r="J179" s="74"/>
      <c r="K179" s="84">
        <v>4.6500000000000403</v>
      </c>
      <c r="L179" s="87" t="s">
        <v>165</v>
      </c>
      <c r="M179" s="88">
        <v>2.6099999999999998E-2</v>
      </c>
      <c r="N179" s="88">
        <v>1.4499999999999864E-2</v>
      </c>
      <c r="O179" s="84">
        <v>6964931.5819060002</v>
      </c>
      <c r="P179" s="86">
        <v>106.18</v>
      </c>
      <c r="Q179" s="74"/>
      <c r="R179" s="84">
        <v>7395.364352478</v>
      </c>
      <c r="S179" s="85">
        <v>1.1548322006370293E-2</v>
      </c>
      <c r="T179" s="85">
        <f t="shared" si="3"/>
        <v>1.7004460284876645E-3</v>
      </c>
      <c r="U179" s="85">
        <f>R179/'סכום נכסי הקרן'!$C$42</f>
        <v>1.419699308507483E-4</v>
      </c>
    </row>
    <row r="180" spans="2:21" s="122" customFormat="1">
      <c r="B180" s="77" t="s">
        <v>756</v>
      </c>
      <c r="C180" s="74" t="s">
        <v>757</v>
      </c>
      <c r="D180" s="87" t="s">
        <v>123</v>
      </c>
      <c r="E180" s="87" t="s">
        <v>352</v>
      </c>
      <c r="F180" s="74" t="s">
        <v>463</v>
      </c>
      <c r="G180" s="87" t="s">
        <v>3376</v>
      </c>
      <c r="H180" s="74" t="s">
        <v>464</v>
      </c>
      <c r="I180" s="74" t="s">
        <v>163</v>
      </c>
      <c r="J180" s="74"/>
      <c r="K180" s="84">
        <v>3.4800000000000546</v>
      </c>
      <c r="L180" s="87" t="s">
        <v>165</v>
      </c>
      <c r="M180" s="88">
        <v>3.39E-2</v>
      </c>
      <c r="N180" s="88">
        <v>2.1800000000000552E-2</v>
      </c>
      <c r="O180" s="84">
        <v>10408865.990362</v>
      </c>
      <c r="P180" s="86">
        <v>105</v>
      </c>
      <c r="Q180" s="74"/>
      <c r="R180" s="84">
        <v>10929.309289880001</v>
      </c>
      <c r="S180" s="85">
        <v>9.5915428118869567E-3</v>
      </c>
      <c r="T180" s="85">
        <f t="shared" si="3"/>
        <v>2.5130202773393467E-3</v>
      </c>
      <c r="U180" s="85">
        <f>R180/'סכום נכסי הקרן'!$C$42</f>
        <v>2.0981160767431174E-4</v>
      </c>
    </row>
    <row r="181" spans="2:21" s="122" customFormat="1">
      <c r="B181" s="77" t="s">
        <v>758</v>
      </c>
      <c r="C181" s="74" t="s">
        <v>759</v>
      </c>
      <c r="D181" s="87" t="s">
        <v>123</v>
      </c>
      <c r="E181" s="87" t="s">
        <v>352</v>
      </c>
      <c r="F181" s="74" t="s">
        <v>463</v>
      </c>
      <c r="G181" s="87" t="s">
        <v>3376</v>
      </c>
      <c r="H181" s="74" t="s">
        <v>464</v>
      </c>
      <c r="I181" s="74" t="s">
        <v>163</v>
      </c>
      <c r="J181" s="74"/>
      <c r="K181" s="84">
        <v>9.1100000000005714</v>
      </c>
      <c r="L181" s="87" t="s">
        <v>165</v>
      </c>
      <c r="M181" s="88">
        <v>2.4399999999999998E-2</v>
      </c>
      <c r="N181" s="88">
        <v>3.2600000000001426E-2</v>
      </c>
      <c r="O181" s="84">
        <v>7512461.5252289996</v>
      </c>
      <c r="P181" s="86">
        <v>93.27</v>
      </c>
      <c r="Q181" s="74"/>
      <c r="R181" s="84">
        <v>7006.8725970000005</v>
      </c>
      <c r="S181" s="85">
        <v>1.6155831237051613E-2</v>
      </c>
      <c r="T181" s="85">
        <f t="shared" si="3"/>
        <v>1.6111185482964535E-3</v>
      </c>
      <c r="U181" s="85">
        <f>R181/'סכום נכסי הקרן'!$C$42</f>
        <v>1.345119957129323E-4</v>
      </c>
    </row>
    <row r="182" spans="2:21" s="122" customFormat="1">
      <c r="B182" s="77" t="s">
        <v>760</v>
      </c>
      <c r="C182" s="74" t="s">
        <v>761</v>
      </c>
      <c r="D182" s="87" t="s">
        <v>123</v>
      </c>
      <c r="E182" s="87" t="s">
        <v>352</v>
      </c>
      <c r="F182" s="74" t="s">
        <v>375</v>
      </c>
      <c r="G182" s="87" t="s">
        <v>362</v>
      </c>
      <c r="H182" s="74" t="s">
        <v>464</v>
      </c>
      <c r="I182" s="74" t="s">
        <v>163</v>
      </c>
      <c r="J182" s="74"/>
      <c r="K182" s="84">
        <v>0.83999999999998476</v>
      </c>
      <c r="L182" s="87" t="s">
        <v>165</v>
      </c>
      <c r="M182" s="88">
        <v>1.5700000000000002E-2</v>
      </c>
      <c r="N182" s="88">
        <v>2.4499999999999779E-2</v>
      </c>
      <c r="O182" s="84">
        <v>18433428.907729998</v>
      </c>
      <c r="P182" s="86">
        <v>99.55</v>
      </c>
      <c r="Q182" s="74"/>
      <c r="R182" s="84">
        <v>18350.478546192</v>
      </c>
      <c r="S182" s="85">
        <v>2.2753241415598518E-2</v>
      </c>
      <c r="T182" s="85">
        <f t="shared" si="3"/>
        <v>4.2193997317068769E-3</v>
      </c>
      <c r="U182" s="85">
        <f>R182/'סכום נכסי הקרן'!$C$42</f>
        <v>3.5227691917681864E-4</v>
      </c>
    </row>
    <row r="183" spans="2:21" s="122" customFormat="1">
      <c r="B183" s="77" t="s">
        <v>762</v>
      </c>
      <c r="C183" s="74" t="s">
        <v>763</v>
      </c>
      <c r="D183" s="87" t="s">
        <v>123</v>
      </c>
      <c r="E183" s="87" t="s">
        <v>352</v>
      </c>
      <c r="F183" s="74" t="s">
        <v>482</v>
      </c>
      <c r="G183" s="87" t="s">
        <v>3376</v>
      </c>
      <c r="H183" s="74" t="s">
        <v>456</v>
      </c>
      <c r="I183" s="74" t="s">
        <v>356</v>
      </c>
      <c r="J183" s="74"/>
      <c r="K183" s="84">
        <v>6.1799999999998985</v>
      </c>
      <c r="L183" s="87" t="s">
        <v>165</v>
      </c>
      <c r="M183" s="88">
        <v>2.5499999999999998E-2</v>
      </c>
      <c r="N183" s="88">
        <v>2.6999999999999739E-2</v>
      </c>
      <c r="O183" s="84">
        <v>30572802.751612999</v>
      </c>
      <c r="P183" s="86">
        <v>99.8</v>
      </c>
      <c r="Q183" s="74"/>
      <c r="R183" s="84">
        <v>30511.658165434001</v>
      </c>
      <c r="S183" s="85">
        <v>2.3474282891936211E-2</v>
      </c>
      <c r="T183" s="85">
        <f t="shared" si="3"/>
        <v>7.015668934905234E-3</v>
      </c>
      <c r="U183" s="85">
        <f>R183/'סכום נכסי הקרן'!$C$42</f>
        <v>5.8573692835524435E-4</v>
      </c>
    </row>
    <row r="184" spans="2:21" s="122" customFormat="1">
      <c r="B184" s="77" t="s">
        <v>765</v>
      </c>
      <c r="C184" s="74" t="s">
        <v>766</v>
      </c>
      <c r="D184" s="87" t="s">
        <v>123</v>
      </c>
      <c r="E184" s="87" t="s">
        <v>352</v>
      </c>
      <c r="F184" s="74" t="s">
        <v>491</v>
      </c>
      <c r="G184" s="87" t="s">
        <v>492</v>
      </c>
      <c r="H184" s="74" t="s">
        <v>464</v>
      </c>
      <c r="I184" s="74" t="s">
        <v>163</v>
      </c>
      <c r="J184" s="74"/>
      <c r="K184" s="84">
        <v>2.4200000000000275</v>
      </c>
      <c r="L184" s="87" t="s">
        <v>165</v>
      </c>
      <c r="M184" s="88">
        <v>4.8000000000000001E-2</v>
      </c>
      <c r="N184" s="88">
        <v>1.4300000000000479E-2</v>
      </c>
      <c r="O184" s="84">
        <v>14338359.504368</v>
      </c>
      <c r="P184" s="86">
        <v>108.15</v>
      </c>
      <c r="Q184" s="84">
        <v>344.12062883999999</v>
      </c>
      <c r="R184" s="84">
        <v>15851.056911168002</v>
      </c>
      <c r="S184" s="85">
        <v>7.211474175635728E-3</v>
      </c>
      <c r="T184" s="85">
        <f t="shared" si="3"/>
        <v>3.6446976088332973E-3</v>
      </c>
      <c r="U184" s="85">
        <f>R184/'סכום נכסי הקרן'!$C$42</f>
        <v>3.0429514305617053E-4</v>
      </c>
    </row>
    <row r="185" spans="2:21" s="122" customFormat="1">
      <c r="B185" s="77" t="s">
        <v>767</v>
      </c>
      <c r="C185" s="74" t="s">
        <v>768</v>
      </c>
      <c r="D185" s="87" t="s">
        <v>123</v>
      </c>
      <c r="E185" s="87" t="s">
        <v>352</v>
      </c>
      <c r="F185" s="74" t="s">
        <v>491</v>
      </c>
      <c r="G185" s="87" t="s">
        <v>492</v>
      </c>
      <c r="H185" s="74" t="s">
        <v>464</v>
      </c>
      <c r="I185" s="74" t="s">
        <v>163</v>
      </c>
      <c r="J185" s="74"/>
      <c r="K185" s="84">
        <v>0.90000074451848266</v>
      </c>
      <c r="L185" s="87" t="s">
        <v>165</v>
      </c>
      <c r="M185" s="88">
        <v>4.4999999999999998E-2</v>
      </c>
      <c r="N185" s="88">
        <v>1.2500003722592412E-2</v>
      </c>
      <c r="O185" s="84">
        <v>0.64886500000000003</v>
      </c>
      <c r="P185" s="86">
        <v>103.34</v>
      </c>
      <c r="Q185" s="74"/>
      <c r="R185" s="84">
        <v>6.7157499999999999E-4</v>
      </c>
      <c r="S185" s="85">
        <v>1.0805268206252041E-9</v>
      </c>
      <c r="T185" s="85">
        <f t="shared" si="3"/>
        <v>1.5441795524232089E-10</v>
      </c>
      <c r="U185" s="85">
        <f>R185/'סכום נכסי הקרן'!$C$42</f>
        <v>1.2892327107472953E-11</v>
      </c>
    </row>
    <row r="186" spans="2:21" s="122" customFormat="1">
      <c r="B186" s="77" t="s">
        <v>769</v>
      </c>
      <c r="C186" s="74" t="s">
        <v>770</v>
      </c>
      <c r="D186" s="87" t="s">
        <v>123</v>
      </c>
      <c r="E186" s="87" t="s">
        <v>352</v>
      </c>
      <c r="F186" s="74" t="s">
        <v>771</v>
      </c>
      <c r="G186" s="87" t="s">
        <v>160</v>
      </c>
      <c r="H186" s="74" t="s">
        <v>464</v>
      </c>
      <c r="I186" s="74" t="s">
        <v>163</v>
      </c>
      <c r="J186" s="74"/>
      <c r="K186" s="84">
        <v>2.1099999999999235</v>
      </c>
      <c r="L186" s="87" t="s">
        <v>165</v>
      </c>
      <c r="M186" s="88">
        <v>1.49E-2</v>
      </c>
      <c r="N186" s="88">
        <v>1.8799999999998745E-2</v>
      </c>
      <c r="O186" s="84">
        <v>8303048.043385</v>
      </c>
      <c r="P186" s="86">
        <v>99.7</v>
      </c>
      <c r="Q186" s="74"/>
      <c r="R186" s="84">
        <v>8278.1386214330014</v>
      </c>
      <c r="S186" s="85">
        <v>7.7013207492813967E-3</v>
      </c>
      <c r="T186" s="85">
        <f t="shared" si="3"/>
        <v>1.9034258856183883E-3</v>
      </c>
      <c r="U186" s="85">
        <f>R186/'סכום נכסי הקרן'!$C$42</f>
        <v>1.5891668234898479E-4</v>
      </c>
    </row>
    <row r="187" spans="2:21" s="122" customFormat="1">
      <c r="B187" s="77" t="s">
        <v>793</v>
      </c>
      <c r="C187" s="74" t="s">
        <v>794</v>
      </c>
      <c r="D187" s="87" t="s">
        <v>123</v>
      </c>
      <c r="E187" s="87" t="s">
        <v>352</v>
      </c>
      <c r="F187" s="74" t="s">
        <v>764</v>
      </c>
      <c r="G187" s="87" t="s">
        <v>3377</v>
      </c>
      <c r="H187" s="74" t="s">
        <v>456</v>
      </c>
      <c r="I187" s="74" t="s">
        <v>356</v>
      </c>
      <c r="J187" s="74"/>
      <c r="K187" s="84">
        <v>2.8199999999999408</v>
      </c>
      <c r="L187" s="87" t="s">
        <v>165</v>
      </c>
      <c r="M187" s="88">
        <v>4.3499999999999997E-2</v>
      </c>
      <c r="N187" s="88">
        <v>0.18529999999999419</v>
      </c>
      <c r="O187" s="84">
        <v>7410591.9595130002</v>
      </c>
      <c r="P187" s="86">
        <v>68.3</v>
      </c>
      <c r="Q187" s="74"/>
      <c r="R187" s="84">
        <v>5061.4345553149997</v>
      </c>
      <c r="S187" s="85">
        <v>4.4440220445806982E-3</v>
      </c>
      <c r="T187" s="85">
        <f>R187/$R$11</f>
        <v>1.1637961130544882E-3</v>
      </c>
      <c r="U187" s="85">
        <f>R187/'סכום נכסי הקרן'!$C$42</f>
        <v>9.7165126635428484E-5</v>
      </c>
    </row>
    <row r="188" spans="2:21" s="122" customFormat="1">
      <c r="B188" s="77" t="s">
        <v>772</v>
      </c>
      <c r="C188" s="74" t="s">
        <v>773</v>
      </c>
      <c r="D188" s="87" t="s">
        <v>123</v>
      </c>
      <c r="E188" s="87" t="s">
        <v>352</v>
      </c>
      <c r="F188" s="74" t="s">
        <v>774</v>
      </c>
      <c r="G188" s="87" t="s">
        <v>548</v>
      </c>
      <c r="H188" s="74" t="s">
        <v>456</v>
      </c>
      <c r="I188" s="74" t="s">
        <v>356</v>
      </c>
      <c r="J188" s="74"/>
      <c r="K188" s="84">
        <v>10.920000000002844</v>
      </c>
      <c r="L188" s="87" t="s">
        <v>165</v>
      </c>
      <c r="M188" s="88">
        <v>2.4E-2</v>
      </c>
      <c r="N188" s="88">
        <v>3.0600000000009859E-2</v>
      </c>
      <c r="O188" s="84">
        <v>1707984.922513</v>
      </c>
      <c r="P188" s="86">
        <v>93.85</v>
      </c>
      <c r="Q188" s="74"/>
      <c r="R188" s="84">
        <v>1602.9438641069999</v>
      </c>
      <c r="S188" s="85">
        <v>4.4946971645078949E-3</v>
      </c>
      <c r="T188" s="85">
        <f t="shared" si="3"/>
        <v>3.6857136412705597E-4</v>
      </c>
      <c r="U188" s="85">
        <f>R188/'סכום נכסי הקרן'!$C$42</f>
        <v>3.077195641735341E-5</v>
      </c>
    </row>
    <row r="189" spans="2:21" s="122" customFormat="1">
      <c r="B189" s="77" t="s">
        <v>775</v>
      </c>
      <c r="C189" s="74" t="s">
        <v>776</v>
      </c>
      <c r="D189" s="87" t="s">
        <v>123</v>
      </c>
      <c r="E189" s="87" t="s">
        <v>352</v>
      </c>
      <c r="F189" s="74" t="s">
        <v>774</v>
      </c>
      <c r="G189" s="87" t="s">
        <v>548</v>
      </c>
      <c r="H189" s="74" t="s">
        <v>456</v>
      </c>
      <c r="I189" s="74" t="s">
        <v>356</v>
      </c>
      <c r="J189" s="74"/>
      <c r="K189" s="84">
        <v>2.4199999999996762</v>
      </c>
      <c r="L189" s="87" t="s">
        <v>165</v>
      </c>
      <c r="M189" s="88">
        <v>2.4500000000000001E-2</v>
      </c>
      <c r="N189" s="88">
        <v>2.3799999999997282E-2</v>
      </c>
      <c r="O189" s="84">
        <v>2344702.4286079998</v>
      </c>
      <c r="P189" s="86">
        <v>100.21</v>
      </c>
      <c r="Q189" s="74"/>
      <c r="R189" s="84">
        <v>2349.6263031779999</v>
      </c>
      <c r="S189" s="85">
        <v>1.4947148771424308E-3</v>
      </c>
      <c r="T189" s="85">
        <f t="shared" si="3"/>
        <v>5.4025907652953181E-4</v>
      </c>
      <c r="U189" s="85">
        <f>R189/'סכום נכסי הקרן'!$C$42</f>
        <v>4.5106132421387323E-5</v>
      </c>
    </row>
    <row r="190" spans="2:21" s="122" customFormat="1">
      <c r="B190" s="77" t="s">
        <v>777</v>
      </c>
      <c r="C190" s="74" t="s">
        <v>778</v>
      </c>
      <c r="D190" s="87" t="s">
        <v>123</v>
      </c>
      <c r="E190" s="87" t="s">
        <v>352</v>
      </c>
      <c r="F190" s="74" t="s">
        <v>375</v>
      </c>
      <c r="G190" s="87" t="s">
        <v>362</v>
      </c>
      <c r="H190" s="74" t="s">
        <v>456</v>
      </c>
      <c r="I190" s="74" t="s">
        <v>356</v>
      </c>
      <c r="J190" s="74"/>
      <c r="K190" s="84">
        <v>0.79999999999965554</v>
      </c>
      <c r="L190" s="87" t="s">
        <v>165</v>
      </c>
      <c r="M190" s="88">
        <v>3.2500000000000001E-2</v>
      </c>
      <c r="N190" s="88">
        <v>3.7999999999996557E-2</v>
      </c>
      <c r="O190" s="84">
        <f>1748632.6734/50000</f>
        <v>34.972653467999997</v>
      </c>
      <c r="P190" s="86">
        <v>4980000</v>
      </c>
      <c r="Q190" s="74"/>
      <c r="R190" s="84">
        <v>1741.6381043219999</v>
      </c>
      <c r="S190" s="85">
        <f>9444.41087442614%/50000</f>
        <v>1.888882174885228E-3</v>
      </c>
      <c r="T190" s="85">
        <f t="shared" si="3"/>
        <v>4.0046189158547473E-4</v>
      </c>
      <c r="U190" s="85">
        <f>R190/'סכום נכסי הקרן'!$C$42</f>
        <v>3.343449077728969E-5</v>
      </c>
    </row>
    <row r="191" spans="2:21" s="122" customFormat="1">
      <c r="B191" s="77" t="s">
        <v>779</v>
      </c>
      <c r="C191" s="74" t="s">
        <v>780</v>
      </c>
      <c r="D191" s="87" t="s">
        <v>123</v>
      </c>
      <c r="E191" s="87" t="s">
        <v>352</v>
      </c>
      <c r="F191" s="74" t="s">
        <v>781</v>
      </c>
      <c r="G191" s="87" t="s">
        <v>3377</v>
      </c>
      <c r="H191" s="74" t="s">
        <v>456</v>
      </c>
      <c r="I191" s="74" t="s">
        <v>356</v>
      </c>
      <c r="J191" s="74"/>
      <c r="K191" s="84">
        <v>3.0599999999997607</v>
      </c>
      <c r="L191" s="87" t="s">
        <v>165</v>
      </c>
      <c r="M191" s="88">
        <v>3.3799999999999997E-2</v>
      </c>
      <c r="N191" s="88">
        <v>3.6899999999996852E-2</v>
      </c>
      <c r="O191" s="84">
        <v>4522588.827397</v>
      </c>
      <c r="P191" s="86">
        <v>100.01</v>
      </c>
      <c r="Q191" s="74"/>
      <c r="R191" s="84">
        <v>4523.0410873180008</v>
      </c>
      <c r="S191" s="85">
        <v>5.5252640131223203E-3</v>
      </c>
      <c r="T191" s="85">
        <f t="shared" si="3"/>
        <v>1.0400011259809395E-3</v>
      </c>
      <c r="U191" s="85">
        <f>R191/'סכום נכסי הקרן'!$C$42</f>
        <v>8.6829505592441345E-5</v>
      </c>
    </row>
    <row r="192" spans="2:21" s="122" customFormat="1">
      <c r="B192" s="77" t="s">
        <v>782</v>
      </c>
      <c r="C192" s="74" t="s">
        <v>783</v>
      </c>
      <c r="D192" s="87" t="s">
        <v>123</v>
      </c>
      <c r="E192" s="87" t="s">
        <v>352</v>
      </c>
      <c r="F192" s="74" t="s">
        <v>542</v>
      </c>
      <c r="G192" s="87" t="s">
        <v>154</v>
      </c>
      <c r="H192" s="74" t="s">
        <v>456</v>
      </c>
      <c r="I192" s="74" t="s">
        <v>356</v>
      </c>
      <c r="J192" s="74"/>
      <c r="K192" s="84">
        <v>4.5499999999998897</v>
      </c>
      <c r="L192" s="87" t="s">
        <v>165</v>
      </c>
      <c r="M192" s="88">
        <v>5.0900000000000001E-2</v>
      </c>
      <c r="N192" s="88">
        <v>1.8299999999999338E-2</v>
      </c>
      <c r="O192" s="84">
        <v>6920866.0425220001</v>
      </c>
      <c r="P192" s="86">
        <v>117.7</v>
      </c>
      <c r="Q192" s="74"/>
      <c r="R192" s="84">
        <v>8145.8591778380005</v>
      </c>
      <c r="S192" s="85">
        <v>6.7034646660579988E-3</v>
      </c>
      <c r="T192" s="85">
        <f t="shared" si="3"/>
        <v>1.8730103382848338E-3</v>
      </c>
      <c r="U192" s="85">
        <f>R192/'סכום נכסי הקרן'!$C$42</f>
        <v>1.563772938124531E-4</v>
      </c>
    </row>
    <row r="193" spans="2:21" s="122" customFormat="1">
      <c r="B193" s="77" t="s">
        <v>784</v>
      </c>
      <c r="C193" s="74" t="s">
        <v>785</v>
      </c>
      <c r="D193" s="87" t="s">
        <v>123</v>
      </c>
      <c r="E193" s="87" t="s">
        <v>352</v>
      </c>
      <c r="F193" s="74" t="s">
        <v>786</v>
      </c>
      <c r="G193" s="87" t="s">
        <v>745</v>
      </c>
      <c r="H193" s="74" t="s">
        <v>456</v>
      </c>
      <c r="I193" s="74" t="s">
        <v>356</v>
      </c>
      <c r="J193" s="74"/>
      <c r="K193" s="84">
        <v>0.7399999999832938</v>
      </c>
      <c r="L193" s="87" t="s">
        <v>165</v>
      </c>
      <c r="M193" s="88">
        <v>4.0999999999999995E-2</v>
      </c>
      <c r="N193" s="88">
        <v>1.0199999999737473E-2</v>
      </c>
      <c r="O193" s="84">
        <v>16221.622649999999</v>
      </c>
      <c r="P193" s="86">
        <v>103.32</v>
      </c>
      <c r="Q193" s="74"/>
      <c r="R193" s="84">
        <v>16.760180521999999</v>
      </c>
      <c r="S193" s="85">
        <v>5.4072075499999996E-5</v>
      </c>
      <c r="T193" s="85">
        <f t="shared" si="3"/>
        <v>3.8537360766845314E-6</v>
      </c>
      <c r="U193" s="85">
        <f>R193/'סכום נכסי הקרן'!$C$42</f>
        <v>3.2174772686583146E-7</v>
      </c>
    </row>
    <row r="194" spans="2:21" s="122" customFormat="1">
      <c r="B194" s="77" t="s">
        <v>787</v>
      </c>
      <c r="C194" s="74" t="s">
        <v>788</v>
      </c>
      <c r="D194" s="87" t="s">
        <v>123</v>
      </c>
      <c r="E194" s="87" t="s">
        <v>352</v>
      </c>
      <c r="F194" s="74" t="s">
        <v>786</v>
      </c>
      <c r="G194" s="87" t="s">
        <v>745</v>
      </c>
      <c r="H194" s="74" t="s">
        <v>456</v>
      </c>
      <c r="I194" s="74" t="s">
        <v>356</v>
      </c>
      <c r="J194" s="74"/>
      <c r="K194" s="84">
        <v>2.6200001410397449</v>
      </c>
      <c r="L194" s="87" t="s">
        <v>165</v>
      </c>
      <c r="M194" s="88">
        <v>1.2E-2</v>
      </c>
      <c r="N194" s="88">
        <v>1.4000001762996811E-2</v>
      </c>
      <c r="O194" s="84">
        <v>2.2710270000000001</v>
      </c>
      <c r="P194" s="86">
        <v>99.89</v>
      </c>
      <c r="Q194" s="74"/>
      <c r="R194" s="84">
        <v>2.2688640000000002E-3</v>
      </c>
      <c r="S194" s="85">
        <v>4.9014054413370687E-9</v>
      </c>
      <c r="T194" s="85">
        <f t="shared" si="3"/>
        <v>5.2168907359998989E-10</v>
      </c>
      <c r="U194" s="85">
        <f>R194/'סכום נכסי הקרן'!$C$42</f>
        <v>4.3555726241104147E-11</v>
      </c>
    </row>
    <row r="195" spans="2:21" s="122" customFormat="1">
      <c r="B195" s="77" t="s">
        <v>789</v>
      </c>
      <c r="C195" s="74" t="s">
        <v>790</v>
      </c>
      <c r="D195" s="87" t="s">
        <v>123</v>
      </c>
      <c r="E195" s="87" t="s">
        <v>352</v>
      </c>
      <c r="F195" s="74" t="s">
        <v>552</v>
      </c>
      <c r="G195" s="87" t="s">
        <v>192</v>
      </c>
      <c r="H195" s="74" t="s">
        <v>549</v>
      </c>
      <c r="I195" s="74" t="s">
        <v>356</v>
      </c>
      <c r="J195" s="74"/>
      <c r="K195" s="84">
        <v>4.1199999999999894</v>
      </c>
      <c r="L195" s="87" t="s">
        <v>165</v>
      </c>
      <c r="M195" s="88">
        <v>3.6499999999999998E-2</v>
      </c>
      <c r="N195" s="88">
        <v>2.8499999999999862E-2</v>
      </c>
      <c r="O195" s="84">
        <v>17422236.743375</v>
      </c>
      <c r="P195" s="86">
        <v>104.6</v>
      </c>
      <c r="Q195" s="74"/>
      <c r="R195" s="84">
        <v>18223.659053485</v>
      </c>
      <c r="S195" s="85">
        <v>8.1223760649925779E-3</v>
      </c>
      <c r="T195" s="85">
        <f t="shared" si="3"/>
        <v>4.1902396129581401E-3</v>
      </c>
      <c r="U195" s="85">
        <f>R195/'סכום נכסי הקרן'!$C$42</f>
        <v>3.4984234614538894E-4</v>
      </c>
    </row>
    <row r="196" spans="2:21" s="122" customFormat="1">
      <c r="B196" s="77" t="s">
        <v>791</v>
      </c>
      <c r="C196" s="74" t="s">
        <v>792</v>
      </c>
      <c r="D196" s="87" t="s">
        <v>123</v>
      </c>
      <c r="E196" s="87" t="s">
        <v>352</v>
      </c>
      <c r="F196" s="74" t="s">
        <v>473</v>
      </c>
      <c r="G196" s="87" t="s">
        <v>3376</v>
      </c>
      <c r="H196" s="74" t="s">
        <v>557</v>
      </c>
      <c r="I196" s="74" t="s">
        <v>163</v>
      </c>
      <c r="J196" s="74"/>
      <c r="K196" s="84">
        <v>2.7199999999996272</v>
      </c>
      <c r="L196" s="87" t="s">
        <v>165</v>
      </c>
      <c r="M196" s="88">
        <v>3.5000000000000003E-2</v>
      </c>
      <c r="N196" s="88">
        <v>2.2099999999995335E-2</v>
      </c>
      <c r="O196" s="84">
        <v>2567552.0774099999</v>
      </c>
      <c r="P196" s="86">
        <v>104.42</v>
      </c>
      <c r="Q196" s="74"/>
      <c r="R196" s="84">
        <v>2681.0377654250001</v>
      </c>
      <c r="S196" s="85">
        <v>1.8016803020235599E-2</v>
      </c>
      <c r="T196" s="85">
        <f t="shared" si="3"/>
        <v>6.1646185409577436E-4</v>
      </c>
      <c r="U196" s="85">
        <f>R196/'סכום נכסי הקרן'!$C$42</f>
        <v>5.1468288514830722E-5</v>
      </c>
    </row>
    <row r="197" spans="2:21" s="122" customFormat="1">
      <c r="B197" s="77" t="s">
        <v>795</v>
      </c>
      <c r="C197" s="74" t="s">
        <v>796</v>
      </c>
      <c r="D197" s="87" t="s">
        <v>123</v>
      </c>
      <c r="E197" s="87" t="s">
        <v>352</v>
      </c>
      <c r="F197" s="74" t="s">
        <v>421</v>
      </c>
      <c r="G197" s="87" t="s">
        <v>362</v>
      </c>
      <c r="H197" s="74" t="s">
        <v>557</v>
      </c>
      <c r="I197" s="74" t="s">
        <v>163</v>
      </c>
      <c r="J197" s="74"/>
      <c r="K197" s="84">
        <v>1.740000000000048</v>
      </c>
      <c r="L197" s="87" t="s">
        <v>165</v>
      </c>
      <c r="M197" s="88">
        <v>3.6000000000000004E-2</v>
      </c>
      <c r="N197" s="88">
        <v>4.1900000000001277E-2</v>
      </c>
      <c r="O197" s="84">
        <f>17038506.1713/50000</f>
        <v>340.77012342600005</v>
      </c>
      <c r="P197" s="86">
        <v>4990000</v>
      </c>
      <c r="Q197" s="74"/>
      <c r="R197" s="84">
        <v>17004.429158957002</v>
      </c>
      <c r="S197" s="85">
        <f>108657.012762579%/50000</f>
        <v>2.1731402552515801E-2</v>
      </c>
      <c r="T197" s="85">
        <f t="shared" si="3"/>
        <v>3.9098971533917115E-3</v>
      </c>
      <c r="U197" s="85">
        <f>R197/'סכום נכסי הקרן'!$C$42</f>
        <v>3.2643660498548168E-4</v>
      </c>
    </row>
    <row r="198" spans="2:21" s="122" customFormat="1">
      <c r="B198" s="77" t="s">
        <v>797</v>
      </c>
      <c r="C198" s="74" t="s">
        <v>798</v>
      </c>
      <c r="D198" s="87" t="s">
        <v>123</v>
      </c>
      <c r="E198" s="87" t="s">
        <v>352</v>
      </c>
      <c r="F198" s="74" t="s">
        <v>487</v>
      </c>
      <c r="G198" s="87" t="s">
        <v>488</v>
      </c>
      <c r="H198" s="74" t="s">
        <v>549</v>
      </c>
      <c r="I198" s="74" t="s">
        <v>356</v>
      </c>
      <c r="J198" s="74"/>
      <c r="K198" s="84">
        <v>9.9000000000000732</v>
      </c>
      <c r="L198" s="87" t="s">
        <v>165</v>
      </c>
      <c r="M198" s="88">
        <v>3.0499999999999999E-2</v>
      </c>
      <c r="N198" s="88">
        <v>3.0400000000000298E-2</v>
      </c>
      <c r="O198" s="84">
        <v>6737669.0277509997</v>
      </c>
      <c r="P198" s="86">
        <v>101.05</v>
      </c>
      <c r="Q198" s="74"/>
      <c r="R198" s="84">
        <v>6808.4145532449993</v>
      </c>
      <c r="S198" s="85">
        <v>2.1319882060108691E-2</v>
      </c>
      <c r="T198" s="85">
        <f t="shared" si="3"/>
        <v>1.5654862878370286E-3</v>
      </c>
      <c r="U198" s="85">
        <f>R198/'סכום נכסי הקרן'!$C$42</f>
        <v>1.3070216655431465E-4</v>
      </c>
    </row>
    <row r="199" spans="2:21" s="122" customFormat="1">
      <c r="B199" s="77" t="s">
        <v>799</v>
      </c>
      <c r="C199" s="74" t="s">
        <v>800</v>
      </c>
      <c r="D199" s="87" t="s">
        <v>123</v>
      </c>
      <c r="E199" s="87" t="s">
        <v>352</v>
      </c>
      <c r="F199" s="74" t="s">
        <v>487</v>
      </c>
      <c r="G199" s="87" t="s">
        <v>488</v>
      </c>
      <c r="H199" s="74" t="s">
        <v>549</v>
      </c>
      <c r="I199" s="74" t="s">
        <v>356</v>
      </c>
      <c r="J199" s="74"/>
      <c r="K199" s="84">
        <v>9.1800000000004243</v>
      </c>
      <c r="L199" s="87" t="s">
        <v>165</v>
      </c>
      <c r="M199" s="88">
        <v>3.0499999999999999E-2</v>
      </c>
      <c r="N199" s="88">
        <v>3.0800000000001312E-2</v>
      </c>
      <c r="O199" s="84">
        <v>11545760.57667</v>
      </c>
      <c r="P199" s="86">
        <v>100.65</v>
      </c>
      <c r="Q199" s="74"/>
      <c r="R199" s="84">
        <v>11620.808020256</v>
      </c>
      <c r="S199" s="85">
        <v>1.5840598207873403E-2</v>
      </c>
      <c r="T199" s="85">
        <f t="shared" si="3"/>
        <v>2.6720193764679964E-3</v>
      </c>
      <c r="U199" s="85">
        <f>R199/'סכום נכסי הקרן'!$C$42</f>
        <v>2.2308641365489411E-4</v>
      </c>
    </row>
    <row r="200" spans="2:21" s="122" customFormat="1">
      <c r="B200" s="77" t="s">
        <v>801</v>
      </c>
      <c r="C200" s="74" t="s">
        <v>802</v>
      </c>
      <c r="D200" s="87" t="s">
        <v>123</v>
      </c>
      <c r="E200" s="87" t="s">
        <v>352</v>
      </c>
      <c r="F200" s="74" t="s">
        <v>487</v>
      </c>
      <c r="G200" s="87" t="s">
        <v>488</v>
      </c>
      <c r="H200" s="74" t="s">
        <v>549</v>
      </c>
      <c r="I200" s="74" t="s">
        <v>356</v>
      </c>
      <c r="J200" s="74"/>
      <c r="K200" s="84">
        <v>5.7300000000004276</v>
      </c>
      <c r="L200" s="87" t="s">
        <v>165</v>
      </c>
      <c r="M200" s="88">
        <v>2.9100000000000001E-2</v>
      </c>
      <c r="N200" s="88">
        <v>2.5300000000001526E-2</v>
      </c>
      <c r="O200" s="84">
        <v>5669681.515288</v>
      </c>
      <c r="P200" s="86">
        <v>103.01</v>
      </c>
      <c r="Q200" s="74"/>
      <c r="R200" s="84">
        <v>5840.3389280869997</v>
      </c>
      <c r="S200" s="85">
        <v>9.4494691921466669E-3</v>
      </c>
      <c r="T200" s="85">
        <f t="shared" si="3"/>
        <v>1.3428927449612071E-3</v>
      </c>
      <c r="U200" s="85">
        <f>R200/'סכום נכסי הקרן'!$C$42</f>
        <v>1.1211787198660694E-4</v>
      </c>
    </row>
    <row r="201" spans="2:21" s="122" customFormat="1">
      <c r="B201" s="77" t="s">
        <v>803</v>
      </c>
      <c r="C201" s="74" t="s">
        <v>804</v>
      </c>
      <c r="D201" s="87" t="s">
        <v>123</v>
      </c>
      <c r="E201" s="87" t="s">
        <v>352</v>
      </c>
      <c r="F201" s="74" t="s">
        <v>487</v>
      </c>
      <c r="G201" s="87" t="s">
        <v>488</v>
      </c>
      <c r="H201" s="74" t="s">
        <v>549</v>
      </c>
      <c r="I201" s="74" t="s">
        <v>356</v>
      </c>
      <c r="J201" s="74"/>
      <c r="K201" s="84">
        <v>7.5099999999993052</v>
      </c>
      <c r="L201" s="87" t="s">
        <v>165</v>
      </c>
      <c r="M201" s="88">
        <v>3.95E-2</v>
      </c>
      <c r="N201" s="88">
        <v>2.3899999999997333E-2</v>
      </c>
      <c r="O201" s="84">
        <v>4126892.9476450002</v>
      </c>
      <c r="P201" s="86">
        <v>113.38</v>
      </c>
      <c r="Q201" s="74"/>
      <c r="R201" s="84">
        <v>4679.0712239750001</v>
      </c>
      <c r="S201" s="85">
        <v>1.7194672771556039E-2</v>
      </c>
      <c r="T201" s="85">
        <f t="shared" si="3"/>
        <v>1.0758777662054173E-3</v>
      </c>
      <c r="U201" s="85">
        <f>R201/'סכום נכסי הקרן'!$C$42</f>
        <v>8.9824839785056828E-5</v>
      </c>
    </row>
    <row r="202" spans="2:21" s="122" customFormat="1">
      <c r="B202" s="77" t="s">
        <v>805</v>
      </c>
      <c r="C202" s="74" t="s">
        <v>806</v>
      </c>
      <c r="D202" s="87" t="s">
        <v>123</v>
      </c>
      <c r="E202" s="87" t="s">
        <v>352</v>
      </c>
      <c r="F202" s="74" t="s">
        <v>487</v>
      </c>
      <c r="G202" s="87" t="s">
        <v>488</v>
      </c>
      <c r="H202" s="74" t="s">
        <v>549</v>
      </c>
      <c r="I202" s="74" t="s">
        <v>356</v>
      </c>
      <c r="J202" s="74"/>
      <c r="K202" s="84">
        <v>8.2000000000023157</v>
      </c>
      <c r="L202" s="87" t="s">
        <v>165</v>
      </c>
      <c r="M202" s="88">
        <v>3.95E-2</v>
      </c>
      <c r="N202" s="88">
        <v>2.8300000000005255E-2</v>
      </c>
      <c r="O202" s="84">
        <v>1014703.591535</v>
      </c>
      <c r="P202" s="86">
        <v>110.66</v>
      </c>
      <c r="Q202" s="74"/>
      <c r="R202" s="84">
        <v>1122.8709935270001</v>
      </c>
      <c r="S202" s="85">
        <v>4.2277559505204398E-3</v>
      </c>
      <c r="T202" s="85">
        <f t="shared" si="3"/>
        <v>2.5818626783509317E-4</v>
      </c>
      <c r="U202" s="85">
        <f>R202/'סכום נכסי הקרן'!$C$42</f>
        <v>2.15559247262677E-5</v>
      </c>
    </row>
    <row r="203" spans="2:21" s="122" customFormat="1">
      <c r="B203" s="77" t="s">
        <v>807</v>
      </c>
      <c r="C203" s="74" t="s">
        <v>808</v>
      </c>
      <c r="D203" s="87" t="s">
        <v>123</v>
      </c>
      <c r="E203" s="87" t="s">
        <v>352</v>
      </c>
      <c r="F203" s="74" t="s">
        <v>499</v>
      </c>
      <c r="G203" s="87" t="s">
        <v>3376</v>
      </c>
      <c r="H203" s="74" t="s">
        <v>557</v>
      </c>
      <c r="I203" s="74" t="s">
        <v>163</v>
      </c>
      <c r="J203" s="74"/>
      <c r="K203" s="84">
        <v>3.6200000000008767</v>
      </c>
      <c r="L203" s="87" t="s">
        <v>165</v>
      </c>
      <c r="M203" s="88">
        <v>5.0499999999999996E-2</v>
      </c>
      <c r="N203" s="88">
        <v>2.2000000000006258E-2</v>
      </c>
      <c r="O203" s="84">
        <v>1437561.8192419999</v>
      </c>
      <c r="P203" s="86">
        <v>111</v>
      </c>
      <c r="Q203" s="74"/>
      <c r="R203" s="84">
        <v>1595.6936671800004</v>
      </c>
      <c r="S203" s="85">
        <v>2.2158996453344243E-3</v>
      </c>
      <c r="T203" s="85">
        <f t="shared" si="3"/>
        <v>3.6690429703168845E-4</v>
      </c>
      <c r="U203" s="85">
        <f>R203/'סכום נכסי הקרן'!$C$42</f>
        <v>3.0632773287581647E-5</v>
      </c>
    </row>
    <row r="204" spans="2:21" s="122" customFormat="1">
      <c r="B204" s="77" t="s">
        <v>809</v>
      </c>
      <c r="C204" s="74" t="s">
        <v>810</v>
      </c>
      <c r="D204" s="87" t="s">
        <v>123</v>
      </c>
      <c r="E204" s="87" t="s">
        <v>352</v>
      </c>
      <c r="F204" s="74" t="s">
        <v>504</v>
      </c>
      <c r="G204" s="87" t="s">
        <v>488</v>
      </c>
      <c r="H204" s="74" t="s">
        <v>557</v>
      </c>
      <c r="I204" s="74" t="s">
        <v>163</v>
      </c>
      <c r="J204" s="74"/>
      <c r="K204" s="84">
        <v>4.0099999999999456</v>
      </c>
      <c r="L204" s="87" t="s">
        <v>165</v>
      </c>
      <c r="M204" s="88">
        <v>3.9199999999999999E-2</v>
      </c>
      <c r="N204" s="88">
        <v>2.9000000000000133E-2</v>
      </c>
      <c r="O204" s="84">
        <v>7194927.4243240003</v>
      </c>
      <c r="P204" s="86">
        <v>104.86</v>
      </c>
      <c r="Q204" s="74"/>
      <c r="R204" s="84">
        <v>7544.601137441</v>
      </c>
      <c r="S204" s="85">
        <v>7.4958560617802298E-3</v>
      </c>
      <c r="T204" s="85">
        <f t="shared" si="3"/>
        <v>1.7347606458884379E-3</v>
      </c>
      <c r="U204" s="85">
        <f>R204/'סכום נכסי הקרן'!$C$42</f>
        <v>1.448348520408024E-4</v>
      </c>
    </row>
    <row r="205" spans="2:21" s="122" customFormat="1">
      <c r="B205" s="77" t="s">
        <v>811</v>
      </c>
      <c r="C205" s="74" t="s">
        <v>812</v>
      </c>
      <c r="D205" s="87" t="s">
        <v>123</v>
      </c>
      <c r="E205" s="87" t="s">
        <v>352</v>
      </c>
      <c r="F205" s="74" t="s">
        <v>504</v>
      </c>
      <c r="G205" s="87" t="s">
        <v>488</v>
      </c>
      <c r="H205" s="74" t="s">
        <v>557</v>
      </c>
      <c r="I205" s="74" t="s">
        <v>163</v>
      </c>
      <c r="J205" s="74"/>
      <c r="K205" s="84">
        <v>8.7700000000000102</v>
      </c>
      <c r="L205" s="87" t="s">
        <v>165</v>
      </c>
      <c r="M205" s="88">
        <v>2.64E-2</v>
      </c>
      <c r="N205" s="88">
        <v>3.9799999999999898E-2</v>
      </c>
      <c r="O205" s="84">
        <v>22460717.830250002</v>
      </c>
      <c r="P205" s="86">
        <v>89.29</v>
      </c>
      <c r="Q205" s="74"/>
      <c r="R205" s="84">
        <v>20055.174950339999</v>
      </c>
      <c r="S205" s="85">
        <v>1.3727599736448534E-2</v>
      </c>
      <c r="T205" s="85">
        <f t="shared" si="3"/>
        <v>4.6113674687987445E-3</v>
      </c>
      <c r="U205" s="85">
        <f>R205/'סכום נכסי הקרן'!$C$42</f>
        <v>3.8500223453431245E-4</v>
      </c>
    </row>
    <row r="206" spans="2:21" s="122" customFormat="1">
      <c r="B206" s="77" t="s">
        <v>813</v>
      </c>
      <c r="C206" s="74" t="s">
        <v>814</v>
      </c>
      <c r="D206" s="87" t="s">
        <v>123</v>
      </c>
      <c r="E206" s="87" t="s">
        <v>352</v>
      </c>
      <c r="F206" s="74" t="s">
        <v>517</v>
      </c>
      <c r="G206" s="87" t="s">
        <v>3376</v>
      </c>
      <c r="H206" s="74" t="s">
        <v>549</v>
      </c>
      <c r="I206" s="74" t="s">
        <v>356</v>
      </c>
      <c r="J206" s="74"/>
      <c r="K206" s="84">
        <v>2.3799999999603907</v>
      </c>
      <c r="L206" s="87" t="s">
        <v>165</v>
      </c>
      <c r="M206" s="88">
        <v>5.74E-2</v>
      </c>
      <c r="N206" s="88">
        <v>2.5300000000099021E-2</v>
      </c>
      <c r="O206" s="84">
        <v>1481.6494880000002</v>
      </c>
      <c r="P206" s="86">
        <v>107.73</v>
      </c>
      <c r="Q206" s="84">
        <v>0.42356603399999998</v>
      </c>
      <c r="R206" s="84">
        <v>2.0197466660000001</v>
      </c>
      <c r="S206" s="85">
        <v>1.499960380333893E-5</v>
      </c>
      <c r="T206" s="85">
        <f t="shared" si="3"/>
        <v>4.6440851769529068E-7</v>
      </c>
      <c r="U206" s="85">
        <f>R206/'סכום נכסי הקרן'!$C$42</f>
        <v>3.8773383006067706E-8</v>
      </c>
    </row>
    <row r="207" spans="2:21" s="122" customFormat="1">
      <c r="B207" s="77" t="s">
        <v>815</v>
      </c>
      <c r="C207" s="74" t="s">
        <v>816</v>
      </c>
      <c r="D207" s="87" t="s">
        <v>123</v>
      </c>
      <c r="E207" s="87" t="s">
        <v>352</v>
      </c>
      <c r="F207" s="74" t="s">
        <v>517</v>
      </c>
      <c r="G207" s="87" t="s">
        <v>3376</v>
      </c>
      <c r="H207" s="74" t="s">
        <v>549</v>
      </c>
      <c r="I207" s="74" t="s">
        <v>356</v>
      </c>
      <c r="J207" s="74"/>
      <c r="K207" s="84">
        <v>4.0200000000058962</v>
      </c>
      <c r="L207" s="87" t="s">
        <v>165</v>
      </c>
      <c r="M207" s="88">
        <v>5.6500000000000002E-2</v>
      </c>
      <c r="N207" s="88">
        <v>2.5400000000038673E-2</v>
      </c>
      <c r="O207" s="84">
        <v>275767.58504999999</v>
      </c>
      <c r="P207" s="86">
        <v>114.38</v>
      </c>
      <c r="Q207" s="74"/>
      <c r="R207" s="84">
        <v>315.42297675700001</v>
      </c>
      <c r="S207" s="85">
        <v>3.1432075433310402E-3</v>
      </c>
      <c r="T207" s="85">
        <f t="shared" si="3"/>
        <v>7.2526480448590326E-5</v>
      </c>
      <c r="U207" s="85">
        <f>R207/'סכום נכסי הקרן'!$C$42</f>
        <v>6.0552227131207723E-6</v>
      </c>
    </row>
    <row r="208" spans="2:21" s="122" customFormat="1">
      <c r="B208" s="77" t="s">
        <v>817</v>
      </c>
      <c r="C208" s="74" t="s">
        <v>818</v>
      </c>
      <c r="D208" s="87" t="s">
        <v>123</v>
      </c>
      <c r="E208" s="87" t="s">
        <v>352</v>
      </c>
      <c r="F208" s="74" t="s">
        <v>625</v>
      </c>
      <c r="G208" s="87" t="s">
        <v>488</v>
      </c>
      <c r="H208" s="74" t="s">
        <v>557</v>
      </c>
      <c r="I208" s="74" t="s">
        <v>163</v>
      </c>
      <c r="J208" s="74"/>
      <c r="K208" s="84">
        <v>3.9299999999997599</v>
      </c>
      <c r="L208" s="87" t="s">
        <v>165</v>
      </c>
      <c r="M208" s="88">
        <v>4.0999999999999995E-2</v>
      </c>
      <c r="N208" s="88">
        <v>1.7899999999999753E-2</v>
      </c>
      <c r="O208" s="84">
        <v>2595459.6239999998</v>
      </c>
      <c r="P208" s="86">
        <v>110.47</v>
      </c>
      <c r="Q208" s="74"/>
      <c r="R208" s="84">
        <v>2867.2042466330004</v>
      </c>
      <c r="S208" s="85">
        <v>8.6515320799999997E-3</v>
      </c>
      <c r="T208" s="85">
        <f t="shared" si="3"/>
        <v>6.5926786587822215E-4</v>
      </c>
      <c r="U208" s="85">
        <f>R208/'סכום נכסי הקרן'!$C$42</f>
        <v>5.50421546834355E-5</v>
      </c>
    </row>
    <row r="209" spans="2:21" s="122" customFormat="1">
      <c r="B209" s="77" t="s">
        <v>819</v>
      </c>
      <c r="C209" s="74" t="s">
        <v>820</v>
      </c>
      <c r="D209" s="87" t="s">
        <v>123</v>
      </c>
      <c r="E209" s="87" t="s">
        <v>352</v>
      </c>
      <c r="F209" s="74" t="s">
        <v>639</v>
      </c>
      <c r="G209" s="87" t="s">
        <v>492</v>
      </c>
      <c r="H209" s="74" t="s">
        <v>549</v>
      </c>
      <c r="I209" s="74" t="s">
        <v>356</v>
      </c>
      <c r="J209" s="74"/>
      <c r="K209" s="84">
        <v>7.7199999999999971</v>
      </c>
      <c r="L209" s="87" t="s">
        <v>165</v>
      </c>
      <c r="M209" s="88">
        <v>2.4300000000000002E-2</v>
      </c>
      <c r="N209" s="88">
        <v>3.5799999999999603E-2</v>
      </c>
      <c r="O209" s="84">
        <v>15097236.556917001</v>
      </c>
      <c r="P209" s="86">
        <v>92.11</v>
      </c>
      <c r="Q209" s="74"/>
      <c r="R209" s="84">
        <v>13906.065253932</v>
      </c>
      <c r="S209" s="85">
        <v>1.7461224425804549E-2</v>
      </c>
      <c r="T209" s="85">
        <f t="shared" si="3"/>
        <v>3.1974778125726318E-3</v>
      </c>
      <c r="U209" s="85">
        <f>R209/'סכום נכסי הקרן'!$C$42</f>
        <v>2.6695684328862046E-4</v>
      </c>
    </row>
    <row r="210" spans="2:21" s="122" customFormat="1">
      <c r="B210" s="77" t="s">
        <v>821</v>
      </c>
      <c r="C210" s="74" t="s">
        <v>822</v>
      </c>
      <c r="D210" s="87" t="s">
        <v>123</v>
      </c>
      <c r="E210" s="87" t="s">
        <v>352</v>
      </c>
      <c r="F210" s="74" t="s">
        <v>639</v>
      </c>
      <c r="G210" s="87" t="s">
        <v>492</v>
      </c>
      <c r="H210" s="74" t="s">
        <v>549</v>
      </c>
      <c r="I210" s="74" t="s">
        <v>356</v>
      </c>
      <c r="J210" s="74"/>
      <c r="K210" s="84">
        <v>4.0099999999999234</v>
      </c>
      <c r="L210" s="87" t="s">
        <v>165</v>
      </c>
      <c r="M210" s="88">
        <v>1.9E-2</v>
      </c>
      <c r="N210" s="88">
        <v>2.3599999999999337E-2</v>
      </c>
      <c r="O210" s="84">
        <v>9752375.4271639995</v>
      </c>
      <c r="P210" s="86">
        <v>98.42</v>
      </c>
      <c r="Q210" s="74"/>
      <c r="R210" s="84">
        <v>9598.2875702739984</v>
      </c>
      <c r="S210" s="85">
        <v>1.4040316707699658E-2</v>
      </c>
      <c r="T210" s="85">
        <f t="shared" si="3"/>
        <v>2.2069730714060162E-3</v>
      </c>
      <c r="U210" s="85">
        <f>R210/'סכום נכסי הקרן'!$C$42</f>
        <v>1.8425978189712865E-4</v>
      </c>
    </row>
    <row r="211" spans="2:21" s="122" customFormat="1">
      <c r="B211" s="77" t="s">
        <v>823</v>
      </c>
      <c r="C211" s="74" t="s">
        <v>824</v>
      </c>
      <c r="D211" s="87" t="s">
        <v>123</v>
      </c>
      <c r="E211" s="87" t="s">
        <v>352</v>
      </c>
      <c r="F211" s="74" t="s">
        <v>639</v>
      </c>
      <c r="G211" s="87" t="s">
        <v>492</v>
      </c>
      <c r="H211" s="74" t="s">
        <v>549</v>
      </c>
      <c r="I211" s="74" t="s">
        <v>356</v>
      </c>
      <c r="J211" s="74"/>
      <c r="K211" s="84">
        <v>2.5599999999998588</v>
      </c>
      <c r="L211" s="87" t="s">
        <v>165</v>
      </c>
      <c r="M211" s="88">
        <v>2.9600000000000001E-2</v>
      </c>
      <c r="N211" s="88">
        <v>1.3099999999997907E-2</v>
      </c>
      <c r="O211" s="84">
        <v>3492046.7679389999</v>
      </c>
      <c r="P211" s="86">
        <v>105.32</v>
      </c>
      <c r="Q211" s="74"/>
      <c r="R211" s="84">
        <v>3677.8236176669998</v>
      </c>
      <c r="S211" s="85">
        <v>8.5506808815482109E-3</v>
      </c>
      <c r="T211" s="85">
        <f t="shared" si="3"/>
        <v>8.4565685557391724E-4</v>
      </c>
      <c r="U211" s="85">
        <f>R211/'סכום נכסי הקרן'!$C$42</f>
        <v>7.0603737665268212E-5</v>
      </c>
    </row>
    <row r="212" spans="2:21" s="122" customFormat="1">
      <c r="B212" s="77" t="s">
        <v>825</v>
      </c>
      <c r="C212" s="74" t="s">
        <v>826</v>
      </c>
      <c r="D212" s="87" t="s">
        <v>123</v>
      </c>
      <c r="E212" s="87" t="s">
        <v>352</v>
      </c>
      <c r="F212" s="74" t="s">
        <v>644</v>
      </c>
      <c r="G212" s="87" t="s">
        <v>488</v>
      </c>
      <c r="H212" s="74" t="s">
        <v>549</v>
      </c>
      <c r="I212" s="74" t="s">
        <v>356</v>
      </c>
      <c r="J212" s="74"/>
      <c r="K212" s="84">
        <v>3.5900000000014223</v>
      </c>
      <c r="L212" s="87" t="s">
        <v>165</v>
      </c>
      <c r="M212" s="88">
        <v>3.85E-2</v>
      </c>
      <c r="N212" s="88">
        <v>2.3400000000004612E-2</v>
      </c>
      <c r="O212" s="84">
        <v>980075.293664</v>
      </c>
      <c r="P212" s="86">
        <v>106.18</v>
      </c>
      <c r="Q212" s="74"/>
      <c r="R212" s="84">
        <v>1040.643913828</v>
      </c>
      <c r="S212" s="85">
        <v>2.4573698976859872E-3</v>
      </c>
      <c r="T212" s="85">
        <f t="shared" si="3"/>
        <v>2.3927946291729999E-4</v>
      </c>
      <c r="U212" s="85">
        <f>R212/'סכום נכסי הקרן'!$C$42</f>
        <v>1.9977399009003422E-5</v>
      </c>
    </row>
    <row r="213" spans="2:21" s="122" customFormat="1">
      <c r="B213" s="77" t="s">
        <v>827</v>
      </c>
      <c r="C213" s="74" t="s">
        <v>828</v>
      </c>
      <c r="D213" s="87" t="s">
        <v>123</v>
      </c>
      <c r="E213" s="87" t="s">
        <v>352</v>
      </c>
      <c r="F213" s="74" t="s">
        <v>644</v>
      </c>
      <c r="G213" s="87" t="s">
        <v>488</v>
      </c>
      <c r="H213" s="74" t="s">
        <v>557</v>
      </c>
      <c r="I213" s="74" t="s">
        <v>163</v>
      </c>
      <c r="J213" s="74"/>
      <c r="K213" s="84">
        <v>4.8900000000000707</v>
      </c>
      <c r="L213" s="87" t="s">
        <v>165</v>
      </c>
      <c r="M213" s="88">
        <v>3.61E-2</v>
      </c>
      <c r="N213" s="88">
        <v>2.059999999999991E-2</v>
      </c>
      <c r="O213" s="84">
        <v>14187528.174993001</v>
      </c>
      <c r="P213" s="86">
        <v>108.42</v>
      </c>
      <c r="Q213" s="74"/>
      <c r="R213" s="84">
        <v>15382.117575019</v>
      </c>
      <c r="S213" s="85">
        <v>1.8485378729632573E-2</v>
      </c>
      <c r="T213" s="85">
        <f t="shared" si="3"/>
        <v>3.5368724911311491E-3</v>
      </c>
      <c r="U213" s="85">
        <f>R213/'סכום נכסי הקרן'!$C$42</f>
        <v>2.9529284351376031E-4</v>
      </c>
    </row>
    <row r="214" spans="2:21" s="122" customFormat="1">
      <c r="B214" s="77" t="s">
        <v>829</v>
      </c>
      <c r="C214" s="74" t="s">
        <v>830</v>
      </c>
      <c r="D214" s="87" t="s">
        <v>123</v>
      </c>
      <c r="E214" s="87" t="s">
        <v>352</v>
      </c>
      <c r="F214" s="74" t="s">
        <v>644</v>
      </c>
      <c r="G214" s="87" t="s">
        <v>488</v>
      </c>
      <c r="H214" s="74" t="s">
        <v>557</v>
      </c>
      <c r="I214" s="74" t="s">
        <v>163</v>
      </c>
      <c r="J214" s="74"/>
      <c r="K214" s="84">
        <v>5.8300000000006138</v>
      </c>
      <c r="L214" s="87" t="s">
        <v>165</v>
      </c>
      <c r="M214" s="88">
        <v>3.3000000000000002E-2</v>
      </c>
      <c r="N214" s="88">
        <v>2.710000000000231E-2</v>
      </c>
      <c r="O214" s="84">
        <v>4927623.8197410004</v>
      </c>
      <c r="P214" s="86">
        <v>103.83</v>
      </c>
      <c r="Q214" s="74"/>
      <c r="R214" s="84">
        <v>5116.3518130419998</v>
      </c>
      <c r="S214" s="85">
        <v>1.5980877976750071E-2</v>
      </c>
      <c r="T214" s="85">
        <f t="shared" si="3"/>
        <v>1.176423460179856E-3</v>
      </c>
      <c r="U214" s="85">
        <f>R214/'סכום נכסי הקרן'!$C$42</f>
        <v>9.8219381559244706E-5</v>
      </c>
    </row>
    <row r="215" spans="2:21" s="122" customFormat="1">
      <c r="B215" s="77" t="s">
        <v>831</v>
      </c>
      <c r="C215" s="74" t="s">
        <v>832</v>
      </c>
      <c r="D215" s="87" t="s">
        <v>123</v>
      </c>
      <c r="E215" s="87" t="s">
        <v>352</v>
      </c>
      <c r="F215" s="74" t="s">
        <v>644</v>
      </c>
      <c r="G215" s="87" t="s">
        <v>488</v>
      </c>
      <c r="H215" s="74" t="s">
        <v>557</v>
      </c>
      <c r="I215" s="74" t="s">
        <v>163</v>
      </c>
      <c r="J215" s="74"/>
      <c r="K215" s="84">
        <v>8.0299999999998484</v>
      </c>
      <c r="L215" s="87" t="s">
        <v>165</v>
      </c>
      <c r="M215" s="88">
        <v>2.6200000000000001E-2</v>
      </c>
      <c r="N215" s="88">
        <v>3.1199999999999329E-2</v>
      </c>
      <c r="O215" s="84">
        <v>15244432.101563999</v>
      </c>
      <c r="P215" s="86">
        <v>97.33</v>
      </c>
      <c r="Q215" s="74"/>
      <c r="R215" s="84">
        <v>14837.405256175</v>
      </c>
      <c r="S215" s="85">
        <v>1.9055540126954998E-2</v>
      </c>
      <c r="T215" s="85">
        <f t="shared" si="3"/>
        <v>3.4116245851322754E-3</v>
      </c>
      <c r="U215" s="85">
        <f>R215/'סכום נכסי הקרן'!$C$42</f>
        <v>2.8483591853292127E-4</v>
      </c>
    </row>
    <row r="216" spans="2:21" s="122" customFormat="1">
      <c r="B216" s="77" t="s">
        <v>833</v>
      </c>
      <c r="C216" s="74" t="s">
        <v>834</v>
      </c>
      <c r="D216" s="87" t="s">
        <v>123</v>
      </c>
      <c r="E216" s="87" t="s">
        <v>352</v>
      </c>
      <c r="F216" s="74" t="s">
        <v>835</v>
      </c>
      <c r="G216" s="87" t="s">
        <v>154</v>
      </c>
      <c r="H216" s="74" t="s">
        <v>557</v>
      </c>
      <c r="I216" s="74" t="s">
        <v>163</v>
      </c>
      <c r="J216" s="74"/>
      <c r="K216" s="84">
        <v>3.1799999999996094</v>
      </c>
      <c r="L216" s="87" t="s">
        <v>165</v>
      </c>
      <c r="M216" s="88">
        <v>2.75E-2</v>
      </c>
      <c r="N216" s="88">
        <v>4.4699999999995361E-2</v>
      </c>
      <c r="O216" s="84">
        <v>4308024.8027760005</v>
      </c>
      <c r="P216" s="86">
        <v>95.08</v>
      </c>
      <c r="Q216" s="74"/>
      <c r="R216" s="84">
        <v>4096.0698390699999</v>
      </c>
      <c r="S216" s="85">
        <v>1.0669548617279289E-2</v>
      </c>
      <c r="T216" s="85">
        <f t="shared" si="3"/>
        <v>9.4182590042650753E-4</v>
      </c>
      <c r="U216" s="85">
        <f>R216/'סכום נכסי הקרן'!$C$42</f>
        <v>7.8632873797185028E-5</v>
      </c>
    </row>
    <row r="217" spans="2:21" s="122" customFormat="1">
      <c r="B217" s="77" t="s">
        <v>836</v>
      </c>
      <c r="C217" s="74" t="s">
        <v>837</v>
      </c>
      <c r="D217" s="87" t="s">
        <v>123</v>
      </c>
      <c r="E217" s="87" t="s">
        <v>352</v>
      </c>
      <c r="F217" s="74" t="s">
        <v>835</v>
      </c>
      <c r="G217" s="87" t="s">
        <v>154</v>
      </c>
      <c r="H217" s="74" t="s">
        <v>557</v>
      </c>
      <c r="I217" s="74" t="s">
        <v>163</v>
      </c>
      <c r="J217" s="74"/>
      <c r="K217" s="84">
        <v>4.050000000000006</v>
      </c>
      <c r="L217" s="87" t="s">
        <v>165</v>
      </c>
      <c r="M217" s="88">
        <v>2.3E-2</v>
      </c>
      <c r="N217" s="88">
        <v>2.5299999999999909E-2</v>
      </c>
      <c r="O217" s="84">
        <v>8006046.6008550003</v>
      </c>
      <c r="P217" s="86">
        <v>99.34</v>
      </c>
      <c r="Q217" s="74"/>
      <c r="R217" s="84">
        <v>7953.2065154190004</v>
      </c>
      <c r="S217" s="85">
        <v>2.6516923653514657E-2</v>
      </c>
      <c r="T217" s="85">
        <f t="shared" si="3"/>
        <v>1.8287129326298717E-3</v>
      </c>
      <c r="U217" s="85">
        <f>R217/'סכום נכסי הקרן'!$C$42</f>
        <v>1.5267891143962609E-4</v>
      </c>
    </row>
    <row r="218" spans="2:21" s="122" customFormat="1">
      <c r="B218" s="77" t="s">
        <v>838</v>
      </c>
      <c r="C218" s="74" t="s">
        <v>839</v>
      </c>
      <c r="D218" s="87" t="s">
        <v>123</v>
      </c>
      <c r="E218" s="87" t="s">
        <v>352</v>
      </c>
      <c r="F218" s="74" t="s">
        <v>650</v>
      </c>
      <c r="G218" s="87" t="s">
        <v>159</v>
      </c>
      <c r="H218" s="74" t="s">
        <v>549</v>
      </c>
      <c r="I218" s="74" t="s">
        <v>356</v>
      </c>
      <c r="J218" s="74"/>
      <c r="K218" s="84">
        <v>3.0099999999973219</v>
      </c>
      <c r="L218" s="87" t="s">
        <v>165</v>
      </c>
      <c r="M218" s="88">
        <v>2.7000000000000003E-2</v>
      </c>
      <c r="N218" s="88">
        <v>4.1499999999952006E-2</v>
      </c>
      <c r="O218" s="84">
        <v>206132.23712899999</v>
      </c>
      <c r="P218" s="86">
        <v>96</v>
      </c>
      <c r="Q218" s="74"/>
      <c r="R218" s="84">
        <v>197.886948553</v>
      </c>
      <c r="S218" s="85">
        <v>1.163192343489832E-3</v>
      </c>
      <c r="T218" s="85">
        <f t="shared" si="3"/>
        <v>4.5500946230423424E-5</v>
      </c>
      <c r="U218" s="85">
        <f>R218/'סכום נכסי הקרן'!$C$42</f>
        <v>3.7988657574283551E-6</v>
      </c>
    </row>
    <row r="219" spans="2:21" s="122" customFormat="1">
      <c r="B219" s="77" t="s">
        <v>840</v>
      </c>
      <c r="C219" s="74" t="s">
        <v>841</v>
      </c>
      <c r="D219" s="87" t="s">
        <v>123</v>
      </c>
      <c r="E219" s="87" t="s">
        <v>352</v>
      </c>
      <c r="F219" s="74" t="s">
        <v>842</v>
      </c>
      <c r="G219" s="87" t="s">
        <v>159</v>
      </c>
      <c r="H219" s="74" t="s">
        <v>660</v>
      </c>
      <c r="I219" s="74" t="s">
        <v>356</v>
      </c>
      <c r="J219" s="74"/>
      <c r="K219" s="84">
        <v>0.80999999999982553</v>
      </c>
      <c r="L219" s="87" t="s">
        <v>165</v>
      </c>
      <c r="M219" s="88">
        <v>3.3000000000000002E-2</v>
      </c>
      <c r="N219" s="88">
        <v>0.24429999999994628</v>
      </c>
      <c r="O219" s="84">
        <v>1199693.7271710001</v>
      </c>
      <c r="P219" s="86">
        <v>86</v>
      </c>
      <c r="Q219" s="74"/>
      <c r="R219" s="84">
        <v>1031.736565678</v>
      </c>
      <c r="S219" s="85">
        <v>4.5448630798797527E-3</v>
      </c>
      <c r="T219" s="85">
        <f t="shared" si="3"/>
        <v>2.3723136034058934E-4</v>
      </c>
      <c r="U219" s="85">
        <f>R219/'סכום נכסי הקרן'!$C$42</f>
        <v>1.9806403295926036E-5</v>
      </c>
    </row>
    <row r="220" spans="2:21" s="122" customFormat="1">
      <c r="B220" s="77" t="s">
        <v>843</v>
      </c>
      <c r="C220" s="74" t="s">
        <v>844</v>
      </c>
      <c r="D220" s="87" t="s">
        <v>123</v>
      </c>
      <c r="E220" s="87" t="s">
        <v>352</v>
      </c>
      <c r="F220" s="74" t="s">
        <v>659</v>
      </c>
      <c r="G220" s="87" t="s">
        <v>159</v>
      </c>
      <c r="H220" s="74" t="s">
        <v>660</v>
      </c>
      <c r="I220" s="74" t="s">
        <v>356</v>
      </c>
      <c r="J220" s="74"/>
      <c r="K220" s="84">
        <v>2.9699999999999918</v>
      </c>
      <c r="L220" s="87" t="s">
        <v>165</v>
      </c>
      <c r="M220" s="88">
        <v>2.7999999999999997E-2</v>
      </c>
      <c r="N220" s="88">
        <v>0.17769999999999936</v>
      </c>
      <c r="O220" s="84">
        <v>5543003.2952569993</v>
      </c>
      <c r="P220" s="86">
        <v>65.02</v>
      </c>
      <c r="Q220" s="74"/>
      <c r="R220" s="84">
        <v>3604.060704899</v>
      </c>
      <c r="S220" s="85">
        <v>2.0814882821092749E-2</v>
      </c>
      <c r="T220" s="85">
        <f t="shared" si="3"/>
        <v>8.2869625078316092E-4</v>
      </c>
      <c r="U220" s="85">
        <f>R220/'סכום נכסי הקרן'!$C$42</f>
        <v>6.9187699844019596E-5</v>
      </c>
    </row>
    <row r="221" spans="2:21" s="122" customFormat="1">
      <c r="B221" s="77" t="s">
        <v>845</v>
      </c>
      <c r="C221" s="74" t="s">
        <v>846</v>
      </c>
      <c r="D221" s="87" t="s">
        <v>123</v>
      </c>
      <c r="E221" s="87" t="s">
        <v>352</v>
      </c>
      <c r="F221" s="74" t="s">
        <v>659</v>
      </c>
      <c r="G221" s="87" t="s">
        <v>159</v>
      </c>
      <c r="H221" s="74" t="s">
        <v>660</v>
      </c>
      <c r="I221" s="74" t="s">
        <v>356</v>
      </c>
      <c r="J221" s="74"/>
      <c r="K221" s="84">
        <v>0.63000000000033918</v>
      </c>
      <c r="L221" s="87" t="s">
        <v>165</v>
      </c>
      <c r="M221" s="88">
        <v>4.2999999999999997E-2</v>
      </c>
      <c r="N221" s="88">
        <v>0.65129999999995503</v>
      </c>
      <c r="O221" s="84">
        <v>1658047.0930059999</v>
      </c>
      <c r="P221" s="86">
        <v>74.7</v>
      </c>
      <c r="Q221" s="74"/>
      <c r="R221" s="84">
        <v>1238.5612346659998</v>
      </c>
      <c r="S221" s="85">
        <v>1.1485021000270091E-2</v>
      </c>
      <c r="T221" s="85">
        <f t="shared" si="3"/>
        <v>2.8478739277002277E-4</v>
      </c>
      <c r="U221" s="85">
        <f>R221/'סכום נכסי הקרן'!$C$42</f>
        <v>2.3776847827792337E-5</v>
      </c>
    </row>
    <row r="222" spans="2:21" s="122" customFormat="1">
      <c r="B222" s="77" t="s">
        <v>847</v>
      </c>
      <c r="C222" s="74" t="s">
        <v>848</v>
      </c>
      <c r="D222" s="87" t="s">
        <v>123</v>
      </c>
      <c r="E222" s="87" t="s">
        <v>352</v>
      </c>
      <c r="F222" s="74" t="s">
        <v>659</v>
      </c>
      <c r="G222" s="87" t="s">
        <v>159</v>
      </c>
      <c r="H222" s="74" t="s">
        <v>660</v>
      </c>
      <c r="I222" s="74" t="s">
        <v>356</v>
      </c>
      <c r="J222" s="74"/>
      <c r="K222" s="84">
        <v>0.94999999999956575</v>
      </c>
      <c r="L222" s="87" t="s">
        <v>165</v>
      </c>
      <c r="M222" s="88">
        <v>4.2500000000000003E-2</v>
      </c>
      <c r="N222" s="88">
        <v>0.34789999999992616</v>
      </c>
      <c r="O222" s="84">
        <v>2214528.9020199999</v>
      </c>
      <c r="P222" s="86">
        <v>78</v>
      </c>
      <c r="Q222" s="74"/>
      <c r="R222" s="84">
        <v>1727.332569725</v>
      </c>
      <c r="S222" s="85">
        <v>5.8948562547481657E-3</v>
      </c>
      <c r="T222" s="85">
        <f t="shared" si="3"/>
        <v>3.971725621716088E-4</v>
      </c>
      <c r="U222" s="85">
        <f>R222/'סכום נכסי הקרן'!$C$42</f>
        <v>3.3159865260449734E-5</v>
      </c>
    </row>
    <row r="223" spans="2:21" s="122" customFormat="1">
      <c r="B223" s="77" t="s">
        <v>849</v>
      </c>
      <c r="C223" s="74" t="s">
        <v>850</v>
      </c>
      <c r="D223" s="87" t="s">
        <v>123</v>
      </c>
      <c r="E223" s="87" t="s">
        <v>352</v>
      </c>
      <c r="F223" s="74" t="s">
        <v>659</v>
      </c>
      <c r="G223" s="87" t="s">
        <v>159</v>
      </c>
      <c r="H223" s="74" t="s">
        <v>660</v>
      </c>
      <c r="I223" s="74" t="s">
        <v>356</v>
      </c>
      <c r="J223" s="74"/>
      <c r="K223" s="84">
        <v>1.3799999999996975</v>
      </c>
      <c r="L223" s="87" t="s">
        <v>165</v>
      </c>
      <c r="M223" s="88">
        <v>3.7000000000000005E-2</v>
      </c>
      <c r="N223" s="88">
        <v>0.27379999999995663</v>
      </c>
      <c r="O223" s="84">
        <v>3942711.6491500004</v>
      </c>
      <c r="P223" s="86">
        <v>75.400000000000006</v>
      </c>
      <c r="Q223" s="74"/>
      <c r="R223" s="84">
        <v>2972.8047596049996</v>
      </c>
      <c r="S223" s="85">
        <v>1.9929706878182678E-2</v>
      </c>
      <c r="T223" s="85">
        <f t="shared" si="3"/>
        <v>6.8354901881821596E-4</v>
      </c>
      <c r="U223" s="85">
        <f>R223/'סכום נכסי הקרן'!$C$42</f>
        <v>5.7069383743409376E-5</v>
      </c>
    </row>
    <row r="224" spans="2:21" s="122" customFormat="1">
      <c r="B224" s="77" t="s">
        <v>851</v>
      </c>
      <c r="C224" s="74" t="s">
        <v>852</v>
      </c>
      <c r="D224" s="87" t="s">
        <v>123</v>
      </c>
      <c r="E224" s="87" t="s">
        <v>352</v>
      </c>
      <c r="F224" s="74" t="s">
        <v>853</v>
      </c>
      <c r="G224" s="87" t="s">
        <v>721</v>
      </c>
      <c r="H224" s="74" t="s">
        <v>656</v>
      </c>
      <c r="I224" s="74" t="s">
        <v>163</v>
      </c>
      <c r="J224" s="74"/>
      <c r="K224" s="84">
        <v>3.0600000000006293</v>
      </c>
      <c r="L224" s="87" t="s">
        <v>165</v>
      </c>
      <c r="M224" s="88">
        <v>3.7499999999999999E-2</v>
      </c>
      <c r="N224" s="88">
        <v>2.1800000000000899E-2</v>
      </c>
      <c r="O224" s="84">
        <v>1050383.7167219999</v>
      </c>
      <c r="P224" s="86">
        <v>105.81</v>
      </c>
      <c r="Q224" s="74"/>
      <c r="R224" s="84">
        <v>1111.4110097549999</v>
      </c>
      <c r="S224" s="85">
        <v>2.2777417688722812E-3</v>
      </c>
      <c r="T224" s="85">
        <f t="shared" si="3"/>
        <v>2.5555122742831437E-4</v>
      </c>
      <c r="U224" s="85">
        <f>R224/'סכום נכסי הקרן'!$C$42</f>
        <v>2.1335925680092723E-5</v>
      </c>
    </row>
    <row r="225" spans="2:21" s="122" customFormat="1">
      <c r="B225" s="77" t="s">
        <v>854</v>
      </c>
      <c r="C225" s="74" t="s">
        <v>855</v>
      </c>
      <c r="D225" s="87" t="s">
        <v>123</v>
      </c>
      <c r="E225" s="87" t="s">
        <v>352</v>
      </c>
      <c r="F225" s="74" t="s">
        <v>853</v>
      </c>
      <c r="G225" s="87" t="s">
        <v>721</v>
      </c>
      <c r="H225" s="74" t="s">
        <v>660</v>
      </c>
      <c r="I225" s="74" t="s">
        <v>356</v>
      </c>
      <c r="J225" s="74"/>
      <c r="K225" s="84">
        <v>6.0100000000005114</v>
      </c>
      <c r="L225" s="87" t="s">
        <v>165</v>
      </c>
      <c r="M225" s="88">
        <v>3.7499999999999999E-2</v>
      </c>
      <c r="N225" s="88">
        <v>2.4300000000000977E-2</v>
      </c>
      <c r="O225" s="84">
        <v>5236729.1103640003</v>
      </c>
      <c r="P225" s="86">
        <v>109</v>
      </c>
      <c r="Q225" s="74"/>
      <c r="R225" s="84">
        <v>5708.0349044080003</v>
      </c>
      <c r="S225" s="85">
        <v>1.4153321919902704E-2</v>
      </c>
      <c r="T225" s="85">
        <f t="shared" si="3"/>
        <v>1.3124715458295499E-3</v>
      </c>
      <c r="U225" s="85">
        <f>R225/'סכום נכסי הקרן'!$C$42</f>
        <v>1.0957801158247559E-4</v>
      </c>
    </row>
    <row r="226" spans="2:21" s="122" customFormat="1">
      <c r="B226" s="77" t="s">
        <v>856</v>
      </c>
      <c r="C226" s="74" t="s">
        <v>857</v>
      </c>
      <c r="D226" s="87" t="s">
        <v>123</v>
      </c>
      <c r="E226" s="87" t="s">
        <v>352</v>
      </c>
      <c r="F226" s="74" t="s">
        <v>858</v>
      </c>
      <c r="G226" s="87" t="s">
        <v>154</v>
      </c>
      <c r="H226" s="74" t="s">
        <v>660</v>
      </c>
      <c r="I226" s="74" t="s">
        <v>356</v>
      </c>
      <c r="J226" s="74"/>
      <c r="K226" s="84">
        <v>1.6500000000016288</v>
      </c>
      <c r="L226" s="87" t="s">
        <v>165</v>
      </c>
      <c r="M226" s="88">
        <v>3.4000000000000002E-2</v>
      </c>
      <c r="N226" s="88">
        <v>5.640000000003198E-2</v>
      </c>
      <c r="O226" s="84">
        <v>347995.10609399999</v>
      </c>
      <c r="P226" s="86">
        <v>97.04</v>
      </c>
      <c r="Q226" s="74"/>
      <c r="R226" s="84">
        <v>337.69443735300001</v>
      </c>
      <c r="S226" s="85">
        <v>7.0539671834007455E-4</v>
      </c>
      <c r="T226" s="85">
        <f t="shared" si="3"/>
        <v>7.7647447437376751E-5</v>
      </c>
      <c r="U226" s="85">
        <f>R226/'סכום נכסי הקרן'!$C$42</f>
        <v>6.4827713192553455E-6</v>
      </c>
    </row>
    <row r="227" spans="2:21" s="122" customFormat="1">
      <c r="B227" s="77" t="s">
        <v>859</v>
      </c>
      <c r="C227" s="74" t="s">
        <v>860</v>
      </c>
      <c r="D227" s="87" t="s">
        <v>123</v>
      </c>
      <c r="E227" s="87" t="s">
        <v>352</v>
      </c>
      <c r="F227" s="74" t="s">
        <v>861</v>
      </c>
      <c r="G227" s="87" t="s">
        <v>3377</v>
      </c>
      <c r="H227" s="74" t="s">
        <v>656</v>
      </c>
      <c r="I227" s="74" t="s">
        <v>163</v>
      </c>
      <c r="J227" s="74"/>
      <c r="K227" s="84">
        <v>1.9699999999991131</v>
      </c>
      <c r="L227" s="87" t="s">
        <v>165</v>
      </c>
      <c r="M227" s="88">
        <v>6.7500000000000004E-2</v>
      </c>
      <c r="N227" s="88">
        <v>6.0399999998829529E-2</v>
      </c>
      <c r="O227" s="84">
        <v>11008.958858</v>
      </c>
      <c r="P227" s="86">
        <v>102.44</v>
      </c>
      <c r="Q227" s="74"/>
      <c r="R227" s="84">
        <v>11.277577033</v>
      </c>
      <c r="S227" s="85">
        <v>1.6519673943543959E-5</v>
      </c>
      <c r="T227" s="85">
        <f t="shared" si="3"/>
        <v>2.593098887724558E-6</v>
      </c>
      <c r="U227" s="85">
        <f>R227/'סכום נכסי הקרן'!$C$42</f>
        <v>2.1649735634763101E-7</v>
      </c>
    </row>
    <row r="228" spans="2:21" s="122" customFormat="1">
      <c r="B228" s="77" t="s">
        <v>862</v>
      </c>
      <c r="C228" s="74" t="s">
        <v>863</v>
      </c>
      <c r="D228" s="87" t="s">
        <v>123</v>
      </c>
      <c r="E228" s="87" t="s">
        <v>352</v>
      </c>
      <c r="F228" s="74" t="s">
        <v>864</v>
      </c>
      <c r="G228" s="87" t="s">
        <v>159</v>
      </c>
      <c r="H228" s="74" t="s">
        <v>660</v>
      </c>
      <c r="I228" s="74" t="s">
        <v>356</v>
      </c>
      <c r="J228" s="74"/>
      <c r="K228" s="84">
        <v>2.3300000000002741</v>
      </c>
      <c r="L228" s="87" t="s">
        <v>165</v>
      </c>
      <c r="M228" s="88">
        <v>2.9500000000000002E-2</v>
      </c>
      <c r="N228" s="88">
        <v>5.5700000000003191E-2</v>
      </c>
      <c r="O228" s="84">
        <v>3725820.78957</v>
      </c>
      <c r="P228" s="86">
        <v>95</v>
      </c>
      <c r="Q228" s="74"/>
      <c r="R228" s="84">
        <v>3539.5297500910001</v>
      </c>
      <c r="S228" s="85">
        <v>2.0838017230546988E-2</v>
      </c>
      <c r="T228" s="85">
        <f t="shared" si="3"/>
        <v>8.1385838741527801E-4</v>
      </c>
      <c r="U228" s="85">
        <f>R228/'סכום נכסי הקרן'!$C$42</f>
        <v>6.7948889319592245E-5</v>
      </c>
    </row>
    <row r="229" spans="2:21" s="122" customFormat="1">
      <c r="B229" s="77" t="s">
        <v>865</v>
      </c>
      <c r="C229" s="74" t="s">
        <v>866</v>
      </c>
      <c r="D229" s="87" t="s">
        <v>123</v>
      </c>
      <c r="E229" s="87" t="s">
        <v>352</v>
      </c>
      <c r="F229" s="74" t="s">
        <v>625</v>
      </c>
      <c r="G229" s="87" t="s">
        <v>488</v>
      </c>
      <c r="H229" s="74" t="s">
        <v>656</v>
      </c>
      <c r="I229" s="74" t="s">
        <v>163</v>
      </c>
      <c r="J229" s="74"/>
      <c r="K229" s="84">
        <v>7.9700000000003577</v>
      </c>
      <c r="L229" s="87" t="s">
        <v>165</v>
      </c>
      <c r="M229" s="88">
        <v>3.4300000000000004E-2</v>
      </c>
      <c r="N229" s="88">
        <v>3.0000000000001439E-2</v>
      </c>
      <c r="O229" s="84">
        <v>6659064.0190199995</v>
      </c>
      <c r="P229" s="86">
        <v>104.5</v>
      </c>
      <c r="Q229" s="74"/>
      <c r="R229" s="84">
        <v>6958.7219004159997</v>
      </c>
      <c r="S229" s="85">
        <v>2.6229179214668344E-2</v>
      </c>
      <c r="T229" s="85">
        <f t="shared" si="3"/>
        <v>1.6000470639350721E-3</v>
      </c>
      <c r="U229" s="85">
        <f>R229/'סכום נכסי הקרן'!$C$42</f>
        <v>1.3358763948940759E-4</v>
      </c>
    </row>
    <row r="230" spans="2:21" s="122" customFormat="1">
      <c r="B230" s="77" t="s">
        <v>867</v>
      </c>
      <c r="C230" s="74" t="s">
        <v>868</v>
      </c>
      <c r="D230" s="87" t="s">
        <v>123</v>
      </c>
      <c r="E230" s="87" t="s">
        <v>352</v>
      </c>
      <c r="F230" s="74" t="s">
        <v>869</v>
      </c>
      <c r="G230" s="87" t="s">
        <v>3377</v>
      </c>
      <c r="H230" s="74" t="s">
        <v>660</v>
      </c>
      <c r="I230" s="74" t="s">
        <v>356</v>
      </c>
      <c r="J230" s="74"/>
      <c r="K230" s="84">
        <v>4.120000000000239</v>
      </c>
      <c r="L230" s="87" t="s">
        <v>165</v>
      </c>
      <c r="M230" s="88">
        <v>3.9E-2</v>
      </c>
      <c r="N230" s="88">
        <v>4.1600000000002142E-2</v>
      </c>
      <c r="O230" s="84">
        <v>6334868.0772780003</v>
      </c>
      <c r="P230" s="86">
        <v>100.39</v>
      </c>
      <c r="Q230" s="74"/>
      <c r="R230" s="84">
        <v>6359.5740627790001</v>
      </c>
      <c r="S230" s="85">
        <v>1.5051125180636272E-2</v>
      </c>
      <c r="T230" s="85">
        <f t="shared" ref="T230:T255" si="4">R230/$R$11</f>
        <v>1.4622825789918214E-3</v>
      </c>
      <c r="U230" s="85">
        <f>R230/'סכום נכסי הקרן'!$C$42</f>
        <v>1.2208570760011554E-4</v>
      </c>
    </row>
    <row r="231" spans="2:21" s="122" customFormat="1">
      <c r="B231" s="77" t="s">
        <v>870</v>
      </c>
      <c r="C231" s="74" t="s">
        <v>871</v>
      </c>
      <c r="D231" s="87" t="s">
        <v>123</v>
      </c>
      <c r="E231" s="87" t="s">
        <v>352</v>
      </c>
      <c r="F231" s="74" t="s">
        <v>872</v>
      </c>
      <c r="G231" s="87" t="s">
        <v>192</v>
      </c>
      <c r="H231" s="74" t="s">
        <v>660</v>
      </c>
      <c r="I231" s="74" t="s">
        <v>356</v>
      </c>
      <c r="J231" s="74"/>
      <c r="K231" s="84">
        <v>1.230000000000004</v>
      </c>
      <c r="L231" s="87" t="s">
        <v>165</v>
      </c>
      <c r="M231" s="88">
        <v>1.44E-2</v>
      </c>
      <c r="N231" s="88">
        <v>2.7399999999997714E-2</v>
      </c>
      <c r="O231" s="84">
        <v>2749095.85145</v>
      </c>
      <c r="P231" s="86">
        <v>98.42</v>
      </c>
      <c r="Q231" s="74"/>
      <c r="R231" s="84">
        <v>2705.6601371129991</v>
      </c>
      <c r="S231" s="85">
        <v>1.2584162413117833E-2</v>
      </c>
      <c r="T231" s="85">
        <f t="shared" si="4"/>
        <v>6.2212337557777898E-4</v>
      </c>
      <c r="U231" s="85">
        <f>R231/'סכום נכסי הקרן'!$C$42</f>
        <v>5.1940967917672492E-5</v>
      </c>
    </row>
    <row r="232" spans="2:21" s="122" customFormat="1">
      <c r="B232" s="77" t="s">
        <v>873</v>
      </c>
      <c r="C232" s="74" t="s">
        <v>874</v>
      </c>
      <c r="D232" s="87" t="s">
        <v>123</v>
      </c>
      <c r="E232" s="87" t="s">
        <v>352</v>
      </c>
      <c r="F232" s="74" t="s">
        <v>872</v>
      </c>
      <c r="G232" s="87" t="s">
        <v>192</v>
      </c>
      <c r="H232" s="74" t="s">
        <v>660</v>
      </c>
      <c r="I232" s="74" t="s">
        <v>356</v>
      </c>
      <c r="J232" s="74"/>
      <c r="K232" s="84">
        <v>2.1700000000000128</v>
      </c>
      <c r="L232" s="87" t="s">
        <v>165</v>
      </c>
      <c r="M232" s="88">
        <v>2.1600000000000001E-2</v>
      </c>
      <c r="N232" s="88">
        <v>1.6000000000000278E-2</v>
      </c>
      <c r="O232" s="84">
        <v>14118341.115940999</v>
      </c>
      <c r="P232" s="86">
        <v>101.8</v>
      </c>
      <c r="Q232" s="74"/>
      <c r="R232" s="84">
        <v>14372.471254946</v>
      </c>
      <c r="S232" s="85">
        <v>1.3830893653147632E-2</v>
      </c>
      <c r="T232" s="85">
        <f t="shared" si="4"/>
        <v>3.3047204302837285E-3</v>
      </c>
      <c r="U232" s="85">
        <f>R232/'סכום נכסי הקרן'!$C$42</f>
        <v>2.7591051001230857E-4</v>
      </c>
    </row>
    <row r="233" spans="2:21" s="122" customFormat="1">
      <c r="B233" s="77" t="s">
        <v>875</v>
      </c>
      <c r="C233" s="74" t="s">
        <v>876</v>
      </c>
      <c r="D233" s="87" t="s">
        <v>123</v>
      </c>
      <c r="E233" s="87" t="s">
        <v>352</v>
      </c>
      <c r="F233" s="74" t="s">
        <v>877</v>
      </c>
      <c r="G233" s="87" t="s">
        <v>878</v>
      </c>
      <c r="H233" s="74" t="s">
        <v>656</v>
      </c>
      <c r="I233" s="74" t="s">
        <v>163</v>
      </c>
      <c r="J233" s="74"/>
      <c r="K233" s="84">
        <v>2.9600000000006603</v>
      </c>
      <c r="L233" s="87" t="s">
        <v>165</v>
      </c>
      <c r="M233" s="88">
        <v>3.2500000000000001E-2</v>
      </c>
      <c r="N233" s="88">
        <v>0.19950000000001572</v>
      </c>
      <c r="O233" s="84">
        <v>1070018.4596180001</v>
      </c>
      <c r="P233" s="86">
        <v>62.26</v>
      </c>
      <c r="Q233" s="74"/>
      <c r="R233" s="84">
        <v>666.19349326100007</v>
      </c>
      <c r="S233" s="85">
        <v>1.4624371431004228E-3</v>
      </c>
      <c r="T233" s="85">
        <f t="shared" si="4"/>
        <v>1.5318056363786996E-4</v>
      </c>
      <c r="U233" s="85">
        <f>R233/'סכום נכסי הקרן'!$C$42</f>
        <v>1.2789017506594038E-5</v>
      </c>
    </row>
    <row r="234" spans="2:21" s="122" customFormat="1">
      <c r="B234" s="77" t="s">
        <v>879</v>
      </c>
      <c r="C234" s="74" t="s">
        <v>880</v>
      </c>
      <c r="D234" s="87" t="s">
        <v>123</v>
      </c>
      <c r="E234" s="87" t="s">
        <v>352</v>
      </c>
      <c r="F234" s="74" t="s">
        <v>877</v>
      </c>
      <c r="G234" s="87" t="s">
        <v>878</v>
      </c>
      <c r="H234" s="74" t="s">
        <v>656</v>
      </c>
      <c r="I234" s="74" t="s">
        <v>163</v>
      </c>
      <c r="J234" s="74"/>
      <c r="K234" s="84">
        <v>4.6900000000003814</v>
      </c>
      <c r="L234" s="87" t="s">
        <v>165</v>
      </c>
      <c r="M234" s="88">
        <v>2.1600000000000001E-2</v>
      </c>
      <c r="N234" s="88">
        <v>0.13360000000001337</v>
      </c>
      <c r="O234" s="84">
        <v>5407207.5499999998</v>
      </c>
      <c r="P234" s="86">
        <v>58.64</v>
      </c>
      <c r="Q234" s="74"/>
      <c r="R234" s="84">
        <v>3170.7863807910003</v>
      </c>
      <c r="S234" s="85">
        <v>2.3610094925792829E-2</v>
      </c>
      <c r="T234" s="85">
        <f t="shared" si="4"/>
        <v>7.2907173350995099E-4</v>
      </c>
      <c r="U234" s="85">
        <f>R234/'סכום נכסי הקרן'!$C$42</f>
        <v>6.0870066945728873E-5</v>
      </c>
    </row>
    <row r="235" spans="2:21" s="122" customFormat="1">
      <c r="B235" s="77" t="s">
        <v>881</v>
      </c>
      <c r="C235" s="74" t="s">
        <v>882</v>
      </c>
      <c r="D235" s="87" t="s">
        <v>123</v>
      </c>
      <c r="E235" s="87" t="s">
        <v>352</v>
      </c>
      <c r="F235" s="74" t="s">
        <v>835</v>
      </c>
      <c r="G235" s="87" t="s">
        <v>154</v>
      </c>
      <c r="H235" s="74" t="s">
        <v>656</v>
      </c>
      <c r="I235" s="74" t="s">
        <v>163</v>
      </c>
      <c r="J235" s="74"/>
      <c r="K235" s="84">
        <v>2.0499999999997338</v>
      </c>
      <c r="L235" s="87" t="s">
        <v>165</v>
      </c>
      <c r="M235" s="88">
        <v>2.4E-2</v>
      </c>
      <c r="N235" s="88">
        <v>5.8099999999991471E-2</v>
      </c>
      <c r="O235" s="84">
        <v>2403897.5693899998</v>
      </c>
      <c r="P235" s="86">
        <v>93.65</v>
      </c>
      <c r="Q235" s="74"/>
      <c r="R235" s="84">
        <v>2251.2500736319998</v>
      </c>
      <c r="S235" s="85">
        <v>8.0373832664607254E-3</v>
      </c>
      <c r="T235" s="85">
        <f t="shared" si="4"/>
        <v>5.1763903228884008E-4</v>
      </c>
      <c r="U235" s="85">
        <f>R235/'סכום נכסי הקרן'!$C$42</f>
        <v>4.3217589025777185E-5</v>
      </c>
    </row>
    <row r="236" spans="2:21" s="122" customFormat="1">
      <c r="B236" s="77" t="s">
        <v>883</v>
      </c>
      <c r="C236" s="74" t="s">
        <v>884</v>
      </c>
      <c r="D236" s="87" t="s">
        <v>123</v>
      </c>
      <c r="E236" s="87" t="s">
        <v>352</v>
      </c>
      <c r="F236" s="74" t="s">
        <v>885</v>
      </c>
      <c r="G236" s="87" t="s">
        <v>886</v>
      </c>
      <c r="H236" s="74" t="s">
        <v>660</v>
      </c>
      <c r="I236" s="74" t="s">
        <v>356</v>
      </c>
      <c r="J236" s="74"/>
      <c r="K236" s="84">
        <v>4.9000000000009001</v>
      </c>
      <c r="L236" s="87" t="s">
        <v>165</v>
      </c>
      <c r="M236" s="88">
        <v>2.6200000000000001E-2</v>
      </c>
      <c r="N236" s="88">
        <v>1.8500000000002251E-2</v>
      </c>
      <c r="O236" s="84">
        <v>2978557.271429</v>
      </c>
      <c r="P236" s="86">
        <v>104.45</v>
      </c>
      <c r="Q236" s="74"/>
      <c r="R236" s="84">
        <v>3111.1030372979999</v>
      </c>
      <c r="S236" s="85">
        <v>6.1784146547779646E-3</v>
      </c>
      <c r="T236" s="85">
        <f t="shared" si="4"/>
        <v>7.1534850101288925E-4</v>
      </c>
      <c r="U236" s="85">
        <f>R236/'סכום נכסי הקרן'!$C$42</f>
        <v>5.9724316750770116E-5</v>
      </c>
    </row>
    <row r="237" spans="2:21" s="122" customFormat="1">
      <c r="B237" s="77" t="s">
        <v>887</v>
      </c>
      <c r="C237" s="74" t="s">
        <v>888</v>
      </c>
      <c r="D237" s="87" t="s">
        <v>123</v>
      </c>
      <c r="E237" s="87" t="s">
        <v>352</v>
      </c>
      <c r="F237" s="74" t="s">
        <v>885</v>
      </c>
      <c r="G237" s="87" t="s">
        <v>886</v>
      </c>
      <c r="H237" s="74" t="s">
        <v>660</v>
      </c>
      <c r="I237" s="74" t="s">
        <v>356</v>
      </c>
      <c r="J237" s="74"/>
      <c r="K237" s="84">
        <v>2.8899999999999206</v>
      </c>
      <c r="L237" s="87" t="s">
        <v>165</v>
      </c>
      <c r="M237" s="88">
        <v>3.3500000000000002E-2</v>
      </c>
      <c r="N237" s="88">
        <v>1.470000000000006E-2</v>
      </c>
      <c r="O237" s="84">
        <v>3060146.3428130001</v>
      </c>
      <c r="P237" s="86">
        <v>105.47</v>
      </c>
      <c r="Q237" s="84">
        <v>51.257452020999999</v>
      </c>
      <c r="R237" s="84">
        <v>3278.793799734</v>
      </c>
      <c r="S237" s="85">
        <v>7.4220775943844245E-3</v>
      </c>
      <c r="T237" s="85">
        <f t="shared" si="4"/>
        <v>7.5390631607210516E-4</v>
      </c>
      <c r="U237" s="85">
        <f>R237/'סכום נכסי הקרן'!$C$42</f>
        <v>6.294350174459277E-5</v>
      </c>
    </row>
    <row r="238" spans="2:21" s="122" customFormat="1">
      <c r="B238" s="77" t="s">
        <v>889</v>
      </c>
      <c r="C238" s="74" t="s">
        <v>890</v>
      </c>
      <c r="D238" s="87" t="s">
        <v>123</v>
      </c>
      <c r="E238" s="87" t="s">
        <v>352</v>
      </c>
      <c r="F238" s="74" t="s">
        <v>655</v>
      </c>
      <c r="G238" s="87" t="s">
        <v>362</v>
      </c>
      <c r="H238" s="74" t="s">
        <v>678</v>
      </c>
      <c r="I238" s="74" t="s">
        <v>163</v>
      </c>
      <c r="J238" s="74"/>
      <c r="K238" s="84">
        <v>0.44000000000032302</v>
      </c>
      <c r="L238" s="87" t="s">
        <v>165</v>
      </c>
      <c r="M238" s="88">
        <v>2.6200000000000001E-2</v>
      </c>
      <c r="N238" s="88">
        <v>3.2699999999985463E-2</v>
      </c>
      <c r="O238" s="84">
        <v>619831.14197300002</v>
      </c>
      <c r="P238" s="86">
        <v>99.9</v>
      </c>
      <c r="Q238" s="74"/>
      <c r="R238" s="84">
        <v>619.21130287000005</v>
      </c>
      <c r="S238" s="85">
        <v>6.4212574794152997E-3</v>
      </c>
      <c r="T238" s="85">
        <f t="shared" si="4"/>
        <v>1.42377758630263E-4</v>
      </c>
      <c r="U238" s="85">
        <f>R238/'סכום נכסי הקרן'!$C$42</f>
        <v>1.1887093273639648E-5</v>
      </c>
    </row>
    <row r="239" spans="2:21" s="122" customFormat="1">
      <c r="B239" s="77" t="s">
        <v>891</v>
      </c>
      <c r="C239" s="74" t="s">
        <v>892</v>
      </c>
      <c r="D239" s="87" t="s">
        <v>123</v>
      </c>
      <c r="E239" s="87" t="s">
        <v>352</v>
      </c>
      <c r="F239" s="74" t="s">
        <v>893</v>
      </c>
      <c r="G239" s="87" t="s">
        <v>3377</v>
      </c>
      <c r="H239" s="74" t="s">
        <v>678</v>
      </c>
      <c r="I239" s="74" t="s">
        <v>163</v>
      </c>
      <c r="J239" s="74"/>
      <c r="K239" s="84">
        <v>3.3900000000002679</v>
      </c>
      <c r="L239" s="87" t="s">
        <v>165</v>
      </c>
      <c r="M239" s="88">
        <v>3.95E-2</v>
      </c>
      <c r="N239" s="88">
        <v>0.12150000000000652</v>
      </c>
      <c r="O239" s="84">
        <v>5220210.6969060004</v>
      </c>
      <c r="P239" s="86">
        <v>77.8</v>
      </c>
      <c r="Q239" s="74"/>
      <c r="R239" s="84">
        <v>4061.3240955690003</v>
      </c>
      <c r="S239" s="85">
        <v>8.8919504641359701E-3</v>
      </c>
      <c r="T239" s="85">
        <f t="shared" si="4"/>
        <v>9.3383667113000526E-4</v>
      </c>
      <c r="U239" s="85">
        <f>R239/'סכום נכסי הקרן'!$C$42</f>
        <v>7.7965854490618769E-5</v>
      </c>
    </row>
    <row r="240" spans="2:21" s="122" customFormat="1">
      <c r="B240" s="77" t="s">
        <v>894</v>
      </c>
      <c r="C240" s="74" t="s">
        <v>895</v>
      </c>
      <c r="D240" s="87" t="s">
        <v>123</v>
      </c>
      <c r="E240" s="87" t="s">
        <v>352</v>
      </c>
      <c r="F240" s="74" t="s">
        <v>893</v>
      </c>
      <c r="G240" s="87" t="s">
        <v>3377</v>
      </c>
      <c r="H240" s="74" t="s">
        <v>678</v>
      </c>
      <c r="I240" s="74" t="s">
        <v>163</v>
      </c>
      <c r="J240" s="74"/>
      <c r="K240" s="84">
        <v>3.9199999999997783</v>
      </c>
      <c r="L240" s="87" t="s">
        <v>165</v>
      </c>
      <c r="M240" s="88">
        <v>0.03</v>
      </c>
      <c r="N240" s="88">
        <v>4.2299999999998568E-2</v>
      </c>
      <c r="O240" s="84">
        <v>8834069.2413379997</v>
      </c>
      <c r="P240" s="86">
        <v>96</v>
      </c>
      <c r="Q240" s="74"/>
      <c r="R240" s="84">
        <v>8480.7061786140002</v>
      </c>
      <c r="S240" s="85">
        <v>1.0770116077555444E-2</v>
      </c>
      <c r="T240" s="85">
        <f t="shared" si="4"/>
        <v>1.9500030631165409E-3</v>
      </c>
      <c r="U240" s="85">
        <f>R240/'סכום נכסי הקרן'!$C$42</f>
        <v>1.6280540245997637E-4</v>
      </c>
    </row>
    <row r="241" spans="2:21" s="122" customFormat="1">
      <c r="B241" s="77" t="s">
        <v>896</v>
      </c>
      <c r="C241" s="74" t="s">
        <v>897</v>
      </c>
      <c r="D241" s="87" t="s">
        <v>123</v>
      </c>
      <c r="E241" s="87" t="s">
        <v>352</v>
      </c>
      <c r="F241" s="74" t="s">
        <v>898</v>
      </c>
      <c r="G241" s="87" t="s">
        <v>488</v>
      </c>
      <c r="H241" s="74" t="s">
        <v>678</v>
      </c>
      <c r="I241" s="74" t="s">
        <v>163</v>
      </c>
      <c r="J241" s="74"/>
      <c r="K241" s="84">
        <v>2.1900000000039719</v>
      </c>
      <c r="L241" s="87" t="s">
        <v>165</v>
      </c>
      <c r="M241" s="88">
        <v>4.3499999999999997E-2</v>
      </c>
      <c r="N241" s="88">
        <v>9.500000000198577E-3</v>
      </c>
      <c r="O241" s="84">
        <v>13911.231008000001</v>
      </c>
      <c r="P241" s="86">
        <v>108.6</v>
      </c>
      <c r="Q241" s="74"/>
      <c r="R241" s="84">
        <v>15.107596226</v>
      </c>
      <c r="S241" s="85">
        <v>8.0516457867168292E-5</v>
      </c>
      <c r="T241" s="85">
        <f t="shared" si="4"/>
        <v>3.4737506873327984E-6</v>
      </c>
      <c r="U241" s="85">
        <f>R241/'סכום נכסי הקרן'!$C$42</f>
        <v>2.900228155503345E-7</v>
      </c>
    </row>
    <row r="242" spans="2:21" s="122" customFormat="1">
      <c r="B242" s="77" t="s">
        <v>899</v>
      </c>
      <c r="C242" s="74" t="s">
        <v>900</v>
      </c>
      <c r="D242" s="87" t="s">
        <v>123</v>
      </c>
      <c r="E242" s="87" t="s">
        <v>352</v>
      </c>
      <c r="F242" s="74" t="s">
        <v>898</v>
      </c>
      <c r="G242" s="87" t="s">
        <v>488</v>
      </c>
      <c r="H242" s="74" t="s">
        <v>678</v>
      </c>
      <c r="I242" s="74" t="s">
        <v>163</v>
      </c>
      <c r="J242" s="74"/>
      <c r="K242" s="84">
        <v>5.1300000000000745</v>
      </c>
      <c r="L242" s="87" t="s">
        <v>165</v>
      </c>
      <c r="M242" s="88">
        <v>3.27E-2</v>
      </c>
      <c r="N242" s="88">
        <v>3.1899999999999512E-2</v>
      </c>
      <c r="O242" s="84">
        <v>2862952.4511919999</v>
      </c>
      <c r="P242" s="86">
        <v>101.76</v>
      </c>
      <c r="Q242" s="74"/>
      <c r="R242" s="84">
        <v>2913.3404145060003</v>
      </c>
      <c r="S242" s="85">
        <v>1.2838351799067265E-2</v>
      </c>
      <c r="T242" s="85">
        <f t="shared" si="4"/>
        <v>6.698761415074E-4</v>
      </c>
      <c r="U242" s="85">
        <f>R242/'סכום נכסי הקרן'!$C$42</f>
        <v>5.5927837693827487E-5</v>
      </c>
    </row>
    <row r="243" spans="2:21" s="122" customFormat="1">
      <c r="B243" s="77" t="s">
        <v>901</v>
      </c>
      <c r="C243" s="74" t="s">
        <v>902</v>
      </c>
      <c r="D243" s="87" t="s">
        <v>123</v>
      </c>
      <c r="E243" s="87" t="s">
        <v>352</v>
      </c>
      <c r="F243" s="74" t="s">
        <v>903</v>
      </c>
      <c r="G243" s="87" t="s">
        <v>191</v>
      </c>
      <c r="H243" s="74" t="s">
        <v>678</v>
      </c>
      <c r="I243" s="74" t="s">
        <v>163</v>
      </c>
      <c r="J243" s="74"/>
      <c r="K243" s="84">
        <v>5.6100000000008796</v>
      </c>
      <c r="L243" s="87" t="s">
        <v>165</v>
      </c>
      <c r="M243" s="88">
        <v>2.0499999999999997E-2</v>
      </c>
      <c r="N243" s="88">
        <v>3.0400000000007959E-2</v>
      </c>
      <c r="O243" s="84">
        <v>1004412.594126</v>
      </c>
      <c r="P243" s="86">
        <v>95.08</v>
      </c>
      <c r="Q243" s="74"/>
      <c r="R243" s="84">
        <v>954.99551655599998</v>
      </c>
      <c r="S243" s="85">
        <v>2.3496240604803055E-3</v>
      </c>
      <c r="T243" s="85">
        <f t="shared" si="4"/>
        <v>2.1958598061595731E-4</v>
      </c>
      <c r="U243" s="85">
        <f>R243/'סכום נכסי הקרן'!$C$42</f>
        <v>1.8333193739507952E-5</v>
      </c>
    </row>
    <row r="244" spans="2:21" s="122" customFormat="1">
      <c r="B244" s="77" t="s">
        <v>904</v>
      </c>
      <c r="C244" s="74" t="s">
        <v>905</v>
      </c>
      <c r="D244" s="87" t="s">
        <v>123</v>
      </c>
      <c r="E244" s="87" t="s">
        <v>352</v>
      </c>
      <c r="F244" s="74" t="s">
        <v>701</v>
      </c>
      <c r="G244" s="87" t="s">
        <v>192</v>
      </c>
      <c r="H244" s="74" t="s">
        <v>686</v>
      </c>
      <c r="I244" s="74" t="s">
        <v>356</v>
      </c>
      <c r="J244" s="74"/>
      <c r="K244" s="84">
        <v>2.6899999999998867</v>
      </c>
      <c r="L244" s="87" t="s">
        <v>165</v>
      </c>
      <c r="M244" s="88">
        <v>4.1399999999999999E-2</v>
      </c>
      <c r="N244" s="88">
        <v>3.5299999999997729E-2</v>
      </c>
      <c r="O244" s="84">
        <v>3424685.9867469994</v>
      </c>
      <c r="P244" s="86">
        <v>102.69</v>
      </c>
      <c r="Q244" s="74"/>
      <c r="R244" s="84">
        <v>3516.8100395599995</v>
      </c>
      <c r="S244" s="85">
        <v>5.324383912369824E-3</v>
      </c>
      <c r="T244" s="85">
        <f t="shared" si="4"/>
        <v>8.0863435250645244E-4</v>
      </c>
      <c r="U244" s="85">
        <f>R244/'סכום נכסי הקרן'!$C$42</f>
        <v>6.7512735591486296E-5</v>
      </c>
    </row>
    <row r="245" spans="2:21" s="122" customFormat="1">
      <c r="B245" s="77" t="s">
        <v>906</v>
      </c>
      <c r="C245" s="74" t="s">
        <v>907</v>
      </c>
      <c r="D245" s="87" t="s">
        <v>123</v>
      </c>
      <c r="E245" s="87" t="s">
        <v>352</v>
      </c>
      <c r="F245" s="74" t="s">
        <v>701</v>
      </c>
      <c r="G245" s="87" t="s">
        <v>192</v>
      </c>
      <c r="H245" s="74" t="s">
        <v>686</v>
      </c>
      <c r="I245" s="74" t="s">
        <v>356</v>
      </c>
      <c r="J245" s="74"/>
      <c r="K245" s="84">
        <v>5.0600000000000218</v>
      </c>
      <c r="L245" s="87" t="s">
        <v>165</v>
      </c>
      <c r="M245" s="88">
        <v>2.5000000000000001E-2</v>
      </c>
      <c r="N245" s="88">
        <v>4.1299999999999809E-2</v>
      </c>
      <c r="O245" s="84">
        <v>10935385.688029001</v>
      </c>
      <c r="P245" s="86">
        <v>92.81</v>
      </c>
      <c r="Q245" s="74"/>
      <c r="R245" s="84">
        <v>10149.131214763001</v>
      </c>
      <c r="S245" s="85">
        <v>1.8135611231313461E-2</v>
      </c>
      <c r="T245" s="85">
        <f t="shared" si="4"/>
        <v>2.3336307779022671E-3</v>
      </c>
      <c r="U245" s="85">
        <f>R245/'סכום נכסי הקרן'!$C$42</f>
        <v>1.9483441086608189E-4</v>
      </c>
    </row>
    <row r="246" spans="2:21" s="122" customFormat="1">
      <c r="B246" s="77" t="s">
        <v>908</v>
      </c>
      <c r="C246" s="74" t="s">
        <v>909</v>
      </c>
      <c r="D246" s="87" t="s">
        <v>123</v>
      </c>
      <c r="E246" s="87" t="s">
        <v>352</v>
      </c>
      <c r="F246" s="74" t="s">
        <v>701</v>
      </c>
      <c r="G246" s="87" t="s">
        <v>192</v>
      </c>
      <c r="H246" s="74" t="s">
        <v>686</v>
      </c>
      <c r="I246" s="74" t="s">
        <v>356</v>
      </c>
      <c r="J246" s="74"/>
      <c r="K246" s="84">
        <v>3.6399999999996213</v>
      </c>
      <c r="L246" s="87" t="s">
        <v>165</v>
      </c>
      <c r="M246" s="88">
        <v>3.5499999999999997E-2</v>
      </c>
      <c r="N246" s="88">
        <v>3.9299999999996109E-2</v>
      </c>
      <c r="O246" s="84">
        <v>4769279.370135</v>
      </c>
      <c r="P246" s="86">
        <v>99.61</v>
      </c>
      <c r="Q246" s="74"/>
      <c r="R246" s="84">
        <v>4750.6789676449998</v>
      </c>
      <c r="S246" s="85">
        <v>6.7113019784234926E-3</v>
      </c>
      <c r="T246" s="85">
        <f t="shared" si="4"/>
        <v>1.0923428242511123E-3</v>
      </c>
      <c r="U246" s="85">
        <f>R246/'סכום נכסי הקרן'!$C$42</f>
        <v>9.1199504498337873E-5</v>
      </c>
    </row>
    <row r="247" spans="2:21" s="122" customFormat="1">
      <c r="B247" s="77" t="s">
        <v>910</v>
      </c>
      <c r="C247" s="74" t="s">
        <v>911</v>
      </c>
      <c r="D247" s="87" t="s">
        <v>123</v>
      </c>
      <c r="E247" s="87" t="s">
        <v>352</v>
      </c>
      <c r="F247" s="74" t="s">
        <v>912</v>
      </c>
      <c r="G247" s="87" t="s">
        <v>492</v>
      </c>
      <c r="H247" s="74" t="s">
        <v>705</v>
      </c>
      <c r="I247" s="74" t="s">
        <v>163</v>
      </c>
      <c r="J247" s="74"/>
      <c r="K247" s="84">
        <v>5.0999999999997394</v>
      </c>
      <c r="L247" s="87" t="s">
        <v>165</v>
      </c>
      <c r="M247" s="88">
        <v>4.4500000000000005E-2</v>
      </c>
      <c r="N247" s="88">
        <v>2.9999999999998462E-2</v>
      </c>
      <c r="O247" s="84">
        <v>5994071.5682110004</v>
      </c>
      <c r="P247" s="86">
        <v>108.72</v>
      </c>
      <c r="Q247" s="74"/>
      <c r="R247" s="84">
        <v>6516.7546758469998</v>
      </c>
      <c r="S247" s="85">
        <v>2.0950087966289426E-2</v>
      </c>
      <c r="T247" s="85">
        <f t="shared" si="4"/>
        <v>1.4984237529093957E-3</v>
      </c>
      <c r="U247" s="85">
        <f>R247/'סכום נכסי הקרן'!$C$42</f>
        <v>1.251031276628424E-4</v>
      </c>
    </row>
    <row r="248" spans="2:21" s="122" customFormat="1">
      <c r="B248" s="77" t="s">
        <v>913</v>
      </c>
      <c r="C248" s="74" t="s">
        <v>914</v>
      </c>
      <c r="D248" s="87" t="s">
        <v>123</v>
      </c>
      <c r="E248" s="87" t="s">
        <v>352</v>
      </c>
      <c r="F248" s="74" t="s">
        <v>915</v>
      </c>
      <c r="G248" s="87" t="s">
        <v>191</v>
      </c>
      <c r="H248" s="74" t="s">
        <v>705</v>
      </c>
      <c r="I248" s="74" t="s">
        <v>163</v>
      </c>
      <c r="J248" s="74"/>
      <c r="K248" s="84">
        <v>4.3700000000025794</v>
      </c>
      <c r="L248" s="87" t="s">
        <v>165</v>
      </c>
      <c r="M248" s="88">
        <v>3.4500000000000003E-2</v>
      </c>
      <c r="N248" s="88">
        <v>2.6600000000013918E-2</v>
      </c>
      <c r="O248" s="84">
        <v>941227.96802999999</v>
      </c>
      <c r="P248" s="86">
        <v>103.8</v>
      </c>
      <c r="Q248" s="74"/>
      <c r="R248" s="84">
        <v>976.99459880400002</v>
      </c>
      <c r="S248" s="85">
        <v>4.2397656217567567E-3</v>
      </c>
      <c r="T248" s="85">
        <f t="shared" si="4"/>
        <v>2.2464431854983484E-4</v>
      </c>
      <c r="U248" s="85">
        <f>R248/'סכום נכסי הקרן'!$C$42</f>
        <v>1.8755513457194611E-5</v>
      </c>
    </row>
    <row r="249" spans="2:21" s="122" customFormat="1">
      <c r="B249" s="77" t="s">
        <v>916</v>
      </c>
      <c r="C249" s="74" t="s">
        <v>917</v>
      </c>
      <c r="D249" s="87" t="s">
        <v>123</v>
      </c>
      <c r="E249" s="87" t="s">
        <v>352</v>
      </c>
      <c r="F249" s="74" t="s">
        <v>711</v>
      </c>
      <c r="G249" s="87" t="s">
        <v>492</v>
      </c>
      <c r="H249" s="74" t="s">
        <v>712</v>
      </c>
      <c r="I249" s="74" t="s">
        <v>356</v>
      </c>
      <c r="J249" s="74"/>
      <c r="K249" s="84">
        <v>1.2000000000001179</v>
      </c>
      <c r="L249" s="87" t="s">
        <v>165</v>
      </c>
      <c r="M249" s="88">
        <v>0.06</v>
      </c>
      <c r="N249" s="88">
        <v>6.1600000000005067E-2</v>
      </c>
      <c r="O249" s="84">
        <v>3339477.6712830001</v>
      </c>
      <c r="P249" s="86">
        <v>101.4</v>
      </c>
      <c r="Q249" s="74"/>
      <c r="R249" s="84">
        <v>3386.2302467580002</v>
      </c>
      <c r="S249" s="85">
        <v>1.2207967066099008E-2</v>
      </c>
      <c r="T249" s="85">
        <f t="shared" si="4"/>
        <v>7.7860961275221701E-4</v>
      </c>
      <c r="U249" s="85">
        <f>R249/'סכום נכסי הקרן'!$C$42</f>
        <v>6.5005975508949842E-5</v>
      </c>
    </row>
    <row r="250" spans="2:21" s="122" customFormat="1">
      <c r="B250" s="77" t="s">
        <v>918</v>
      </c>
      <c r="C250" s="74" t="s">
        <v>919</v>
      </c>
      <c r="D250" s="87" t="s">
        <v>123</v>
      </c>
      <c r="E250" s="87" t="s">
        <v>352</v>
      </c>
      <c r="F250" s="74" t="s">
        <v>711</v>
      </c>
      <c r="G250" s="87" t="s">
        <v>492</v>
      </c>
      <c r="H250" s="74" t="s">
        <v>712</v>
      </c>
      <c r="I250" s="74" t="s">
        <v>356</v>
      </c>
      <c r="J250" s="74"/>
      <c r="K250" s="84">
        <v>2.5100000000026013</v>
      </c>
      <c r="L250" s="87" t="s">
        <v>165</v>
      </c>
      <c r="M250" s="88">
        <v>5.9000000000000004E-2</v>
      </c>
      <c r="N250" s="88">
        <v>4.2300000000040881E-2</v>
      </c>
      <c r="O250" s="84">
        <v>432373.98511900002</v>
      </c>
      <c r="P250" s="86">
        <v>105.79</v>
      </c>
      <c r="Q250" s="74"/>
      <c r="R250" s="84">
        <v>457.40843793100004</v>
      </c>
      <c r="S250" s="85">
        <v>5.1175692630404815E-4</v>
      </c>
      <c r="T250" s="85">
        <f t="shared" si="4"/>
        <v>1.0517377165006004E-4</v>
      </c>
      <c r="U250" s="85">
        <f>R250/'סכום נכסי הקרן'!$C$42</f>
        <v>8.7809391408624373E-6</v>
      </c>
    </row>
    <row r="251" spans="2:21" s="122" customFormat="1">
      <c r="B251" s="77" t="s">
        <v>920</v>
      </c>
      <c r="C251" s="74" t="s">
        <v>921</v>
      </c>
      <c r="D251" s="87" t="s">
        <v>123</v>
      </c>
      <c r="E251" s="87" t="s">
        <v>352</v>
      </c>
      <c r="F251" s="74" t="s">
        <v>711</v>
      </c>
      <c r="G251" s="87" t="s">
        <v>492</v>
      </c>
      <c r="H251" s="74" t="s">
        <v>712</v>
      </c>
      <c r="I251" s="74" t="s">
        <v>356</v>
      </c>
      <c r="J251" s="74"/>
      <c r="K251" s="84">
        <v>5.2999999999991907</v>
      </c>
      <c r="L251" s="87" t="s">
        <v>165</v>
      </c>
      <c r="M251" s="88">
        <v>2.7000000000000003E-2</v>
      </c>
      <c r="N251" s="88">
        <v>5.6299999999986472E-2</v>
      </c>
      <c r="O251" s="84">
        <v>1005938.3999520001</v>
      </c>
      <c r="P251" s="86">
        <v>86</v>
      </c>
      <c r="Q251" s="74"/>
      <c r="R251" s="84">
        <v>865.107023959</v>
      </c>
      <c r="S251" s="85">
        <v>1.4368085470376508E-3</v>
      </c>
      <c r="T251" s="85">
        <f t="shared" si="4"/>
        <v>1.9891755605184572E-4</v>
      </c>
      <c r="U251" s="85">
        <f>R251/'סכום נכסי הקרן'!$C$42</f>
        <v>1.6607590717122985E-5</v>
      </c>
    </row>
    <row r="252" spans="2:21" s="122" customFormat="1">
      <c r="B252" s="77" t="s">
        <v>922</v>
      </c>
      <c r="C252" s="74" t="s">
        <v>923</v>
      </c>
      <c r="D252" s="87" t="s">
        <v>123</v>
      </c>
      <c r="E252" s="87" t="s">
        <v>352</v>
      </c>
      <c r="F252" s="74" t="s">
        <v>924</v>
      </c>
      <c r="G252" s="87" t="s">
        <v>3377</v>
      </c>
      <c r="H252" s="74" t="s">
        <v>705</v>
      </c>
      <c r="I252" s="74" t="s">
        <v>163</v>
      </c>
      <c r="J252" s="74"/>
      <c r="K252" s="84">
        <v>2.8700000000000792</v>
      </c>
      <c r="L252" s="87" t="s">
        <v>165</v>
      </c>
      <c r="M252" s="88">
        <v>4.5999999999999999E-2</v>
      </c>
      <c r="N252" s="88">
        <v>0.13420000000001064</v>
      </c>
      <c r="O252" s="84">
        <v>3020230.8590150001</v>
      </c>
      <c r="P252" s="86">
        <v>79.12</v>
      </c>
      <c r="Q252" s="74"/>
      <c r="R252" s="84">
        <v>2389.606656163</v>
      </c>
      <c r="S252" s="85">
        <v>1.263988736651688E-2</v>
      </c>
      <c r="T252" s="85">
        <f t="shared" si="4"/>
        <v>5.4945192075066859E-4</v>
      </c>
      <c r="U252" s="85">
        <f>R252/'סכום נכסי הקרן'!$C$42</f>
        <v>4.5873641319953909E-5</v>
      </c>
    </row>
    <row r="253" spans="2:21" s="122" customFormat="1">
      <c r="B253" s="77" t="s">
        <v>925</v>
      </c>
      <c r="C253" s="74" t="s">
        <v>926</v>
      </c>
      <c r="D253" s="87" t="s">
        <v>123</v>
      </c>
      <c r="E253" s="87" t="s">
        <v>352</v>
      </c>
      <c r="F253" s="74" t="s">
        <v>927</v>
      </c>
      <c r="G253" s="87" t="s">
        <v>492</v>
      </c>
      <c r="H253" s="74" t="s">
        <v>928</v>
      </c>
      <c r="I253" s="74" t="s">
        <v>356</v>
      </c>
      <c r="J253" s="74"/>
      <c r="K253" s="84">
        <v>0.6600000000000722</v>
      </c>
      <c r="L253" s="87" t="s">
        <v>165</v>
      </c>
      <c r="M253" s="88">
        <v>4.7E-2</v>
      </c>
      <c r="N253" s="88">
        <v>7.0399999999923538E-2</v>
      </c>
      <c r="O253" s="84">
        <v>276892.27881300001</v>
      </c>
      <c r="P253" s="86">
        <v>100.12</v>
      </c>
      <c r="Q253" s="74"/>
      <c r="R253" s="84">
        <v>277.22454090299999</v>
      </c>
      <c r="S253" s="85">
        <v>1.2569557979236272E-2</v>
      </c>
      <c r="T253" s="85">
        <f t="shared" si="4"/>
        <v>6.3743359638510083E-5</v>
      </c>
      <c r="U253" s="85">
        <f>R253/'סכום נכסי הקרן'!$C$42</f>
        <v>5.3219215479142181E-6</v>
      </c>
    </row>
    <row r="254" spans="2:21" s="122" customFormat="1">
      <c r="B254" s="77" t="s">
        <v>932</v>
      </c>
      <c r="C254" s="74" t="s">
        <v>933</v>
      </c>
      <c r="D254" s="87" t="s">
        <v>123</v>
      </c>
      <c r="E254" s="87" t="s">
        <v>352</v>
      </c>
      <c r="F254" s="74" t="s">
        <v>934</v>
      </c>
      <c r="G254" s="87" t="s">
        <v>3377</v>
      </c>
      <c r="H254" s="74" t="s">
        <v>935</v>
      </c>
      <c r="I254" s="74" t="s">
        <v>356</v>
      </c>
      <c r="J254" s="74"/>
      <c r="K254" s="84">
        <v>0.5</v>
      </c>
      <c r="L254" s="87" t="s">
        <v>165</v>
      </c>
      <c r="M254" s="88">
        <v>6.0999999999999999E-2</v>
      </c>
      <c r="N254" s="88">
        <v>0.37580000000000974</v>
      </c>
      <c r="O254" s="84">
        <v>10781102.808303</v>
      </c>
      <c r="P254" s="86">
        <v>88</v>
      </c>
      <c r="Q254" s="74"/>
      <c r="R254" s="84">
        <v>9487.3701111859991</v>
      </c>
      <c r="S254" s="85">
        <v>1.5910718430199235E-2</v>
      </c>
      <c r="T254" s="85">
        <f t="shared" si="4"/>
        <v>2.1814693715466664E-3</v>
      </c>
      <c r="U254" s="85">
        <f>R254/'סכום נכסי הקרן'!$C$42</f>
        <v>1.8213048261634507E-4</v>
      </c>
    </row>
    <row r="255" spans="2:21" s="122" customFormat="1">
      <c r="B255" s="77" t="s">
        <v>936</v>
      </c>
      <c r="C255" s="74" t="s">
        <v>937</v>
      </c>
      <c r="D255" s="87" t="s">
        <v>123</v>
      </c>
      <c r="E255" s="87" t="s">
        <v>352</v>
      </c>
      <c r="F255" s="74" t="s">
        <v>915</v>
      </c>
      <c r="G255" s="87" t="s">
        <v>191</v>
      </c>
      <c r="H255" s="74" t="s">
        <v>725</v>
      </c>
      <c r="I255" s="74"/>
      <c r="J255" s="74"/>
      <c r="K255" s="84">
        <v>3.7100000000002824</v>
      </c>
      <c r="L255" s="87" t="s">
        <v>165</v>
      </c>
      <c r="M255" s="88">
        <v>4.2500000000000003E-2</v>
      </c>
      <c r="N255" s="88">
        <v>4.1200000000003983E-2</v>
      </c>
      <c r="O255" s="84">
        <v>597668.49161899998</v>
      </c>
      <c r="P255" s="86">
        <v>100.95</v>
      </c>
      <c r="Q255" s="74"/>
      <c r="R255" s="84">
        <v>603.34634937299995</v>
      </c>
      <c r="S255" s="85">
        <v>4.9465631418911648E-3</v>
      </c>
      <c r="T255" s="85">
        <f t="shared" si="4"/>
        <v>1.3872986572325893E-4</v>
      </c>
      <c r="U255" s="85">
        <f>R255/'סכום נכסי הקרן'!$C$42</f>
        <v>1.1582531355718087E-5</v>
      </c>
    </row>
    <row r="256" spans="2:21" s="122" customFormat="1">
      <c r="B256" s="73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84"/>
      <c r="P256" s="86"/>
      <c r="Q256" s="74"/>
      <c r="R256" s="74"/>
      <c r="S256" s="74"/>
      <c r="T256" s="85"/>
      <c r="U256" s="74"/>
    </row>
    <row r="257" spans="2:21" s="122" customFormat="1">
      <c r="B257" s="92" t="s">
        <v>49</v>
      </c>
      <c r="C257" s="72"/>
      <c r="D257" s="72"/>
      <c r="E257" s="72"/>
      <c r="F257" s="72"/>
      <c r="G257" s="72"/>
      <c r="H257" s="72"/>
      <c r="I257" s="72"/>
      <c r="J257" s="72"/>
      <c r="K257" s="81">
        <v>3.5794619269212644</v>
      </c>
      <c r="L257" s="72"/>
      <c r="M257" s="72"/>
      <c r="N257" s="94">
        <v>8.205367338232962E-2</v>
      </c>
      <c r="O257" s="81"/>
      <c r="P257" s="83"/>
      <c r="Q257" s="72"/>
      <c r="R257" s="81">
        <f>SUM(R258:R263)</f>
        <v>77938.585348101013</v>
      </c>
      <c r="S257" s="72"/>
      <c r="T257" s="82">
        <f t="shared" ref="T257:T263" si="5">R257/$R$11</f>
        <v>1.7920734071299363E-2</v>
      </c>
      <c r="U257" s="82">
        <f>R257/'סכום נכסי הקרן'!$C$42</f>
        <v>1.4961988409357362E-3</v>
      </c>
    </row>
    <row r="258" spans="2:21" s="122" customFormat="1">
      <c r="B258" s="77" t="s">
        <v>938</v>
      </c>
      <c r="C258" s="74" t="s">
        <v>939</v>
      </c>
      <c r="D258" s="87" t="s">
        <v>123</v>
      </c>
      <c r="E258" s="87" t="s">
        <v>352</v>
      </c>
      <c r="F258" s="74" t="s">
        <v>940</v>
      </c>
      <c r="G258" s="87" t="s">
        <v>149</v>
      </c>
      <c r="H258" s="74" t="s">
        <v>456</v>
      </c>
      <c r="I258" s="74" t="s">
        <v>356</v>
      </c>
      <c r="J258" s="74"/>
      <c r="K258" s="84">
        <v>2.529999999999974</v>
      </c>
      <c r="L258" s="87" t="s">
        <v>165</v>
      </c>
      <c r="M258" s="88">
        <v>3.49E-2</v>
      </c>
      <c r="N258" s="88">
        <v>5.1799999999999284E-2</v>
      </c>
      <c r="O258" s="84">
        <v>36837884.563644998</v>
      </c>
      <c r="P258" s="86">
        <v>96.05</v>
      </c>
      <c r="Q258" s="74"/>
      <c r="R258" s="84">
        <v>35382.786544164002</v>
      </c>
      <c r="S258" s="85">
        <v>1.8282040802552583E-2</v>
      </c>
      <c r="T258" s="85">
        <f t="shared" si="5"/>
        <v>8.135707179280513E-3</v>
      </c>
      <c r="U258" s="85">
        <f>R258/'סכום נכסי הקרן'!$C$42</f>
        <v>6.7924871846220425E-4</v>
      </c>
    </row>
    <row r="259" spans="2:21" s="122" customFormat="1">
      <c r="B259" s="77" t="s">
        <v>941</v>
      </c>
      <c r="C259" s="74" t="s">
        <v>942</v>
      </c>
      <c r="D259" s="87" t="s">
        <v>123</v>
      </c>
      <c r="E259" s="87" t="s">
        <v>352</v>
      </c>
      <c r="F259" s="74" t="s">
        <v>943</v>
      </c>
      <c r="G259" s="87" t="s">
        <v>149</v>
      </c>
      <c r="H259" s="74" t="s">
        <v>656</v>
      </c>
      <c r="I259" s="74" t="s">
        <v>163</v>
      </c>
      <c r="J259" s="74"/>
      <c r="K259" s="84">
        <v>1.6800000000016577</v>
      </c>
      <c r="L259" s="87" t="s">
        <v>165</v>
      </c>
      <c r="M259" s="88">
        <v>4.4999999999999998E-2</v>
      </c>
      <c r="N259" s="88">
        <v>0.15240000000009118</v>
      </c>
      <c r="O259" s="84">
        <v>362564.83765200002</v>
      </c>
      <c r="P259" s="86">
        <v>79.87</v>
      </c>
      <c r="Q259" s="74"/>
      <c r="R259" s="84">
        <v>289.58052383899997</v>
      </c>
      <c r="S259" s="85">
        <v>2.3719791306566493E-4</v>
      </c>
      <c r="T259" s="85">
        <f t="shared" si="5"/>
        <v>6.6584420756011668E-5</v>
      </c>
      <c r="U259" s="85">
        <f>R259/'סכום נכסי הקרן'!$C$42</f>
        <v>5.5591212259029253E-6</v>
      </c>
    </row>
    <row r="260" spans="2:21" s="122" customFormat="1">
      <c r="B260" s="77" t="s">
        <v>944</v>
      </c>
      <c r="C260" s="74" t="s">
        <v>945</v>
      </c>
      <c r="D260" s="87" t="s">
        <v>123</v>
      </c>
      <c r="E260" s="87" t="s">
        <v>352</v>
      </c>
      <c r="F260" s="74" t="s">
        <v>946</v>
      </c>
      <c r="G260" s="87" t="s">
        <v>149</v>
      </c>
      <c r="H260" s="74" t="s">
        <v>656</v>
      </c>
      <c r="I260" s="74" t="s">
        <v>163</v>
      </c>
      <c r="J260" s="74"/>
      <c r="K260" s="84">
        <v>4.6300000000000727</v>
      </c>
      <c r="L260" s="87" t="s">
        <v>165</v>
      </c>
      <c r="M260" s="88">
        <v>4.6900000000000004E-2</v>
      </c>
      <c r="N260" s="88">
        <v>0.11600000000000087</v>
      </c>
      <c r="O260" s="84">
        <v>15831685.652844001</v>
      </c>
      <c r="P260" s="86">
        <v>74.19</v>
      </c>
      <c r="Q260" s="74"/>
      <c r="R260" s="84">
        <v>11745.527353904999</v>
      </c>
      <c r="S260" s="85">
        <v>8.0420431637756359E-3</v>
      </c>
      <c r="T260" s="85">
        <f t="shared" si="5"/>
        <v>2.7006965971526011E-3</v>
      </c>
      <c r="U260" s="85">
        <f>R260/'סכום נכסי הקרן'!$C$42</f>
        <v>2.2548066961443545E-4</v>
      </c>
    </row>
    <row r="261" spans="2:21" s="122" customFormat="1">
      <c r="B261" s="77" t="s">
        <v>947</v>
      </c>
      <c r="C261" s="74" t="s">
        <v>948</v>
      </c>
      <c r="D261" s="87" t="s">
        <v>123</v>
      </c>
      <c r="E261" s="87" t="s">
        <v>352</v>
      </c>
      <c r="F261" s="74" t="s">
        <v>946</v>
      </c>
      <c r="G261" s="87" t="s">
        <v>149</v>
      </c>
      <c r="H261" s="74" t="s">
        <v>656</v>
      </c>
      <c r="I261" s="74" t="s">
        <v>163</v>
      </c>
      <c r="J261" s="74"/>
      <c r="K261" s="84">
        <v>4.9299999999999846</v>
      </c>
      <c r="L261" s="87" t="s">
        <v>165</v>
      </c>
      <c r="M261" s="88">
        <v>4.6900000000000004E-2</v>
      </c>
      <c r="N261" s="88">
        <v>0.11039999999999985</v>
      </c>
      <c r="O261" s="84">
        <v>31212823.529452</v>
      </c>
      <c r="P261" s="86">
        <v>76.150000000000006</v>
      </c>
      <c r="Q261" s="74"/>
      <c r="R261" s="84">
        <v>23768.563336908999</v>
      </c>
      <c r="S261" s="85">
        <v>1.9350413809356162E-2</v>
      </c>
      <c r="T261" s="85">
        <f t="shared" si="5"/>
        <v>5.4652018754913195E-3</v>
      </c>
      <c r="U261" s="85">
        <f>R261/'סכום נכסי הקרן'!$C$42</f>
        <v>4.5628871446096067E-4</v>
      </c>
    </row>
    <row r="262" spans="2:21" s="122" customFormat="1">
      <c r="B262" s="77" t="s">
        <v>949</v>
      </c>
      <c r="C262" s="74" t="s">
        <v>950</v>
      </c>
      <c r="D262" s="87" t="s">
        <v>123</v>
      </c>
      <c r="E262" s="87" t="s">
        <v>352</v>
      </c>
      <c r="F262" s="74" t="s">
        <v>711</v>
      </c>
      <c r="G262" s="87" t="s">
        <v>492</v>
      </c>
      <c r="H262" s="74" t="s">
        <v>712</v>
      </c>
      <c r="I262" s="74" t="s">
        <v>356</v>
      </c>
      <c r="J262" s="74"/>
      <c r="K262" s="84">
        <v>2.0500000000002321</v>
      </c>
      <c r="L262" s="87" t="s">
        <v>165</v>
      </c>
      <c r="M262" s="88">
        <v>6.7000000000000004E-2</v>
      </c>
      <c r="N262" s="88">
        <v>7.7200000000007526E-2</v>
      </c>
      <c r="O262" s="84">
        <v>4462350.8428339995</v>
      </c>
      <c r="P262" s="86">
        <v>91.6</v>
      </c>
      <c r="Q262" s="74"/>
      <c r="R262" s="84">
        <v>4087.5132629610002</v>
      </c>
      <c r="S262" s="85">
        <v>3.9003762473123101E-3</v>
      </c>
      <c r="T262" s="85">
        <f t="shared" si="5"/>
        <v>9.3985845228351968E-4</v>
      </c>
      <c r="U262" s="85">
        <f>R262/'סכום נכסי הקרן'!$C$42</f>
        <v>7.8468611908167103E-5</v>
      </c>
    </row>
    <row r="263" spans="2:21" s="122" customFormat="1">
      <c r="B263" s="77" t="s">
        <v>951</v>
      </c>
      <c r="C263" s="74" t="s">
        <v>952</v>
      </c>
      <c r="D263" s="87" t="s">
        <v>123</v>
      </c>
      <c r="E263" s="87" t="s">
        <v>352</v>
      </c>
      <c r="F263" s="74" t="s">
        <v>711</v>
      </c>
      <c r="G263" s="87" t="s">
        <v>492</v>
      </c>
      <c r="H263" s="74" t="s">
        <v>712</v>
      </c>
      <c r="I263" s="74" t="s">
        <v>356</v>
      </c>
      <c r="J263" s="74"/>
      <c r="K263" s="84">
        <v>3.3899999999996364</v>
      </c>
      <c r="L263" s="87" t="s">
        <v>165</v>
      </c>
      <c r="M263" s="88">
        <v>4.7E-2</v>
      </c>
      <c r="N263" s="88">
        <v>8.109999999999426E-2</v>
      </c>
      <c r="O263" s="84">
        <v>3049455.6283999998</v>
      </c>
      <c r="P263" s="86">
        <v>87.38</v>
      </c>
      <c r="Q263" s="74"/>
      <c r="R263" s="84">
        <v>2664.6143263229997</v>
      </c>
      <c r="S263" s="85">
        <v>4.2630262242486471E-3</v>
      </c>
      <c r="T263" s="85">
        <f t="shared" si="5"/>
        <v>6.1268554633539367E-4</v>
      </c>
      <c r="U263" s="85">
        <f>R263/'סכום נכסי הקרן'!$C$42</f>
        <v>5.1153005264065499E-5</v>
      </c>
    </row>
    <row r="264" spans="2:21" s="122" customFormat="1">
      <c r="B264" s="73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84"/>
      <c r="P264" s="86"/>
      <c r="Q264" s="74"/>
      <c r="R264" s="74"/>
      <c r="S264" s="74"/>
      <c r="T264" s="85"/>
      <c r="U264" s="74"/>
    </row>
    <row r="265" spans="2:21" s="122" customFormat="1">
      <c r="B265" s="71" t="s">
        <v>237</v>
      </c>
      <c r="C265" s="72"/>
      <c r="D265" s="72"/>
      <c r="E265" s="72"/>
      <c r="F265" s="72"/>
      <c r="G265" s="72"/>
      <c r="H265" s="72"/>
      <c r="I265" s="72"/>
      <c r="J265" s="72"/>
      <c r="K265" s="81">
        <v>8.2204070639368947</v>
      </c>
      <c r="L265" s="72"/>
      <c r="M265" s="72"/>
      <c r="N265" s="94">
        <v>5.7293181960298097E-2</v>
      </c>
      <c r="O265" s="81"/>
      <c r="P265" s="83"/>
      <c r="Q265" s="72"/>
      <c r="R265" s="81">
        <f>R266+R274</f>
        <v>1472948.7297899099</v>
      </c>
      <c r="S265" s="72"/>
      <c r="T265" s="82">
        <f t="shared" ref="T265:T272" si="6">R265/$R$11</f>
        <v>0.33868105726230385</v>
      </c>
      <c r="U265" s="82">
        <f>R265/'סכום נכסי הקרן'!$C$42</f>
        <v>2.8276420112404884E-2</v>
      </c>
    </row>
    <row r="266" spans="2:21" s="122" customFormat="1">
      <c r="B266" s="92" t="s">
        <v>67</v>
      </c>
      <c r="C266" s="72"/>
      <c r="D266" s="72"/>
      <c r="E266" s="72"/>
      <c r="F266" s="72"/>
      <c r="G266" s="72"/>
      <c r="H266" s="72"/>
      <c r="I266" s="72"/>
      <c r="J266" s="72"/>
      <c r="K266" s="81">
        <v>7.0087164992336461</v>
      </c>
      <c r="L266" s="72"/>
      <c r="M266" s="72"/>
      <c r="N266" s="94">
        <v>5.585987448468846E-2</v>
      </c>
      <c r="O266" s="81"/>
      <c r="P266" s="83"/>
      <c r="Q266" s="72"/>
      <c r="R266" s="81">
        <f>SUM(R267:R272)</f>
        <v>168248.29793509899</v>
      </c>
      <c r="S266" s="72"/>
      <c r="T266" s="82">
        <f t="shared" si="6"/>
        <v>3.868601145090092E-2</v>
      </c>
      <c r="U266" s="82">
        <f>R266/'סכום נכסי הקרן'!$C$42</f>
        <v>3.2298880873392584E-3</v>
      </c>
    </row>
    <row r="267" spans="2:21" s="122" customFormat="1">
      <c r="B267" s="77" t="s">
        <v>953</v>
      </c>
      <c r="C267" s="74" t="s">
        <v>954</v>
      </c>
      <c r="D267" s="87" t="s">
        <v>28</v>
      </c>
      <c r="E267" s="87" t="s">
        <v>955</v>
      </c>
      <c r="F267" s="74" t="s">
        <v>956</v>
      </c>
      <c r="G267" s="87" t="s">
        <v>957</v>
      </c>
      <c r="H267" s="74" t="s">
        <v>958</v>
      </c>
      <c r="I267" s="74" t="s">
        <v>959</v>
      </c>
      <c r="J267" s="74"/>
      <c r="K267" s="84">
        <v>3.4199999999999462</v>
      </c>
      <c r="L267" s="87" t="s">
        <v>164</v>
      </c>
      <c r="M267" s="88">
        <v>5.0819999999999997E-2</v>
      </c>
      <c r="N267" s="88">
        <v>4.3899999999999537E-2</v>
      </c>
      <c r="O267" s="84">
        <v>6374538.8455729997</v>
      </c>
      <c r="P267" s="86">
        <v>102.4956</v>
      </c>
      <c r="Q267" s="74"/>
      <c r="R267" s="84">
        <v>23292.365633572001</v>
      </c>
      <c r="S267" s="85">
        <v>1.9920433892415625E-2</v>
      </c>
      <c r="T267" s="85">
        <f t="shared" si="6"/>
        <v>5.3557078120726569E-3</v>
      </c>
      <c r="U267" s="85">
        <f>R267/'סכום נכסי הקרן'!$C$42</f>
        <v>4.4714707494303947E-4</v>
      </c>
    </row>
    <row r="268" spans="2:21" s="122" customFormat="1">
      <c r="B268" s="77" t="s">
        <v>960</v>
      </c>
      <c r="C268" s="74" t="s">
        <v>961</v>
      </c>
      <c r="D268" s="87" t="s">
        <v>28</v>
      </c>
      <c r="E268" s="87" t="s">
        <v>955</v>
      </c>
      <c r="F268" s="74" t="s">
        <v>956</v>
      </c>
      <c r="G268" s="87" t="s">
        <v>957</v>
      </c>
      <c r="H268" s="74" t="s">
        <v>958</v>
      </c>
      <c r="I268" s="74" t="s">
        <v>959</v>
      </c>
      <c r="J268" s="74"/>
      <c r="K268" s="84">
        <v>4.9199999999999404</v>
      </c>
      <c r="L268" s="87" t="s">
        <v>164</v>
      </c>
      <c r="M268" s="88">
        <v>5.4120000000000001E-2</v>
      </c>
      <c r="N268" s="88">
        <v>6.4699999999998953E-2</v>
      </c>
      <c r="O268" s="84">
        <v>8857994.4710930008</v>
      </c>
      <c r="P268" s="86">
        <v>96.352999999999994</v>
      </c>
      <c r="Q268" s="74"/>
      <c r="R268" s="84">
        <v>30427.073266877</v>
      </c>
      <c r="S268" s="85">
        <v>2.7681232722165626E-2</v>
      </c>
      <c r="T268" s="85">
        <f t="shared" si="6"/>
        <v>6.9962199871636543E-3</v>
      </c>
      <c r="U268" s="85">
        <f>R268/'סכום נכסי הקרן'!$C$42</f>
        <v>5.8411313923184148E-4</v>
      </c>
    </row>
    <row r="269" spans="2:21" s="122" customFormat="1">
      <c r="B269" s="77" t="s">
        <v>962</v>
      </c>
      <c r="C269" s="74" t="s">
        <v>963</v>
      </c>
      <c r="D269" s="87" t="s">
        <v>28</v>
      </c>
      <c r="E269" s="87" t="s">
        <v>955</v>
      </c>
      <c r="F269" s="74" t="s">
        <v>774</v>
      </c>
      <c r="G269" s="87" t="s">
        <v>548</v>
      </c>
      <c r="H269" s="74" t="s">
        <v>958</v>
      </c>
      <c r="I269" s="74" t="s">
        <v>349</v>
      </c>
      <c r="J269" s="74"/>
      <c r="K269" s="84">
        <v>10.960000000000004</v>
      </c>
      <c r="L269" s="87" t="s">
        <v>164</v>
      </c>
      <c r="M269" s="88">
        <v>6.3750000000000001E-2</v>
      </c>
      <c r="N269" s="88">
        <v>5.4799999999999932E-2</v>
      </c>
      <c r="O269" s="84">
        <v>13737841.92</v>
      </c>
      <c r="P269" s="86">
        <v>112.125</v>
      </c>
      <c r="Q269" s="74"/>
      <c r="R269" s="84">
        <v>54913.674476232009</v>
      </c>
      <c r="S269" s="85">
        <v>2.2896403199999998E-2</v>
      </c>
      <c r="T269" s="85">
        <f t="shared" si="6"/>
        <v>1.2626523214029964E-2</v>
      </c>
      <c r="U269" s="85">
        <f>R269/'סכום נכסי הקרן'!$C$42</f>
        <v>1.0541861356078942E-3</v>
      </c>
    </row>
    <row r="270" spans="2:21" s="122" customFormat="1">
      <c r="B270" s="77" t="s">
        <v>929</v>
      </c>
      <c r="C270" s="74" t="s">
        <v>3493</v>
      </c>
      <c r="D270" s="87" t="s">
        <v>28</v>
      </c>
      <c r="E270" s="87" t="s">
        <v>352</v>
      </c>
      <c r="F270" s="74" t="s">
        <v>375</v>
      </c>
      <c r="G270" s="87" t="s">
        <v>362</v>
      </c>
      <c r="H270" s="74" t="s">
        <v>930</v>
      </c>
      <c r="I270" s="74" t="s">
        <v>931</v>
      </c>
      <c r="J270" s="74"/>
      <c r="K270" s="84">
        <v>5.2899999999999512</v>
      </c>
      <c r="L270" s="87" t="s">
        <v>164</v>
      </c>
      <c r="M270" s="88">
        <v>3.2750000000000001E-2</v>
      </c>
      <c r="N270" s="88">
        <v>4.9199999999999536E-2</v>
      </c>
      <c r="O270" s="84">
        <v>10653238.480896</v>
      </c>
      <c r="P270" s="86">
        <v>90.677899999999994</v>
      </c>
      <c r="Q270" s="74"/>
      <c r="R270" s="84">
        <v>34438.385523029996</v>
      </c>
      <c r="S270" s="85">
        <v>1.4204317974527999E-2</v>
      </c>
      <c r="T270" s="85">
        <f t="shared" si="6"/>
        <v>7.9185572338354437E-3</v>
      </c>
      <c r="U270" s="85">
        <f>R270/'סכום נכסי הקרן'!$C$42</f>
        <v>6.6111890885778019E-4</v>
      </c>
    </row>
    <row r="271" spans="2:21" s="122" customFormat="1">
      <c r="B271" s="77" t="s">
        <v>964</v>
      </c>
      <c r="C271" s="74" t="s">
        <v>965</v>
      </c>
      <c r="D271" s="87" t="s">
        <v>28</v>
      </c>
      <c r="E271" s="87" t="s">
        <v>955</v>
      </c>
      <c r="F271" s="74" t="s">
        <v>966</v>
      </c>
      <c r="G271" s="87" t="s">
        <v>967</v>
      </c>
      <c r="H271" s="74" t="s">
        <v>968</v>
      </c>
      <c r="I271" s="74" t="s">
        <v>349</v>
      </c>
      <c r="J271" s="74"/>
      <c r="K271" s="84">
        <v>4.170000000000007</v>
      </c>
      <c r="L271" s="87" t="s">
        <v>166</v>
      </c>
      <c r="M271" s="88">
        <v>0.06</v>
      </c>
      <c r="N271" s="88">
        <v>6.3700000000000173E-2</v>
      </c>
      <c r="O271" s="84">
        <v>5540929.5744000003</v>
      </c>
      <c r="P271" s="86">
        <v>99.701300000000003</v>
      </c>
      <c r="Q271" s="74"/>
      <c r="R271" s="84">
        <v>21546.741909699002</v>
      </c>
      <c r="S271" s="85">
        <v>5.5409295744000006E-3</v>
      </c>
      <c r="T271" s="85">
        <f t="shared" si="6"/>
        <v>4.9543294908680939E-3</v>
      </c>
      <c r="U271" s="85">
        <f>R271/'סכום נכסי הקרן'!$C$42</f>
        <v>4.1363607162288053E-4</v>
      </c>
    </row>
    <row r="272" spans="2:21" s="122" customFormat="1">
      <c r="B272" s="77" t="s">
        <v>969</v>
      </c>
      <c r="C272" s="74" t="s">
        <v>970</v>
      </c>
      <c r="D272" s="87" t="s">
        <v>28</v>
      </c>
      <c r="E272" s="87" t="s">
        <v>955</v>
      </c>
      <c r="F272" s="74" t="s">
        <v>971</v>
      </c>
      <c r="G272" s="87" t="s">
        <v>972</v>
      </c>
      <c r="H272" s="74" t="s">
        <v>725</v>
      </c>
      <c r="I272" s="74"/>
      <c r="J272" s="74"/>
      <c r="K272" s="84">
        <v>4.6199999999993997</v>
      </c>
      <c r="L272" s="87" t="s">
        <v>164</v>
      </c>
      <c r="M272" s="88">
        <v>0</v>
      </c>
      <c r="N272" s="88">
        <v>2.7999999999996698E-2</v>
      </c>
      <c r="O272" s="84">
        <v>1167716.5632</v>
      </c>
      <c r="P272" s="86">
        <v>87.2</v>
      </c>
      <c r="Q272" s="74"/>
      <c r="R272" s="84">
        <v>3630.0571256889998</v>
      </c>
      <c r="S272" s="85">
        <v>2.0308114142608695E-3</v>
      </c>
      <c r="T272" s="85">
        <f t="shared" si="6"/>
        <v>8.3467371293111266E-4</v>
      </c>
      <c r="U272" s="85">
        <f>R272/'סכום נכסי הקרן'!$C$42</f>
        <v>6.9686757075822724E-5</v>
      </c>
    </row>
    <row r="273" spans="2:21" s="122" customFormat="1">
      <c r="B273" s="73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84"/>
      <c r="P273" s="86"/>
      <c r="Q273" s="74"/>
      <c r="R273" s="74"/>
      <c r="S273" s="74"/>
      <c r="T273" s="85"/>
      <c r="U273" s="74"/>
    </row>
    <row r="274" spans="2:21" s="122" customFormat="1">
      <c r="B274" s="92" t="s">
        <v>66</v>
      </c>
      <c r="C274" s="72"/>
      <c r="D274" s="72"/>
      <c r="E274" s="72"/>
      <c r="F274" s="72"/>
      <c r="G274" s="72"/>
      <c r="H274" s="72"/>
      <c r="I274" s="72"/>
      <c r="J274" s="72"/>
      <c r="K274" s="81">
        <v>8.3540734972357154</v>
      </c>
      <c r="L274" s="72"/>
      <c r="M274" s="72"/>
      <c r="N274" s="94">
        <v>5.745129584156957E-2</v>
      </c>
      <c r="O274" s="81"/>
      <c r="P274" s="83"/>
      <c r="Q274" s="72"/>
      <c r="R274" s="81">
        <f>SUM(R275:R349)</f>
        <v>1304700.431854811</v>
      </c>
      <c r="S274" s="72"/>
      <c r="T274" s="82">
        <f t="shared" ref="T274:T337" si="7">R274/$R$11</f>
        <v>0.29999504581140296</v>
      </c>
      <c r="U274" s="82">
        <f>R274/'סכום נכסי הקרן'!$C$42</f>
        <v>2.5046532025065626E-2</v>
      </c>
    </row>
    <row r="275" spans="2:21" s="122" customFormat="1">
      <c r="B275" s="77" t="s">
        <v>1146</v>
      </c>
      <c r="C275" s="74" t="s">
        <v>1147</v>
      </c>
      <c r="D275" s="87" t="s">
        <v>28</v>
      </c>
      <c r="E275" s="87" t="s">
        <v>955</v>
      </c>
      <c r="F275" s="74"/>
      <c r="G275" s="87" t="s">
        <v>1131</v>
      </c>
      <c r="H275" s="74" t="s">
        <v>348</v>
      </c>
      <c r="I275" s="74" t="s">
        <v>959</v>
      </c>
      <c r="J275" s="74"/>
      <c r="K275" s="84">
        <v>18.53</v>
      </c>
      <c r="L275" s="87" t="s">
        <v>164</v>
      </c>
      <c r="M275" s="88">
        <v>4.2500000000000003E-2</v>
      </c>
      <c r="N275" s="88">
        <v>0.03</v>
      </c>
      <c r="O275" s="84">
        <v>4808244.6720000003</v>
      </c>
      <c r="P275" s="86">
        <v>122.9</v>
      </c>
      <c r="Q275" s="74"/>
      <c r="R275" s="84">
        <v>21066.775840103001</v>
      </c>
      <c r="S275" s="85">
        <v>6.4109928960000007E-3</v>
      </c>
      <c r="T275" s="85">
        <f t="shared" si="7"/>
        <v>4.8439689517582284E-3</v>
      </c>
      <c r="U275" s="85">
        <f>R275/'סכום נכסי הקרן'!$C$42</f>
        <v>4.044220902064791E-4</v>
      </c>
    </row>
    <row r="276" spans="2:21" s="122" customFormat="1">
      <c r="B276" s="77" t="s">
        <v>973</v>
      </c>
      <c r="C276" s="74" t="s">
        <v>974</v>
      </c>
      <c r="D276" s="87" t="s">
        <v>28</v>
      </c>
      <c r="E276" s="87" t="s">
        <v>955</v>
      </c>
      <c r="F276" s="74"/>
      <c r="G276" s="87" t="s">
        <v>975</v>
      </c>
      <c r="H276" s="74" t="s">
        <v>348</v>
      </c>
      <c r="I276" s="74" t="s">
        <v>349</v>
      </c>
      <c r="J276" s="74"/>
      <c r="K276" s="84">
        <v>17.959999999999301</v>
      </c>
      <c r="L276" s="87" t="s">
        <v>164</v>
      </c>
      <c r="M276" s="88">
        <v>4.7500000000000001E-2</v>
      </c>
      <c r="N276" s="88">
        <v>3.0399999999998623E-2</v>
      </c>
      <c r="O276" s="84">
        <v>2289640.3199999998</v>
      </c>
      <c r="P276" s="86">
        <v>131.81899999999999</v>
      </c>
      <c r="Q276" s="74"/>
      <c r="R276" s="84">
        <v>10759.812901211999</v>
      </c>
      <c r="S276" s="85">
        <v>1.01761792E-3</v>
      </c>
      <c r="T276" s="85">
        <f t="shared" si="7"/>
        <v>2.474047287339614E-3</v>
      </c>
      <c r="U276" s="85">
        <f>R276/'סכום נכסי הקרן'!$C$42</f>
        <v>2.0655775979992204E-4</v>
      </c>
    </row>
    <row r="277" spans="2:21" s="122" customFormat="1">
      <c r="B277" s="77" t="s">
        <v>976</v>
      </c>
      <c r="C277" s="74" t="s">
        <v>977</v>
      </c>
      <c r="D277" s="87" t="s">
        <v>28</v>
      </c>
      <c r="E277" s="87" t="s">
        <v>955</v>
      </c>
      <c r="F277" s="74"/>
      <c r="G277" s="87" t="s">
        <v>975</v>
      </c>
      <c r="H277" s="74" t="s">
        <v>348</v>
      </c>
      <c r="I277" s="74" t="s">
        <v>349</v>
      </c>
      <c r="J277" s="74"/>
      <c r="K277" s="84">
        <v>20.740000000000201</v>
      </c>
      <c r="L277" s="87" t="s">
        <v>164</v>
      </c>
      <c r="M277" s="88">
        <v>4.9500000000000002E-2</v>
      </c>
      <c r="N277" s="88">
        <v>3.2200000000000263E-2</v>
      </c>
      <c r="O277" s="84">
        <v>5037208.7039999999</v>
      </c>
      <c r="P277" s="86">
        <v>135.3357</v>
      </c>
      <c r="Q277" s="74"/>
      <c r="R277" s="84">
        <v>24303.118997938</v>
      </c>
      <c r="S277" s="85">
        <v>5.0372087040000003E-3</v>
      </c>
      <c r="T277" s="85">
        <f t="shared" si="7"/>
        <v>5.5881144200906653E-3</v>
      </c>
      <c r="U277" s="85">
        <f>R277/'סכום נכסי הקרן'!$C$42</f>
        <v>4.6655066054164757E-4</v>
      </c>
    </row>
    <row r="278" spans="2:21" s="122" customFormat="1">
      <c r="B278" s="77" t="s">
        <v>1140</v>
      </c>
      <c r="C278" s="74" t="s">
        <v>1141</v>
      </c>
      <c r="D278" s="87" t="s">
        <v>28</v>
      </c>
      <c r="E278" s="87" t="s">
        <v>955</v>
      </c>
      <c r="F278" s="74"/>
      <c r="G278" s="87" t="s">
        <v>993</v>
      </c>
      <c r="H278" s="74" t="s">
        <v>981</v>
      </c>
      <c r="I278" s="74" t="s">
        <v>959</v>
      </c>
      <c r="J278" s="74"/>
      <c r="K278" s="84">
        <v>8.61</v>
      </c>
      <c r="L278" s="87" t="s">
        <v>164</v>
      </c>
      <c r="M278" s="88">
        <v>3.3750000000000002E-2</v>
      </c>
      <c r="N278" s="88">
        <v>3.1030000000000002E-2</v>
      </c>
      <c r="O278" s="84">
        <v>5037208.7039999999</v>
      </c>
      <c r="P278" s="86">
        <v>101.26600000000001</v>
      </c>
      <c r="Q278" s="74"/>
      <c r="R278" s="84">
        <v>18184.992866477001</v>
      </c>
      <c r="S278" s="131">
        <f>5037208.704/1000000000</f>
        <v>5.0372087040000003E-3</v>
      </c>
      <c r="T278" s="85">
        <f t="shared" si="7"/>
        <v>4.1813489402338835E-3</v>
      </c>
      <c r="U278" s="85">
        <f>R278/'סכום נכסי הקרן'!$C$42</f>
        <v>3.4910006549035286E-4</v>
      </c>
    </row>
    <row r="279" spans="2:21" s="122" customFormat="1">
      <c r="B279" s="77" t="s">
        <v>978</v>
      </c>
      <c r="C279" s="74" t="s">
        <v>979</v>
      </c>
      <c r="D279" s="87" t="s">
        <v>28</v>
      </c>
      <c r="E279" s="87" t="s">
        <v>955</v>
      </c>
      <c r="F279" s="74"/>
      <c r="G279" s="87" t="s">
        <v>980</v>
      </c>
      <c r="H279" s="74" t="s">
        <v>981</v>
      </c>
      <c r="I279" s="74" t="s">
        <v>349</v>
      </c>
      <c r="J279" s="74"/>
      <c r="K279" s="84">
        <v>18.95000000000018</v>
      </c>
      <c r="L279" s="87" t="s">
        <v>164</v>
      </c>
      <c r="M279" s="88">
        <v>4.2000000000000003E-2</v>
      </c>
      <c r="N279" s="88">
        <v>2.7200000000000338E-2</v>
      </c>
      <c r="O279" s="84">
        <v>5953064.8320000004</v>
      </c>
      <c r="P279" s="86">
        <v>128.3733</v>
      </c>
      <c r="Q279" s="74"/>
      <c r="R279" s="84">
        <v>27244.256768638999</v>
      </c>
      <c r="S279" s="85">
        <v>4.7624518656000005E-3</v>
      </c>
      <c r="T279" s="85">
        <f t="shared" si="7"/>
        <v>6.2643821201057142E-3</v>
      </c>
      <c r="U279" s="85">
        <f>R279/'סכום נכסי הקרן'!$C$42</f>
        <v>5.2301212829732795E-4</v>
      </c>
    </row>
    <row r="280" spans="2:21" s="122" customFormat="1">
      <c r="B280" s="77" t="s">
        <v>982</v>
      </c>
      <c r="C280" s="74" t="s">
        <v>983</v>
      </c>
      <c r="D280" s="87" t="s">
        <v>28</v>
      </c>
      <c r="E280" s="87" t="s">
        <v>955</v>
      </c>
      <c r="F280" s="74"/>
      <c r="G280" s="87" t="s">
        <v>984</v>
      </c>
      <c r="H280" s="74" t="s">
        <v>981</v>
      </c>
      <c r="I280" s="74" t="s">
        <v>349</v>
      </c>
      <c r="J280" s="74"/>
      <c r="K280" s="84">
        <v>17.949999999999932</v>
      </c>
      <c r="L280" s="87" t="s">
        <v>164</v>
      </c>
      <c r="M280" s="88">
        <v>4.7E-2</v>
      </c>
      <c r="N280" s="88">
        <v>3.080000000000006E-2</v>
      </c>
      <c r="O280" s="84">
        <v>5953064.8320000004</v>
      </c>
      <c r="P280" s="86">
        <v>128.51240000000001</v>
      </c>
      <c r="Q280" s="74"/>
      <c r="R280" s="84">
        <v>27273.768075522999</v>
      </c>
      <c r="S280" s="85">
        <v>3.4017513325714289E-3</v>
      </c>
      <c r="T280" s="85">
        <f t="shared" si="7"/>
        <v>6.2711677742255901E-3</v>
      </c>
      <c r="U280" s="85">
        <f>R280/'סכום נכסי הקרן'!$C$42</f>
        <v>5.23578661330448E-4</v>
      </c>
    </row>
    <row r="281" spans="2:21" s="122" customFormat="1">
      <c r="B281" s="77" t="s">
        <v>1021</v>
      </c>
      <c r="C281" s="74" t="s">
        <v>1022</v>
      </c>
      <c r="D281" s="87" t="s">
        <v>28</v>
      </c>
      <c r="E281" s="87" t="s">
        <v>955</v>
      </c>
      <c r="F281" s="74"/>
      <c r="G281" s="87" t="s">
        <v>993</v>
      </c>
      <c r="H281" s="130" t="s">
        <v>988</v>
      </c>
      <c r="I281" s="74" t="s">
        <v>959</v>
      </c>
      <c r="J281" s="74"/>
      <c r="K281" s="74">
        <v>8.51</v>
      </c>
      <c r="L281" s="87" t="s">
        <v>164</v>
      </c>
      <c r="M281" s="88">
        <v>3.6000000000000004E-2</v>
      </c>
      <c r="N281" s="145">
        <v>3.3769999999999994E-2</v>
      </c>
      <c r="O281" s="84">
        <v>4579280.6399999997</v>
      </c>
      <c r="P281" s="86">
        <v>101.93</v>
      </c>
      <c r="Q281" s="74"/>
      <c r="R281" s="84">
        <v>16640.210596395002</v>
      </c>
      <c r="S281" s="131">
        <f>4579280.64/1000000000</f>
        <v>4.5792806399999999E-3</v>
      </c>
      <c r="T281" s="85">
        <f t="shared" si="7"/>
        <v>3.8261509065955659E-3</v>
      </c>
      <c r="U281" s="85">
        <f>R281/'סכום נכסי הקרן'!$C$42</f>
        <v>3.1944464601267461E-4</v>
      </c>
    </row>
    <row r="282" spans="2:21" s="122" customFormat="1">
      <c r="B282" s="77" t="s">
        <v>985</v>
      </c>
      <c r="C282" s="74" t="s">
        <v>986</v>
      </c>
      <c r="D282" s="87" t="s">
        <v>28</v>
      </c>
      <c r="E282" s="87" t="s">
        <v>955</v>
      </c>
      <c r="F282" s="74"/>
      <c r="G282" s="87" t="s">
        <v>987</v>
      </c>
      <c r="H282" s="74" t="s">
        <v>988</v>
      </c>
      <c r="I282" s="74" t="s">
        <v>349</v>
      </c>
      <c r="J282" s="74"/>
      <c r="K282" s="84">
        <v>8.2699999999998131</v>
      </c>
      <c r="L282" s="87" t="s">
        <v>164</v>
      </c>
      <c r="M282" s="88">
        <v>3.95E-2</v>
      </c>
      <c r="N282" s="88">
        <v>2.959999999999929E-2</v>
      </c>
      <c r="O282" s="84">
        <v>3205496.4480000003</v>
      </c>
      <c r="P282" s="86">
        <v>107.72490000000001</v>
      </c>
      <c r="Q282" s="74"/>
      <c r="R282" s="84">
        <v>12310.363837653</v>
      </c>
      <c r="S282" s="85">
        <v>6.4109928960000007E-3</v>
      </c>
      <c r="T282" s="85">
        <f t="shared" si="7"/>
        <v>2.8305717337592773E-3</v>
      </c>
      <c r="U282" s="85">
        <f>R282/'סכום נכסי הקרן'!$C$42</f>
        <v>2.3632392124041027E-4</v>
      </c>
    </row>
    <row r="283" spans="2:21" s="122" customFormat="1">
      <c r="B283" s="77" t="s">
        <v>989</v>
      </c>
      <c r="C283" s="74" t="s">
        <v>990</v>
      </c>
      <c r="D283" s="87" t="s">
        <v>28</v>
      </c>
      <c r="E283" s="87" t="s">
        <v>955</v>
      </c>
      <c r="F283" s="74"/>
      <c r="G283" s="87" t="s">
        <v>984</v>
      </c>
      <c r="H283" s="74" t="s">
        <v>988</v>
      </c>
      <c r="I283" s="74" t="s">
        <v>349</v>
      </c>
      <c r="J283" s="74"/>
      <c r="K283" s="84">
        <v>14.299999999999777</v>
      </c>
      <c r="L283" s="87" t="s">
        <v>164</v>
      </c>
      <c r="M283" s="88">
        <v>3.7499999999999999E-2</v>
      </c>
      <c r="N283" s="88">
        <v>3.0299999999999442E-2</v>
      </c>
      <c r="O283" s="84">
        <v>3777906.5279999999</v>
      </c>
      <c r="P283" s="86">
        <v>109.5137</v>
      </c>
      <c r="Q283" s="74"/>
      <c r="R283" s="84">
        <v>14749.559925861</v>
      </c>
      <c r="S283" s="85">
        <v>4.7223831599999995E-3</v>
      </c>
      <c r="T283" s="85">
        <f t="shared" si="7"/>
        <v>3.3914259531333561E-3</v>
      </c>
      <c r="U283" s="85">
        <f>R283/'סכום נכסי הקרן'!$C$42</f>
        <v>2.831495384066925E-4</v>
      </c>
    </row>
    <row r="284" spans="2:21" s="122" customFormat="1">
      <c r="B284" s="77" t="s">
        <v>1154</v>
      </c>
      <c r="C284" s="74" t="s">
        <v>1155</v>
      </c>
      <c r="D284" s="87" t="s">
        <v>28</v>
      </c>
      <c r="E284" s="87" t="s">
        <v>955</v>
      </c>
      <c r="F284" s="74"/>
      <c r="G284" s="87" t="s">
        <v>972</v>
      </c>
      <c r="H284" s="74" t="s">
        <v>988</v>
      </c>
      <c r="I284" s="74" t="s">
        <v>349</v>
      </c>
      <c r="J284" s="74"/>
      <c r="K284" s="74">
        <v>20.92</v>
      </c>
      <c r="L284" s="87" t="s">
        <v>164</v>
      </c>
      <c r="M284" s="88">
        <v>3.85E-2</v>
      </c>
      <c r="N284" s="85">
        <v>3.7379999999999997E-2</v>
      </c>
      <c r="O284" s="84">
        <v>6182028.8640000001</v>
      </c>
      <c r="P284" s="86">
        <v>101.96</v>
      </c>
      <c r="Q284" s="74"/>
      <c r="R284" s="84">
        <v>22470.895985002997</v>
      </c>
      <c r="S284" s="131">
        <f>6182028.864/3500000000</f>
        <v>1.7662939611428571E-3</v>
      </c>
      <c r="T284" s="85">
        <f>R284/$R$11</f>
        <v>5.1668239741905833E-3</v>
      </c>
      <c r="U284" s="85">
        <f>R284/'סכום נכסי הקרן'!$C$42</f>
        <v>4.3137719753811454E-4</v>
      </c>
    </row>
    <row r="285" spans="2:21" s="122" customFormat="1">
      <c r="B285" s="77" t="s">
        <v>991</v>
      </c>
      <c r="C285" s="74" t="s">
        <v>992</v>
      </c>
      <c r="D285" s="87" t="s">
        <v>28</v>
      </c>
      <c r="E285" s="87" t="s">
        <v>955</v>
      </c>
      <c r="F285" s="74"/>
      <c r="G285" s="87" t="s">
        <v>993</v>
      </c>
      <c r="H285" s="74" t="s">
        <v>988</v>
      </c>
      <c r="I285" s="74" t="s">
        <v>349</v>
      </c>
      <c r="J285" s="74"/>
      <c r="K285" s="84">
        <v>4.0099999999939762</v>
      </c>
      <c r="L285" s="87" t="s">
        <v>164</v>
      </c>
      <c r="M285" s="88">
        <v>4.4999999999999998E-2</v>
      </c>
      <c r="N285" s="88">
        <v>6.6600000000040155E-2</v>
      </c>
      <c r="O285" s="84">
        <v>2976.532416</v>
      </c>
      <c r="P285" s="86">
        <v>93.861000000000004</v>
      </c>
      <c r="Q285" s="74"/>
      <c r="R285" s="84">
        <v>9.959910206</v>
      </c>
      <c r="S285" s="85">
        <v>5.9530648320000001E-6</v>
      </c>
      <c r="T285" s="85">
        <f t="shared" si="7"/>
        <v>2.2901224262482121E-6</v>
      </c>
      <c r="U285" s="85">
        <f>R285/'סכום נכסי הקרן'!$C$42</f>
        <v>1.9120190646883866E-7</v>
      </c>
    </row>
    <row r="286" spans="2:21" s="122" customFormat="1">
      <c r="B286" s="77" t="s">
        <v>994</v>
      </c>
      <c r="C286" s="74" t="s">
        <v>995</v>
      </c>
      <c r="D286" s="87" t="s">
        <v>28</v>
      </c>
      <c r="E286" s="87" t="s">
        <v>955</v>
      </c>
      <c r="F286" s="74"/>
      <c r="G286" s="87" t="s">
        <v>993</v>
      </c>
      <c r="H286" s="74" t="s">
        <v>988</v>
      </c>
      <c r="I286" s="74" t="s">
        <v>349</v>
      </c>
      <c r="J286" s="74"/>
      <c r="K286" s="84">
        <v>6.5600000000001222</v>
      </c>
      <c r="L286" s="87" t="s">
        <v>164</v>
      </c>
      <c r="M286" s="88">
        <v>5.1249999999999997E-2</v>
      </c>
      <c r="N286" s="88">
        <v>5.6700000000001423E-2</v>
      </c>
      <c r="O286" s="84">
        <v>2755582.1251200004</v>
      </c>
      <c r="P286" s="86">
        <v>99.882599999999996</v>
      </c>
      <c r="Q286" s="74"/>
      <c r="R286" s="84">
        <v>9812.1170440799997</v>
      </c>
      <c r="S286" s="85">
        <v>5.5111642502400013E-3</v>
      </c>
      <c r="T286" s="85">
        <f t="shared" si="7"/>
        <v>2.2561397469309597E-3</v>
      </c>
      <c r="U286" s="85">
        <f>R286/'סכום נכסי הקרן'!$C$42</f>
        <v>1.8836469872924092E-4</v>
      </c>
    </row>
    <row r="287" spans="2:21" s="122" customFormat="1">
      <c r="B287" s="77" t="s">
        <v>1142</v>
      </c>
      <c r="C287" s="74" t="s">
        <v>1143</v>
      </c>
      <c r="D287" s="87" t="s">
        <v>28</v>
      </c>
      <c r="E287" s="87" t="s">
        <v>955</v>
      </c>
      <c r="F287" s="74"/>
      <c r="G287" s="87" t="s">
        <v>980</v>
      </c>
      <c r="H287" s="74" t="s">
        <v>3494</v>
      </c>
      <c r="I287" s="74" t="s">
        <v>931</v>
      </c>
      <c r="J287" s="74"/>
      <c r="K287" s="132">
        <v>14.57</v>
      </c>
      <c r="L287" s="87" t="s">
        <v>166</v>
      </c>
      <c r="M287" s="88">
        <v>3.7000000000000005E-2</v>
      </c>
      <c r="N287" s="145">
        <v>3.5400000000000001E-2</v>
      </c>
      <c r="O287" s="84">
        <v>2976532.4160000002</v>
      </c>
      <c r="P287" s="86">
        <v>102.59</v>
      </c>
      <c r="Q287" s="74"/>
      <c r="R287" s="84">
        <v>11910.052049122</v>
      </c>
      <c r="S287" s="131">
        <f>2976532.416/1750000000</f>
        <v>1.7008756662857144E-3</v>
      </c>
      <c r="T287" s="85">
        <f>R287/$R$11</f>
        <v>2.7385264255742592E-3</v>
      </c>
      <c r="U287" s="85">
        <f>R287/'סכום נכסי הקרן'!$C$42</f>
        <v>2.2863907513577685E-4</v>
      </c>
    </row>
    <row r="288" spans="2:21" s="122" customFormat="1">
      <c r="B288" s="77" t="s">
        <v>1010</v>
      </c>
      <c r="C288" s="74" t="s">
        <v>1011</v>
      </c>
      <c r="D288" s="87" t="s">
        <v>28</v>
      </c>
      <c r="E288" s="87" t="s">
        <v>955</v>
      </c>
      <c r="F288" s="74"/>
      <c r="G288" s="87" t="s">
        <v>998</v>
      </c>
      <c r="H288" s="74" t="s">
        <v>999</v>
      </c>
      <c r="I288" s="74" t="s">
        <v>959</v>
      </c>
      <c r="J288" s="74"/>
      <c r="K288" s="84">
        <v>8.0100000000001419</v>
      </c>
      <c r="L288" s="87" t="s">
        <v>164</v>
      </c>
      <c r="M288" s="88">
        <v>3.61E-2</v>
      </c>
      <c r="N288" s="88">
        <v>4.5500000000000845E-2</v>
      </c>
      <c r="O288" s="84">
        <v>6868920.96</v>
      </c>
      <c r="P288" s="86">
        <v>91.3155</v>
      </c>
      <c r="Q288" s="74"/>
      <c r="R288" s="84">
        <v>22361.075436282001</v>
      </c>
      <c r="S288" s="85">
        <v>5.4951367679999998E-3</v>
      </c>
      <c r="T288" s="85">
        <f>R288/$R$11</f>
        <v>5.1415724913672417E-3</v>
      </c>
      <c r="U288" s="85">
        <f>R288/'סכום נכסי הקרן'!$C$42</f>
        <v>4.2926895581197336E-4</v>
      </c>
    </row>
    <row r="289" spans="2:21" s="122" customFormat="1">
      <c r="B289" s="77" t="s">
        <v>1148</v>
      </c>
      <c r="C289" s="74" t="s">
        <v>1149</v>
      </c>
      <c r="D289" s="87" t="s">
        <v>28</v>
      </c>
      <c r="E289" s="87" t="s">
        <v>955</v>
      </c>
      <c r="F289" s="74"/>
      <c r="G289" s="87" t="s">
        <v>1150</v>
      </c>
      <c r="H289" s="74" t="s">
        <v>999</v>
      </c>
      <c r="I289" s="74" t="s">
        <v>959</v>
      </c>
      <c r="J289" s="74"/>
      <c r="K289" s="84">
        <v>16.809999999999999</v>
      </c>
      <c r="L289" s="87" t="s">
        <v>164</v>
      </c>
      <c r="M289" s="88">
        <v>5.1249999999999997E-2</v>
      </c>
      <c r="N289" s="88">
        <v>3.9300000000000002E-2</v>
      </c>
      <c r="O289" s="84">
        <v>4006870.56</v>
      </c>
      <c r="P289" s="86">
        <v>118.6579</v>
      </c>
      <c r="Q289" s="74"/>
      <c r="R289" s="84">
        <v>16949.686418683999</v>
      </c>
      <c r="S289" s="85">
        <v>3.2054964479999999E-3</v>
      </c>
      <c r="T289" s="85">
        <f t="shared" si="7"/>
        <v>3.8973099337701969E-3</v>
      </c>
      <c r="U289" s="85">
        <f>R289/'סכום נכסי הקרן'!$C$42</f>
        <v>3.2538570029969234E-4</v>
      </c>
    </row>
    <row r="290" spans="2:21" s="122" customFormat="1">
      <c r="B290" s="77" t="s">
        <v>1151</v>
      </c>
      <c r="C290" s="74" t="s">
        <v>1152</v>
      </c>
      <c r="D290" s="87" t="s">
        <v>28</v>
      </c>
      <c r="E290" s="87" t="s">
        <v>955</v>
      </c>
      <c r="F290" s="74"/>
      <c r="G290" s="87" t="s">
        <v>1153</v>
      </c>
      <c r="H290" s="74" t="s">
        <v>999</v>
      </c>
      <c r="I290" s="74" t="s">
        <v>959</v>
      </c>
      <c r="J290" s="74"/>
      <c r="K290" s="84">
        <v>17.93</v>
      </c>
      <c r="L290" s="87" t="s">
        <v>164</v>
      </c>
      <c r="M290" s="88">
        <v>4.2000000000000003E-2</v>
      </c>
      <c r="N290" s="88">
        <v>3.6000000000000004E-2</v>
      </c>
      <c r="O290" s="84">
        <v>7326849.0240000002</v>
      </c>
      <c r="P290" s="86">
        <v>109.762</v>
      </c>
      <c r="Q290" s="74"/>
      <c r="R290" s="84">
        <v>28670.072331702006</v>
      </c>
      <c r="S290" s="85">
        <v>9.7691320319999997E-3</v>
      </c>
      <c r="T290" s="85">
        <f t="shared" si="7"/>
        <v>6.592225657761029E-3</v>
      </c>
      <c r="U290" s="85">
        <f>R290/'סכום נכסי הקרן'!$C$42</f>
        <v>5.5038372586116522E-4</v>
      </c>
    </row>
    <row r="291" spans="2:21" s="122" customFormat="1">
      <c r="B291" s="77" t="s">
        <v>996</v>
      </c>
      <c r="C291" s="74" t="s">
        <v>997</v>
      </c>
      <c r="D291" s="87" t="s">
        <v>28</v>
      </c>
      <c r="E291" s="87" t="s">
        <v>955</v>
      </c>
      <c r="F291" s="74"/>
      <c r="G291" s="87" t="s">
        <v>998</v>
      </c>
      <c r="H291" s="74" t="s">
        <v>999</v>
      </c>
      <c r="I291" s="74" t="s">
        <v>959</v>
      </c>
      <c r="J291" s="74"/>
      <c r="K291" s="84">
        <v>7.8100000000001932</v>
      </c>
      <c r="L291" s="87" t="s">
        <v>164</v>
      </c>
      <c r="M291" s="88">
        <v>3.9329999999999997E-2</v>
      </c>
      <c r="N291" s="88">
        <v>4.4800000000001165E-2</v>
      </c>
      <c r="O291" s="84">
        <v>5987409.4368000003</v>
      </c>
      <c r="P291" s="86">
        <v>94.868700000000004</v>
      </c>
      <c r="Q291" s="74"/>
      <c r="R291" s="84">
        <v>20249.822108667999</v>
      </c>
      <c r="S291" s="85">
        <v>3.9916062911999999E-3</v>
      </c>
      <c r="T291" s="85">
        <f t="shared" si="7"/>
        <v>4.6561234769627443E-3</v>
      </c>
      <c r="U291" s="85">
        <f>R291/'סכום נכסי הקרן'!$C$42</f>
        <v>3.887389055475346E-4</v>
      </c>
    </row>
    <row r="292" spans="2:21" s="122" customFormat="1">
      <c r="B292" s="77" t="s">
        <v>1000</v>
      </c>
      <c r="C292" s="74" t="s">
        <v>1001</v>
      </c>
      <c r="D292" s="87" t="s">
        <v>28</v>
      </c>
      <c r="E292" s="87" t="s">
        <v>955</v>
      </c>
      <c r="F292" s="74"/>
      <c r="G292" s="87" t="s">
        <v>998</v>
      </c>
      <c r="H292" s="74" t="s">
        <v>999</v>
      </c>
      <c r="I292" s="74" t="s">
        <v>959</v>
      </c>
      <c r="J292" s="74"/>
      <c r="K292" s="84">
        <v>7.7300000000000653</v>
      </c>
      <c r="L292" s="87" t="s">
        <v>164</v>
      </c>
      <c r="M292" s="88">
        <v>4.1100000000000005E-2</v>
      </c>
      <c r="N292" s="88">
        <v>4.6300000000000424E-2</v>
      </c>
      <c r="O292" s="84">
        <v>5037208.7039999999</v>
      </c>
      <c r="P292" s="86">
        <v>94.728499999999997</v>
      </c>
      <c r="Q292" s="74"/>
      <c r="R292" s="84">
        <v>17011.011561156</v>
      </c>
      <c r="S292" s="85">
        <v>4.0297669631999995E-3</v>
      </c>
      <c r="T292" s="85">
        <f t="shared" si="7"/>
        <v>3.9114106717450629E-3</v>
      </c>
      <c r="U292" s="85">
        <f>R292/'סכום נכסי הקרן'!$C$42</f>
        <v>3.2656296835860074E-4</v>
      </c>
    </row>
    <row r="293" spans="2:21" s="122" customFormat="1">
      <c r="B293" s="77" t="s">
        <v>1002</v>
      </c>
      <c r="C293" s="74" t="s">
        <v>1003</v>
      </c>
      <c r="D293" s="87" t="s">
        <v>28</v>
      </c>
      <c r="E293" s="87" t="s">
        <v>955</v>
      </c>
      <c r="F293" s="74"/>
      <c r="G293" s="87" t="s">
        <v>987</v>
      </c>
      <c r="H293" s="74" t="s">
        <v>930</v>
      </c>
      <c r="I293" s="74" t="s">
        <v>931</v>
      </c>
      <c r="J293" s="74"/>
      <c r="K293" s="84">
        <v>15.810000000000088</v>
      </c>
      <c r="L293" s="87" t="s">
        <v>164</v>
      </c>
      <c r="M293" s="88">
        <v>4.4500000000000005E-2</v>
      </c>
      <c r="N293" s="88">
        <v>3.8100000000000148E-2</v>
      </c>
      <c r="O293" s="84">
        <v>7063998.3152639996</v>
      </c>
      <c r="P293" s="86">
        <v>109.70910000000001</v>
      </c>
      <c r="Q293" s="74"/>
      <c r="R293" s="84">
        <v>27628.214395917999</v>
      </c>
      <c r="S293" s="85">
        <v>3.531999157632E-3</v>
      </c>
      <c r="T293" s="85">
        <f t="shared" si="7"/>
        <v>6.3526670498665243E-3</v>
      </c>
      <c r="U293" s="85">
        <f>R293/'סכום נכסי הקרן'!$C$42</f>
        <v>5.3038302108858741E-4</v>
      </c>
    </row>
    <row r="294" spans="2:21" s="122" customFormat="1">
      <c r="B294" s="77" t="s">
        <v>1004</v>
      </c>
      <c r="C294" s="74" t="s">
        <v>1005</v>
      </c>
      <c r="D294" s="87" t="s">
        <v>28</v>
      </c>
      <c r="E294" s="87" t="s">
        <v>955</v>
      </c>
      <c r="F294" s="74"/>
      <c r="G294" s="87" t="s">
        <v>980</v>
      </c>
      <c r="H294" s="74" t="s">
        <v>1006</v>
      </c>
      <c r="I294" s="74" t="s">
        <v>349</v>
      </c>
      <c r="J294" s="74"/>
      <c r="K294" s="84">
        <v>15.570000000000105</v>
      </c>
      <c r="L294" s="87" t="s">
        <v>164</v>
      </c>
      <c r="M294" s="88">
        <v>5.5500000000000001E-2</v>
      </c>
      <c r="N294" s="88">
        <v>4.380000000000013E-2</v>
      </c>
      <c r="O294" s="84">
        <v>5724100.7999999998</v>
      </c>
      <c r="P294" s="86">
        <v>118.2829</v>
      </c>
      <c r="Q294" s="74"/>
      <c r="R294" s="84">
        <v>24137.307999256998</v>
      </c>
      <c r="S294" s="85">
        <v>1.4310251999999999E-3</v>
      </c>
      <c r="T294" s="85">
        <f t="shared" si="7"/>
        <v>5.5499888267124022E-3</v>
      </c>
      <c r="U294" s="85">
        <f>R294/'סכום נכסי הקרן'!$C$42</f>
        <v>4.6336756165766256E-4</v>
      </c>
    </row>
    <row r="295" spans="2:21" s="122" customFormat="1">
      <c r="B295" s="77" t="s">
        <v>1007</v>
      </c>
      <c r="C295" s="74" t="s">
        <v>1008</v>
      </c>
      <c r="D295" s="87" t="s">
        <v>28</v>
      </c>
      <c r="E295" s="87" t="s">
        <v>955</v>
      </c>
      <c r="F295" s="74"/>
      <c r="G295" s="87" t="s">
        <v>1009</v>
      </c>
      <c r="H295" s="74" t="s">
        <v>1006</v>
      </c>
      <c r="I295" s="74" t="s">
        <v>959</v>
      </c>
      <c r="J295" s="74"/>
      <c r="K295" s="84">
        <v>16.720000000000041</v>
      </c>
      <c r="L295" s="87" t="s">
        <v>164</v>
      </c>
      <c r="M295" s="88">
        <v>4.5499999999999999E-2</v>
      </c>
      <c r="N295" s="88">
        <v>4.0100000000000129E-2</v>
      </c>
      <c r="O295" s="84">
        <v>6868920.96</v>
      </c>
      <c r="P295" s="86">
        <v>106.9804</v>
      </c>
      <c r="Q295" s="74"/>
      <c r="R295" s="84">
        <v>26197.046940565</v>
      </c>
      <c r="S295" s="85">
        <v>2.7536506475503092E-3</v>
      </c>
      <c r="T295" s="85">
        <f t="shared" si="7"/>
        <v>6.0235929299767644E-3</v>
      </c>
      <c r="U295" s="85">
        <f>R295/'סכום נכסי הקרן'!$C$42</f>
        <v>5.0290868243693936E-4</v>
      </c>
    </row>
    <row r="296" spans="2:21" s="122" customFormat="1">
      <c r="B296" s="77" t="s">
        <v>1012</v>
      </c>
      <c r="C296" s="74" t="s">
        <v>1013</v>
      </c>
      <c r="D296" s="87" t="s">
        <v>28</v>
      </c>
      <c r="E296" s="87" t="s">
        <v>955</v>
      </c>
      <c r="F296" s="74"/>
      <c r="G296" s="87" t="s">
        <v>998</v>
      </c>
      <c r="H296" s="74" t="s">
        <v>1006</v>
      </c>
      <c r="I296" s="74" t="s">
        <v>349</v>
      </c>
      <c r="J296" s="74"/>
      <c r="K296" s="84">
        <v>3.0399999999928635</v>
      </c>
      <c r="L296" s="87" t="s">
        <v>164</v>
      </c>
      <c r="M296" s="88">
        <v>6.5000000000000002E-2</v>
      </c>
      <c r="N296" s="88">
        <v>5.7799999999755318E-2</v>
      </c>
      <c r="O296" s="84">
        <v>10761.309503999999</v>
      </c>
      <c r="P296" s="86">
        <v>102.2689</v>
      </c>
      <c r="Q296" s="74"/>
      <c r="R296" s="84">
        <v>39.234523232000001</v>
      </c>
      <c r="S296" s="85">
        <v>4.3045238015999995E-6</v>
      </c>
      <c r="T296" s="85">
        <f t="shared" si="7"/>
        <v>9.0213525702904004E-6</v>
      </c>
      <c r="U296" s="85">
        <f>R296/'סכום נכסי הקרן'!$C$42</f>
        <v>7.5319109170634842E-7</v>
      </c>
    </row>
    <row r="297" spans="2:21" s="122" customFormat="1">
      <c r="B297" s="77" t="s">
        <v>1014</v>
      </c>
      <c r="C297" s="74" t="s">
        <v>1015</v>
      </c>
      <c r="D297" s="87" t="s">
        <v>28</v>
      </c>
      <c r="E297" s="87" t="s">
        <v>955</v>
      </c>
      <c r="F297" s="74"/>
      <c r="G297" s="87" t="s">
        <v>1016</v>
      </c>
      <c r="H297" s="74" t="s">
        <v>1006</v>
      </c>
      <c r="I297" s="74" t="s">
        <v>959</v>
      </c>
      <c r="J297" s="74"/>
      <c r="K297" s="84">
        <v>13.919999999999524</v>
      </c>
      <c r="L297" s="87" t="s">
        <v>164</v>
      </c>
      <c r="M297" s="88">
        <v>5.0999999999999997E-2</v>
      </c>
      <c r="N297" s="88">
        <v>5.0499999999998456E-2</v>
      </c>
      <c r="O297" s="84">
        <v>2747568.3840000005</v>
      </c>
      <c r="P297" s="86">
        <v>98.911500000000004</v>
      </c>
      <c r="Q297" s="74"/>
      <c r="R297" s="84">
        <v>9688.4618291299994</v>
      </c>
      <c r="S297" s="85">
        <v>3.6634245120000008E-3</v>
      </c>
      <c r="T297" s="85">
        <f t="shared" si="7"/>
        <v>2.2277072033615466E-3</v>
      </c>
      <c r="U297" s="85">
        <f>R297/'סכום נכסי הקרן'!$C$42</f>
        <v>1.8599087081771907E-4</v>
      </c>
    </row>
    <row r="298" spans="2:21" s="122" customFormat="1">
      <c r="B298" s="77" t="s">
        <v>1017</v>
      </c>
      <c r="C298" s="74" t="s">
        <v>1018</v>
      </c>
      <c r="D298" s="87" t="s">
        <v>28</v>
      </c>
      <c r="E298" s="87" t="s">
        <v>955</v>
      </c>
      <c r="F298" s="74"/>
      <c r="G298" s="87" t="s">
        <v>993</v>
      </c>
      <c r="H298" s="74" t="s">
        <v>1006</v>
      </c>
      <c r="I298" s="74" t="s">
        <v>349</v>
      </c>
      <c r="J298" s="74"/>
      <c r="K298" s="84">
        <v>6.269999999999893</v>
      </c>
      <c r="L298" s="87" t="s">
        <v>164</v>
      </c>
      <c r="M298" s="88">
        <v>4.4999999999999998E-2</v>
      </c>
      <c r="N298" s="88">
        <v>7.6599999999998128E-2</v>
      </c>
      <c r="O298" s="84">
        <v>4144248.9791999999</v>
      </c>
      <c r="P298" s="86">
        <v>81.34</v>
      </c>
      <c r="Q298" s="74"/>
      <c r="R298" s="84">
        <v>12017.373006664</v>
      </c>
      <c r="S298" s="85">
        <v>5.5256653056000001E-3</v>
      </c>
      <c r="T298" s="85">
        <f t="shared" si="7"/>
        <v>2.7632031672907968E-3</v>
      </c>
      <c r="U298" s="85">
        <f>R298/'סכום נכסי הקרן'!$C$42</f>
        <v>2.3069933183103605E-4</v>
      </c>
    </row>
    <row r="299" spans="2:21" s="122" customFormat="1">
      <c r="B299" s="77" t="s">
        <v>1019</v>
      </c>
      <c r="C299" s="74" t="s">
        <v>1020</v>
      </c>
      <c r="D299" s="87" t="s">
        <v>28</v>
      </c>
      <c r="E299" s="87" t="s">
        <v>955</v>
      </c>
      <c r="F299" s="74"/>
      <c r="G299" s="87" t="s">
        <v>993</v>
      </c>
      <c r="H299" s="74" t="s">
        <v>1006</v>
      </c>
      <c r="I299" s="74" t="s">
        <v>349</v>
      </c>
      <c r="J299" s="74"/>
      <c r="K299" s="84">
        <v>4.6099999999998333</v>
      </c>
      <c r="L299" s="87" t="s">
        <v>164</v>
      </c>
      <c r="M299" s="88">
        <v>5.7500000000000002E-2</v>
      </c>
      <c r="N299" s="88">
        <v>5.689999999999789E-2</v>
      </c>
      <c r="O299" s="84">
        <v>1940470.1712</v>
      </c>
      <c r="P299" s="86">
        <v>103.4387</v>
      </c>
      <c r="Q299" s="74"/>
      <c r="R299" s="84">
        <v>7155.6592686790009</v>
      </c>
      <c r="S299" s="85">
        <v>2.7721002445714286E-3</v>
      </c>
      <c r="T299" s="85">
        <f t="shared" si="7"/>
        <v>1.6453296693298182E-3</v>
      </c>
      <c r="U299" s="85">
        <f>R299/'סכום נכסי הקרן'!$C$42</f>
        <v>1.3736827601002177E-4</v>
      </c>
    </row>
    <row r="300" spans="2:21" s="122" customFormat="1">
      <c r="B300" s="77" t="s">
        <v>1023</v>
      </c>
      <c r="C300" s="74" t="s">
        <v>1024</v>
      </c>
      <c r="D300" s="87" t="s">
        <v>28</v>
      </c>
      <c r="E300" s="87" t="s">
        <v>955</v>
      </c>
      <c r="F300" s="74"/>
      <c r="G300" s="87" t="s">
        <v>1025</v>
      </c>
      <c r="H300" s="74" t="s">
        <v>958</v>
      </c>
      <c r="I300" s="74" t="s">
        <v>349</v>
      </c>
      <c r="J300" s="74"/>
      <c r="K300" s="84">
        <v>7.6400000000001231</v>
      </c>
      <c r="L300" s="87" t="s">
        <v>164</v>
      </c>
      <c r="M300" s="88">
        <v>4.2500000000000003E-2</v>
      </c>
      <c r="N300" s="88">
        <v>6.4100000000000629E-2</v>
      </c>
      <c r="O300" s="84">
        <v>5037208.7039999999</v>
      </c>
      <c r="P300" s="86">
        <v>86.428600000000003</v>
      </c>
      <c r="Q300" s="74"/>
      <c r="R300" s="84">
        <v>15520.546641322</v>
      </c>
      <c r="S300" s="85">
        <v>8.3953478399999993E-3</v>
      </c>
      <c r="T300" s="85">
        <f t="shared" si="7"/>
        <v>3.5687020460797594E-3</v>
      </c>
      <c r="U300" s="85">
        <f>R300/'סכום נכסי הקרן'!$C$42</f>
        <v>2.9795028728989902E-4</v>
      </c>
    </row>
    <row r="301" spans="2:21" s="122" customFormat="1">
      <c r="B301" s="77" t="s">
        <v>1026</v>
      </c>
      <c r="C301" s="74" t="s">
        <v>1027</v>
      </c>
      <c r="D301" s="87" t="s">
        <v>28</v>
      </c>
      <c r="E301" s="87" t="s">
        <v>955</v>
      </c>
      <c r="F301" s="74"/>
      <c r="G301" s="87" t="s">
        <v>1025</v>
      </c>
      <c r="H301" s="74" t="s">
        <v>958</v>
      </c>
      <c r="I301" s="74" t="s">
        <v>349</v>
      </c>
      <c r="J301" s="74"/>
      <c r="K301" s="84">
        <v>5.3899999999999961</v>
      </c>
      <c r="L301" s="87" t="s">
        <v>164</v>
      </c>
      <c r="M301" s="88">
        <v>5.2499999999999998E-2</v>
      </c>
      <c r="N301" s="88">
        <v>6.1499999999999701E-2</v>
      </c>
      <c r="O301" s="84">
        <v>6378708.9674880002</v>
      </c>
      <c r="P301" s="86">
        <v>95.502399999999994</v>
      </c>
      <c r="Q301" s="74"/>
      <c r="R301" s="84">
        <v>21717.342636730998</v>
      </c>
      <c r="S301" s="85">
        <v>1.0631181612480001E-2</v>
      </c>
      <c r="T301" s="85">
        <f t="shared" si="7"/>
        <v>4.993556405853217E-3</v>
      </c>
      <c r="U301" s="85">
        <f>R301/'סכום נכסי הקרן'!$C$42</f>
        <v>4.1691111964829719E-4</v>
      </c>
    </row>
    <row r="302" spans="2:21" s="122" customFormat="1">
      <c r="B302" s="77" t="s">
        <v>1028</v>
      </c>
      <c r="C302" s="74" t="s">
        <v>1029</v>
      </c>
      <c r="D302" s="87" t="s">
        <v>28</v>
      </c>
      <c r="E302" s="87" t="s">
        <v>955</v>
      </c>
      <c r="F302" s="74"/>
      <c r="G302" s="87" t="s">
        <v>975</v>
      </c>
      <c r="H302" s="74" t="s">
        <v>958</v>
      </c>
      <c r="I302" s="74" t="s">
        <v>349</v>
      </c>
      <c r="J302" s="74"/>
      <c r="K302" s="84">
        <v>7.1399999999999713</v>
      </c>
      <c r="L302" s="87" t="s">
        <v>164</v>
      </c>
      <c r="M302" s="88">
        <v>4.7500000000000001E-2</v>
      </c>
      <c r="N302" s="88">
        <v>4.5799999999999688E-2</v>
      </c>
      <c r="O302" s="84">
        <v>6868920.96</v>
      </c>
      <c r="P302" s="86">
        <v>102.5301</v>
      </c>
      <c r="Q302" s="74"/>
      <c r="R302" s="84">
        <v>25107.262521491</v>
      </c>
      <c r="S302" s="85">
        <v>2.2896403199999999E-3</v>
      </c>
      <c r="T302" s="85">
        <f t="shared" si="7"/>
        <v>5.7730143919901694E-3</v>
      </c>
      <c r="U302" s="85">
        <f>R302/'סכום נכסי הקרן'!$C$42</f>
        <v>4.8198792569743984E-4</v>
      </c>
    </row>
    <row r="303" spans="2:21" s="122" customFormat="1">
      <c r="B303" s="77" t="s">
        <v>1030</v>
      </c>
      <c r="C303" s="74" t="s">
        <v>1031</v>
      </c>
      <c r="D303" s="87" t="s">
        <v>28</v>
      </c>
      <c r="E303" s="87" t="s">
        <v>955</v>
      </c>
      <c r="F303" s="74"/>
      <c r="G303" s="87" t="s">
        <v>1032</v>
      </c>
      <c r="H303" s="74" t="s">
        <v>958</v>
      </c>
      <c r="I303" s="74" t="s">
        <v>959</v>
      </c>
      <c r="J303" s="74"/>
      <c r="K303" s="74">
        <v>8.7899999999999991</v>
      </c>
      <c r="L303" s="87" t="s">
        <v>164</v>
      </c>
      <c r="M303" s="88">
        <v>3.3000000000000002E-2</v>
      </c>
      <c r="N303" s="88">
        <v>3.3300000000000003E-2</v>
      </c>
      <c r="O303" s="84">
        <v>3892388.5440000002</v>
      </c>
      <c r="P303" s="86">
        <v>99.926000000000002</v>
      </c>
      <c r="Q303" s="74"/>
      <c r="R303" s="84">
        <v>13866.096649142</v>
      </c>
      <c r="S303" s="131">
        <f>3892388.544/750000000</f>
        <v>5.1898513920000007E-3</v>
      </c>
      <c r="T303" s="85">
        <f t="shared" si="7"/>
        <v>3.1882876696614749E-3</v>
      </c>
      <c r="U303" s="85">
        <f>R303/'סכום נכסי הקרן'!$C$42</f>
        <v>2.6618955992193467E-4</v>
      </c>
    </row>
    <row r="304" spans="2:21" s="122" customFormat="1">
      <c r="B304" s="77" t="s">
        <v>1033</v>
      </c>
      <c r="C304" s="74" t="s">
        <v>1034</v>
      </c>
      <c r="D304" s="87" t="s">
        <v>28</v>
      </c>
      <c r="E304" s="87" t="s">
        <v>955</v>
      </c>
      <c r="F304" s="74"/>
      <c r="G304" s="87" t="s">
        <v>1035</v>
      </c>
      <c r="H304" s="74" t="s">
        <v>958</v>
      </c>
      <c r="I304" s="74" t="s">
        <v>349</v>
      </c>
      <c r="J304" s="74"/>
      <c r="K304" s="84">
        <v>7.5799999999998766</v>
      </c>
      <c r="L304" s="87" t="s">
        <v>164</v>
      </c>
      <c r="M304" s="88">
        <v>5.2999999999999999E-2</v>
      </c>
      <c r="N304" s="88">
        <v>5.3799999999998856E-2</v>
      </c>
      <c r="O304" s="84">
        <v>6571267.7183999987</v>
      </c>
      <c r="P304" s="86">
        <v>99.235299999999995</v>
      </c>
      <c r="Q304" s="74"/>
      <c r="R304" s="84">
        <v>23247.421232785997</v>
      </c>
      <c r="S304" s="85">
        <v>3.7550101247999994E-3</v>
      </c>
      <c r="T304" s="85">
        <f t="shared" si="7"/>
        <v>5.3453735642686644E-3</v>
      </c>
      <c r="U304" s="85">
        <f>R304/'סכום נכסי הקרן'!$C$42</f>
        <v>4.4628427046612695E-4</v>
      </c>
    </row>
    <row r="305" spans="2:21" s="122" customFormat="1">
      <c r="B305" s="77" t="s">
        <v>1036</v>
      </c>
      <c r="C305" s="74" t="s">
        <v>1037</v>
      </c>
      <c r="D305" s="87" t="s">
        <v>28</v>
      </c>
      <c r="E305" s="87" t="s">
        <v>955</v>
      </c>
      <c r="F305" s="74"/>
      <c r="G305" s="87" t="s">
        <v>957</v>
      </c>
      <c r="H305" s="74" t="s">
        <v>958</v>
      </c>
      <c r="I305" s="74" t="s">
        <v>349</v>
      </c>
      <c r="J305" s="74"/>
      <c r="K305" s="84">
        <v>6.910000000000001</v>
      </c>
      <c r="L305" s="87" t="s">
        <v>164</v>
      </c>
      <c r="M305" s="88">
        <v>5.2499999999999998E-2</v>
      </c>
      <c r="N305" s="88">
        <v>7.8800000000000023E-2</v>
      </c>
      <c r="O305" s="84">
        <v>7751806.2673920002</v>
      </c>
      <c r="P305" s="86">
        <v>85.625200000000007</v>
      </c>
      <c r="Q305" s="74"/>
      <c r="R305" s="84">
        <v>23662.699962767001</v>
      </c>
      <c r="S305" s="85">
        <v>5.1678708449279997E-3</v>
      </c>
      <c r="T305" s="85">
        <f t="shared" si="7"/>
        <v>5.4408602818196376E-3</v>
      </c>
      <c r="U305" s="85">
        <f>R305/'סכום נכסי הקרן'!$C$42</f>
        <v>4.542564392152481E-4</v>
      </c>
    </row>
    <row r="306" spans="2:21" s="122" customFormat="1">
      <c r="B306" s="77" t="s">
        <v>1038</v>
      </c>
      <c r="C306" s="74" t="s">
        <v>1039</v>
      </c>
      <c r="D306" s="87" t="s">
        <v>28</v>
      </c>
      <c r="E306" s="87" t="s">
        <v>955</v>
      </c>
      <c r="F306" s="74"/>
      <c r="G306" s="87" t="s">
        <v>1040</v>
      </c>
      <c r="H306" s="74" t="s">
        <v>958</v>
      </c>
      <c r="I306" s="74" t="s">
        <v>349</v>
      </c>
      <c r="J306" s="74"/>
      <c r="K306" s="84">
        <v>4.2999999999998293</v>
      </c>
      <c r="L306" s="87" t="s">
        <v>164</v>
      </c>
      <c r="M306" s="88">
        <v>4.1250000000000002E-2</v>
      </c>
      <c r="N306" s="88">
        <v>9.3499999999997335E-2</v>
      </c>
      <c r="O306" s="84">
        <v>3434460.48</v>
      </c>
      <c r="P306" s="86">
        <v>81.523600000000002</v>
      </c>
      <c r="Q306" s="74"/>
      <c r="R306" s="84">
        <v>9981.6265720390002</v>
      </c>
      <c r="S306" s="85">
        <v>7.3073627234042553E-3</v>
      </c>
      <c r="T306" s="85">
        <f t="shared" si="7"/>
        <v>2.2951157581010003E-3</v>
      </c>
      <c r="U306" s="85">
        <f>R306/'סכום נכסי הקרן'!$C$42</f>
        <v>1.9161879884059223E-4</v>
      </c>
    </row>
    <row r="307" spans="2:21" s="122" customFormat="1">
      <c r="B307" s="77" t="s">
        <v>1041</v>
      </c>
      <c r="C307" s="74" t="s">
        <v>1042</v>
      </c>
      <c r="D307" s="87" t="s">
        <v>28</v>
      </c>
      <c r="E307" s="87" t="s">
        <v>955</v>
      </c>
      <c r="F307" s="74"/>
      <c r="G307" s="87" t="s">
        <v>1040</v>
      </c>
      <c r="H307" s="74" t="s">
        <v>958</v>
      </c>
      <c r="I307" s="74" t="s">
        <v>349</v>
      </c>
      <c r="J307" s="74"/>
      <c r="K307" s="84">
        <v>4.4500000000000179</v>
      </c>
      <c r="L307" s="87" t="s">
        <v>164</v>
      </c>
      <c r="M307" s="88">
        <v>3.7499999999999999E-2</v>
      </c>
      <c r="N307" s="88">
        <v>5.1200000000000287E-2</v>
      </c>
      <c r="O307" s="84">
        <v>5724100.7999999998</v>
      </c>
      <c r="P307" s="86">
        <v>93.449799999999996</v>
      </c>
      <c r="Q307" s="74"/>
      <c r="R307" s="84">
        <v>19069.764871837</v>
      </c>
      <c r="S307" s="85">
        <v>1.5900279999999999E-2</v>
      </c>
      <c r="T307" s="85">
        <f t="shared" si="7"/>
        <v>4.3847881449739926E-3</v>
      </c>
      <c r="U307" s="85">
        <f>R307/'סכום נכסי הקרן'!$C$42</f>
        <v>3.6608516783727749E-4</v>
      </c>
    </row>
    <row r="308" spans="2:21" s="122" customFormat="1">
      <c r="B308" s="77" t="s">
        <v>1043</v>
      </c>
      <c r="C308" s="74" t="s">
        <v>1044</v>
      </c>
      <c r="D308" s="87" t="s">
        <v>28</v>
      </c>
      <c r="E308" s="87" t="s">
        <v>955</v>
      </c>
      <c r="F308" s="74"/>
      <c r="G308" s="87" t="s">
        <v>1045</v>
      </c>
      <c r="H308" s="74" t="s">
        <v>1046</v>
      </c>
      <c r="I308" s="74" t="s">
        <v>931</v>
      </c>
      <c r="J308" s="74"/>
      <c r="K308" s="84">
        <v>8.0299999999999745</v>
      </c>
      <c r="L308" s="87" t="s">
        <v>166</v>
      </c>
      <c r="M308" s="88">
        <v>2.8750000000000001E-2</v>
      </c>
      <c r="N308" s="88">
        <v>3.3900000000000013E-2</v>
      </c>
      <c r="O308" s="84">
        <v>4716659.0592</v>
      </c>
      <c r="P308" s="86">
        <v>97.579400000000007</v>
      </c>
      <c r="Q308" s="74"/>
      <c r="R308" s="84">
        <v>17951.092273782</v>
      </c>
      <c r="S308" s="85">
        <v>4.7166590591999997E-3</v>
      </c>
      <c r="T308" s="85">
        <f t="shared" si="7"/>
        <v>4.1275672311858564E-3</v>
      </c>
      <c r="U308" s="85">
        <f>R308/'סכום נכסי הקרן'!$C$42</f>
        <v>3.4460984034549822E-4</v>
      </c>
    </row>
    <row r="309" spans="2:21" s="122" customFormat="1">
      <c r="B309" s="77" t="s">
        <v>1047</v>
      </c>
      <c r="C309" s="74" t="s">
        <v>1048</v>
      </c>
      <c r="D309" s="87" t="s">
        <v>28</v>
      </c>
      <c r="E309" s="87" t="s">
        <v>955</v>
      </c>
      <c r="F309" s="74"/>
      <c r="G309" s="87" t="s">
        <v>980</v>
      </c>
      <c r="H309" s="74" t="s">
        <v>958</v>
      </c>
      <c r="I309" s="74" t="s">
        <v>349</v>
      </c>
      <c r="J309" s="74"/>
      <c r="K309" s="84">
        <v>15.549999999999946</v>
      </c>
      <c r="L309" s="87" t="s">
        <v>164</v>
      </c>
      <c r="M309" s="88">
        <v>4.2000000000000003E-2</v>
      </c>
      <c r="N309" s="88">
        <v>4.739999999999988E-2</v>
      </c>
      <c r="O309" s="84">
        <v>4579280.6399999997</v>
      </c>
      <c r="P309" s="86">
        <v>90.885999999999996</v>
      </c>
      <c r="Q309" s="74"/>
      <c r="R309" s="84">
        <v>14837.262633806999</v>
      </c>
      <c r="S309" s="85">
        <v>2.5440447999999999E-3</v>
      </c>
      <c r="T309" s="85">
        <f t="shared" si="7"/>
        <v>3.4115917913945118E-3</v>
      </c>
      <c r="U309" s="85">
        <f>R309/'סכום נכסי הקרן'!$C$42</f>
        <v>2.8483318058969664E-4</v>
      </c>
    </row>
    <row r="310" spans="2:21" s="122" customFormat="1">
      <c r="B310" s="77" t="s">
        <v>1049</v>
      </c>
      <c r="C310" s="74" t="s">
        <v>1050</v>
      </c>
      <c r="D310" s="87" t="s">
        <v>28</v>
      </c>
      <c r="E310" s="87" t="s">
        <v>955</v>
      </c>
      <c r="F310" s="74"/>
      <c r="G310" s="87" t="s">
        <v>1035</v>
      </c>
      <c r="H310" s="74" t="s">
        <v>958</v>
      </c>
      <c r="I310" s="74" t="s">
        <v>349</v>
      </c>
      <c r="J310" s="74"/>
      <c r="K310" s="84">
        <v>7.3199999999999381</v>
      </c>
      <c r="L310" s="87" t="s">
        <v>164</v>
      </c>
      <c r="M310" s="88">
        <v>4.5999999999999999E-2</v>
      </c>
      <c r="N310" s="88">
        <v>4.0399999999999478E-2</v>
      </c>
      <c r="O310" s="84">
        <v>4450831.8180480003</v>
      </c>
      <c r="P310" s="86">
        <v>105.7478</v>
      </c>
      <c r="Q310" s="74"/>
      <c r="R310" s="84">
        <v>16779.227711172</v>
      </c>
      <c r="S310" s="85">
        <v>5.5635397725600005E-3</v>
      </c>
      <c r="T310" s="85">
        <f t="shared" si="7"/>
        <v>3.8581156739075579E-3</v>
      </c>
      <c r="U310" s="85">
        <f>R310/'סכום נכסי הקרן'!$C$42</f>
        <v>3.2211337864453577E-4</v>
      </c>
    </row>
    <row r="311" spans="2:21" s="122" customFormat="1">
      <c r="B311" s="77" t="s">
        <v>1051</v>
      </c>
      <c r="C311" s="74" t="s">
        <v>1052</v>
      </c>
      <c r="D311" s="87" t="s">
        <v>28</v>
      </c>
      <c r="E311" s="87" t="s">
        <v>955</v>
      </c>
      <c r="F311" s="74"/>
      <c r="G311" s="87" t="s">
        <v>975</v>
      </c>
      <c r="H311" s="74" t="s">
        <v>958</v>
      </c>
      <c r="I311" s="74" t="s">
        <v>349</v>
      </c>
      <c r="J311" s="74"/>
      <c r="K311" s="84">
        <v>7.4699999999997306</v>
      </c>
      <c r="L311" s="87" t="s">
        <v>164</v>
      </c>
      <c r="M311" s="88">
        <v>4.2999999999999997E-2</v>
      </c>
      <c r="N311" s="88">
        <v>3.8199999999998846E-2</v>
      </c>
      <c r="O311" s="84">
        <v>3388667.6736000003</v>
      </c>
      <c r="P311" s="86">
        <v>104.7993</v>
      </c>
      <c r="Q311" s="74"/>
      <c r="R311" s="84">
        <v>12660.388528302999</v>
      </c>
      <c r="S311" s="85">
        <v>3.3886676736000002E-3</v>
      </c>
      <c r="T311" s="85">
        <f t="shared" si="7"/>
        <v>2.9110543261942233E-3</v>
      </c>
      <c r="U311" s="85">
        <f>R311/'סכום נכסי הקרן'!$C$42</f>
        <v>2.4304339830187301E-4</v>
      </c>
    </row>
    <row r="312" spans="2:21" s="122" customFormat="1">
      <c r="B312" s="77" t="s">
        <v>1053</v>
      </c>
      <c r="C312" s="74" t="s">
        <v>1054</v>
      </c>
      <c r="D312" s="87" t="s">
        <v>28</v>
      </c>
      <c r="E312" s="87" t="s">
        <v>955</v>
      </c>
      <c r="F312" s="74"/>
      <c r="G312" s="87" t="s">
        <v>1040</v>
      </c>
      <c r="H312" s="74" t="s">
        <v>958</v>
      </c>
      <c r="I312" s="74" t="s">
        <v>349</v>
      </c>
      <c r="J312" s="74"/>
      <c r="K312" s="84">
        <v>4.7600000000000389</v>
      </c>
      <c r="L312" s="87" t="s">
        <v>164</v>
      </c>
      <c r="M312" s="88">
        <v>3.7499999999999999E-2</v>
      </c>
      <c r="N312" s="88">
        <v>8.0200000000000798E-2</v>
      </c>
      <c r="O312" s="84">
        <v>12593021.76</v>
      </c>
      <c r="P312" s="86">
        <v>80.758300000000006</v>
      </c>
      <c r="Q312" s="74"/>
      <c r="R312" s="84">
        <v>36255.745152655996</v>
      </c>
      <c r="S312" s="85">
        <v>2.518604352E-2</v>
      </c>
      <c r="T312" s="85">
        <f t="shared" si="7"/>
        <v>8.3364300819116655E-3</v>
      </c>
      <c r="U312" s="85">
        <f>R312/'סכום נכסי הקרן'!$C$42</f>
        <v>6.9600703723816102E-4</v>
      </c>
    </row>
    <row r="313" spans="2:21" s="122" customFormat="1">
      <c r="B313" s="77" t="s">
        <v>1055</v>
      </c>
      <c r="C313" s="74" t="s">
        <v>1056</v>
      </c>
      <c r="D313" s="87" t="s">
        <v>28</v>
      </c>
      <c r="E313" s="87" t="s">
        <v>955</v>
      </c>
      <c r="F313" s="74"/>
      <c r="G313" s="87" t="s">
        <v>1057</v>
      </c>
      <c r="H313" s="74" t="s">
        <v>958</v>
      </c>
      <c r="I313" s="74" t="s">
        <v>959</v>
      </c>
      <c r="J313" s="74"/>
      <c r="K313" s="132">
        <v>7.76</v>
      </c>
      <c r="L313" s="87" t="s">
        <v>164</v>
      </c>
      <c r="M313" s="88">
        <v>5.9500000000000004E-2</v>
      </c>
      <c r="N313" s="145">
        <v>5.1360000000000003E-2</v>
      </c>
      <c r="O313" s="84">
        <v>2289640.3199999998</v>
      </c>
      <c r="P313" s="86">
        <v>105.812</v>
      </c>
      <c r="Q313" s="74"/>
      <c r="R313" s="84">
        <v>8636.9761778949996</v>
      </c>
      <c r="S313" s="131">
        <f>2289640.32/1250000000</f>
        <v>1.8317122559999999E-3</v>
      </c>
      <c r="T313" s="85">
        <f t="shared" si="7"/>
        <v>1.9859348559240321E-3</v>
      </c>
      <c r="U313" s="85">
        <f>R313/'סכום נכסי הקרן'!$C$42</f>
        <v>1.6580534133175571E-4</v>
      </c>
    </row>
    <row r="314" spans="2:21" s="122" customFormat="1">
      <c r="B314" s="77" t="s">
        <v>1058</v>
      </c>
      <c r="C314" s="74" t="s">
        <v>1059</v>
      </c>
      <c r="D314" s="87" t="s">
        <v>28</v>
      </c>
      <c r="E314" s="87" t="s">
        <v>955</v>
      </c>
      <c r="F314" s="74"/>
      <c r="G314" s="87" t="s">
        <v>1060</v>
      </c>
      <c r="H314" s="74" t="s">
        <v>958</v>
      </c>
      <c r="I314" s="74" t="s">
        <v>959</v>
      </c>
      <c r="J314" s="74"/>
      <c r="K314" s="84">
        <v>5.6799999999998256</v>
      </c>
      <c r="L314" s="87" t="s">
        <v>164</v>
      </c>
      <c r="M314" s="88">
        <v>5.2999999999999999E-2</v>
      </c>
      <c r="N314" s="88">
        <v>0.10639999999999696</v>
      </c>
      <c r="O314" s="84">
        <v>7086436.7904000012</v>
      </c>
      <c r="P314" s="86">
        <v>72.843800000000002</v>
      </c>
      <c r="Q314" s="74"/>
      <c r="R314" s="84">
        <v>18402.644811415001</v>
      </c>
      <c r="S314" s="85">
        <v>4.7242911936000009E-3</v>
      </c>
      <c r="T314" s="85">
        <f t="shared" si="7"/>
        <v>4.231394532002249E-3</v>
      </c>
      <c r="U314" s="85">
        <f>R314/'סכום נכסי הקרן'!$C$42</f>
        <v>3.5327836288039625E-4</v>
      </c>
    </row>
    <row r="315" spans="2:21" s="122" customFormat="1">
      <c r="B315" s="77" t="s">
        <v>1061</v>
      </c>
      <c r="C315" s="74" t="s">
        <v>1062</v>
      </c>
      <c r="D315" s="87" t="s">
        <v>28</v>
      </c>
      <c r="E315" s="87" t="s">
        <v>955</v>
      </c>
      <c r="F315" s="74"/>
      <c r="G315" s="87" t="s">
        <v>1060</v>
      </c>
      <c r="H315" s="74" t="s">
        <v>958</v>
      </c>
      <c r="I315" s="74" t="s">
        <v>959</v>
      </c>
      <c r="J315" s="74"/>
      <c r="K315" s="84">
        <v>5.2299999999999791</v>
      </c>
      <c r="L315" s="87" t="s">
        <v>164</v>
      </c>
      <c r="M315" s="88">
        <v>5.8749999999999997E-2</v>
      </c>
      <c r="N315" s="88">
        <v>9.9899999999997199E-2</v>
      </c>
      <c r="O315" s="84">
        <v>1602748.2240000002</v>
      </c>
      <c r="P315" s="86">
        <v>80.807400000000001</v>
      </c>
      <c r="Q315" s="74"/>
      <c r="R315" s="84">
        <v>4617.1697064699993</v>
      </c>
      <c r="S315" s="85">
        <v>1.3356235200000001E-3</v>
      </c>
      <c r="T315" s="85">
        <f t="shared" si="7"/>
        <v>1.0616444999886599E-3</v>
      </c>
      <c r="U315" s="85">
        <f>R315/'סכום נכסי הקרן'!$C$42</f>
        <v>8.8636506967242841E-5</v>
      </c>
    </row>
    <row r="316" spans="2:21" s="122" customFormat="1">
      <c r="B316" s="77" t="s">
        <v>1063</v>
      </c>
      <c r="C316" s="74" t="s">
        <v>1064</v>
      </c>
      <c r="D316" s="87" t="s">
        <v>28</v>
      </c>
      <c r="E316" s="87" t="s">
        <v>955</v>
      </c>
      <c r="F316" s="74"/>
      <c r="G316" s="87" t="s">
        <v>1065</v>
      </c>
      <c r="H316" s="74" t="s">
        <v>958</v>
      </c>
      <c r="I316" s="74" t="s">
        <v>349</v>
      </c>
      <c r="J316" s="74"/>
      <c r="K316" s="84">
        <v>6.7300000000000928</v>
      </c>
      <c r="L316" s="87" t="s">
        <v>166</v>
      </c>
      <c r="M316" s="88">
        <v>4.6249999999999999E-2</v>
      </c>
      <c r="N316" s="88">
        <v>5.7800000000001052E-2</v>
      </c>
      <c r="O316" s="84">
        <v>6891817.3631999996</v>
      </c>
      <c r="P316" s="86">
        <v>95.543000000000006</v>
      </c>
      <c r="Q316" s="74"/>
      <c r="R316" s="84">
        <v>25682.100865794</v>
      </c>
      <c r="S316" s="85">
        <v>4.5945449087999995E-3</v>
      </c>
      <c r="T316" s="85">
        <f t="shared" si="7"/>
        <v>5.9051892968364642E-3</v>
      </c>
      <c r="U316" s="85">
        <f>R316/'סכום נכסי הקרן'!$C$42</f>
        <v>4.9302318455709431E-4</v>
      </c>
    </row>
    <row r="317" spans="2:21" s="122" customFormat="1">
      <c r="B317" s="77" t="s">
        <v>1066</v>
      </c>
      <c r="C317" s="74" t="s">
        <v>1067</v>
      </c>
      <c r="D317" s="87" t="s">
        <v>28</v>
      </c>
      <c r="E317" s="87" t="s">
        <v>955</v>
      </c>
      <c r="F317" s="74"/>
      <c r="G317" s="87" t="s">
        <v>1045</v>
      </c>
      <c r="H317" s="74" t="s">
        <v>1068</v>
      </c>
      <c r="I317" s="74" t="s">
        <v>959</v>
      </c>
      <c r="J317" s="74"/>
      <c r="K317" s="84">
        <v>6.7700000000000617</v>
      </c>
      <c r="L317" s="87" t="s">
        <v>166</v>
      </c>
      <c r="M317" s="88">
        <v>3.125E-2</v>
      </c>
      <c r="N317" s="88">
        <v>4.3100000000000256E-2</v>
      </c>
      <c r="O317" s="84">
        <v>6868920.96</v>
      </c>
      <c r="P317" s="86">
        <v>92.938400000000001</v>
      </c>
      <c r="Q317" s="74"/>
      <c r="R317" s="84">
        <v>24898.977584398002</v>
      </c>
      <c r="S317" s="85">
        <v>9.1585612799999997E-3</v>
      </c>
      <c r="T317" s="85">
        <f t="shared" si="7"/>
        <v>5.7251225942108056E-3</v>
      </c>
      <c r="U317" s="85">
        <f>R317/'סכום נכסי הקרן'!$C$42</f>
        <v>4.7798944817733802E-4</v>
      </c>
    </row>
    <row r="318" spans="2:21" s="122" customFormat="1">
      <c r="B318" s="77" t="s">
        <v>1069</v>
      </c>
      <c r="C318" s="74" t="s">
        <v>1070</v>
      </c>
      <c r="D318" s="87" t="s">
        <v>28</v>
      </c>
      <c r="E318" s="87" t="s">
        <v>955</v>
      </c>
      <c r="F318" s="74"/>
      <c r="G318" s="87" t="s">
        <v>957</v>
      </c>
      <c r="H318" s="74" t="s">
        <v>1071</v>
      </c>
      <c r="I318" s="74" t="s">
        <v>931</v>
      </c>
      <c r="J318" s="74"/>
      <c r="K318" s="84">
        <v>7.770000000000099</v>
      </c>
      <c r="L318" s="87" t="s">
        <v>164</v>
      </c>
      <c r="M318" s="88">
        <v>3.7000000000000005E-2</v>
      </c>
      <c r="N318" s="88">
        <v>7.2800000000000448E-2</v>
      </c>
      <c r="O318" s="84">
        <v>3548942.4959999998</v>
      </c>
      <c r="P318" s="86">
        <v>76.934100000000001</v>
      </c>
      <c r="Q318" s="74"/>
      <c r="R318" s="84">
        <v>9733.6813187520002</v>
      </c>
      <c r="S318" s="85">
        <v>2.3659616639999997E-3</v>
      </c>
      <c r="T318" s="85">
        <f t="shared" si="7"/>
        <v>2.2381047034539126E-3</v>
      </c>
      <c r="U318" s="85">
        <f>R318/'סכום נכסי הקרן'!$C$42</f>
        <v>1.8685895621672858E-4</v>
      </c>
    </row>
    <row r="319" spans="2:21" s="122" customFormat="1">
      <c r="B319" s="77" t="s">
        <v>1072</v>
      </c>
      <c r="C319" s="74" t="s">
        <v>1073</v>
      </c>
      <c r="D319" s="87" t="s">
        <v>28</v>
      </c>
      <c r="E319" s="87" t="s">
        <v>955</v>
      </c>
      <c r="F319" s="74"/>
      <c r="G319" s="87" t="s">
        <v>957</v>
      </c>
      <c r="H319" s="74" t="s">
        <v>1071</v>
      </c>
      <c r="I319" s="74" t="s">
        <v>931</v>
      </c>
      <c r="J319" s="74"/>
      <c r="K319" s="84">
        <v>3.6300000000000678</v>
      </c>
      <c r="L319" s="87" t="s">
        <v>164</v>
      </c>
      <c r="M319" s="88">
        <v>7.0000000000000007E-2</v>
      </c>
      <c r="N319" s="88">
        <v>0.10830000000000195</v>
      </c>
      <c r="O319" s="84">
        <v>6614312.9564159997</v>
      </c>
      <c r="P319" s="86">
        <v>86.64</v>
      </c>
      <c r="Q319" s="74"/>
      <c r="R319" s="84">
        <v>20429.734257947002</v>
      </c>
      <c r="S319" s="85">
        <v>5.2917467029481649E-3</v>
      </c>
      <c r="T319" s="85">
        <f t="shared" si="7"/>
        <v>4.6974914049155644E-3</v>
      </c>
      <c r="U319" s="85">
        <f>R319/'סכום נכסי הקרן'!$C$42</f>
        <v>3.9219270635773958E-4</v>
      </c>
    </row>
    <row r="320" spans="2:21" s="122" customFormat="1">
      <c r="B320" s="77" t="s">
        <v>1074</v>
      </c>
      <c r="C320" s="74" t="s">
        <v>1075</v>
      </c>
      <c r="D320" s="87" t="s">
        <v>28</v>
      </c>
      <c r="E320" s="87" t="s">
        <v>955</v>
      </c>
      <c r="F320" s="74"/>
      <c r="G320" s="87" t="s">
        <v>957</v>
      </c>
      <c r="H320" s="74" t="s">
        <v>1071</v>
      </c>
      <c r="I320" s="74" t="s">
        <v>931</v>
      </c>
      <c r="J320" s="74"/>
      <c r="K320" s="84">
        <v>5.9800000000002704</v>
      </c>
      <c r="L320" s="87" t="s">
        <v>164</v>
      </c>
      <c r="M320" s="88">
        <v>5.1249999999999997E-2</v>
      </c>
      <c r="N320" s="88">
        <v>7.0300000000003568E-2</v>
      </c>
      <c r="O320" s="84">
        <v>3091014.432</v>
      </c>
      <c r="P320" s="86">
        <v>89.321299999999994</v>
      </c>
      <c r="Q320" s="74"/>
      <c r="R320" s="84">
        <v>9842.7251756829992</v>
      </c>
      <c r="S320" s="85">
        <v>2.0606762880000002E-3</v>
      </c>
      <c r="T320" s="85">
        <f t="shared" si="7"/>
        <v>2.2631775983934519E-3</v>
      </c>
      <c r="U320" s="85">
        <f>R320/'סכום נכסי הקרן'!$C$42</f>
        <v>1.889522876728056E-4</v>
      </c>
    </row>
    <row r="321" spans="2:21" s="122" customFormat="1">
      <c r="B321" s="77" t="s">
        <v>1076</v>
      </c>
      <c r="C321" s="74" t="s">
        <v>1077</v>
      </c>
      <c r="D321" s="87" t="s">
        <v>28</v>
      </c>
      <c r="E321" s="87" t="s">
        <v>955</v>
      </c>
      <c r="F321" s="74"/>
      <c r="G321" s="87" t="s">
        <v>987</v>
      </c>
      <c r="H321" s="74" t="s">
        <v>1068</v>
      </c>
      <c r="I321" s="74" t="s">
        <v>349</v>
      </c>
      <c r="J321" s="74"/>
      <c r="K321" s="84">
        <v>6.4699999999996924</v>
      </c>
      <c r="L321" s="87" t="s">
        <v>164</v>
      </c>
      <c r="M321" s="88">
        <v>4.6249999999999999E-2</v>
      </c>
      <c r="N321" s="88">
        <v>4.589999999999711E-2</v>
      </c>
      <c r="O321" s="84">
        <v>1144820.1599999999</v>
      </c>
      <c r="P321" s="86">
        <v>101.1186</v>
      </c>
      <c r="Q321" s="74"/>
      <c r="R321" s="84">
        <v>4126.9364340410002</v>
      </c>
      <c r="S321" s="85">
        <v>3.2709147428571428E-4</v>
      </c>
      <c r="T321" s="85">
        <f t="shared" si="7"/>
        <v>9.4892318141629242E-4</v>
      </c>
      <c r="U321" s="85">
        <f>R321/'סכום נכסי הקרן'!$C$42</f>
        <v>7.9225424501216623E-5</v>
      </c>
    </row>
    <row r="322" spans="2:21" s="122" customFormat="1">
      <c r="B322" s="77" t="s">
        <v>1078</v>
      </c>
      <c r="C322" s="74" t="s">
        <v>1079</v>
      </c>
      <c r="D322" s="87" t="s">
        <v>28</v>
      </c>
      <c r="E322" s="87" t="s">
        <v>955</v>
      </c>
      <c r="F322" s="74"/>
      <c r="G322" s="87" t="s">
        <v>972</v>
      </c>
      <c r="H322" s="74" t="s">
        <v>1071</v>
      </c>
      <c r="I322" s="74" t="s">
        <v>931</v>
      </c>
      <c r="J322" s="74"/>
      <c r="K322" s="84">
        <v>6.3099999999998131</v>
      </c>
      <c r="L322" s="87" t="s">
        <v>164</v>
      </c>
      <c r="M322" s="88">
        <v>4.4999999999999998E-2</v>
      </c>
      <c r="N322" s="88">
        <v>4.079999999999865E-2</v>
      </c>
      <c r="O322" s="84">
        <v>3205496.4480000003</v>
      </c>
      <c r="P322" s="86">
        <v>101.45099999999999</v>
      </c>
      <c r="Q322" s="74"/>
      <c r="R322" s="84">
        <v>11593.409238206999</v>
      </c>
      <c r="S322" s="85">
        <v>4.2739952640000007E-3</v>
      </c>
      <c r="T322" s="85">
        <f t="shared" si="7"/>
        <v>2.6657194637253589E-3</v>
      </c>
      <c r="U322" s="85">
        <f>R322/'סכום נכסי הקרן'!$C$42</f>
        <v>2.2256043508135867E-4</v>
      </c>
    </row>
    <row r="323" spans="2:21" s="122" customFormat="1">
      <c r="B323" s="77" t="s">
        <v>1080</v>
      </c>
      <c r="C323" s="74" t="s">
        <v>1081</v>
      </c>
      <c r="D323" s="87" t="s">
        <v>28</v>
      </c>
      <c r="E323" s="87" t="s">
        <v>955</v>
      </c>
      <c r="F323" s="74"/>
      <c r="G323" s="87" t="s">
        <v>1060</v>
      </c>
      <c r="H323" s="74" t="s">
        <v>1071</v>
      </c>
      <c r="I323" s="74" t="s">
        <v>931</v>
      </c>
      <c r="J323" s="74"/>
      <c r="K323" s="84">
        <v>5.3700000000000143</v>
      </c>
      <c r="L323" s="87" t="s">
        <v>164</v>
      </c>
      <c r="M323" s="88">
        <v>0.06</v>
      </c>
      <c r="N323" s="88">
        <v>0.11620000000000054</v>
      </c>
      <c r="O323" s="84">
        <v>7214656.6483200006</v>
      </c>
      <c r="P323" s="86">
        <v>75.364699999999999</v>
      </c>
      <c r="Q323" s="74"/>
      <c r="R323" s="84">
        <v>19383.981389828998</v>
      </c>
      <c r="S323" s="85">
        <v>9.6195421977600011E-3</v>
      </c>
      <c r="T323" s="85">
        <f t="shared" si="7"/>
        <v>4.4570372194804682E-3</v>
      </c>
      <c r="U323" s="85">
        <f>R323/'סכום נכסי הקרן'!$C$42</f>
        <v>3.721172299785484E-4</v>
      </c>
    </row>
    <row r="324" spans="2:21" s="122" customFormat="1">
      <c r="B324" s="77" t="s">
        <v>1082</v>
      </c>
      <c r="C324" s="74" t="s">
        <v>1083</v>
      </c>
      <c r="D324" s="87" t="s">
        <v>28</v>
      </c>
      <c r="E324" s="87" t="s">
        <v>955</v>
      </c>
      <c r="F324" s="74"/>
      <c r="G324" s="87" t="s">
        <v>957</v>
      </c>
      <c r="H324" s="74" t="s">
        <v>1115</v>
      </c>
      <c r="I324" s="74" t="s">
        <v>931</v>
      </c>
      <c r="J324" s="74"/>
      <c r="K324" s="84">
        <v>6.340000000000086</v>
      </c>
      <c r="L324" s="87" t="s">
        <v>164</v>
      </c>
      <c r="M324" s="88">
        <v>5.1249999999999997E-2</v>
      </c>
      <c r="N324" s="88">
        <v>0.1054000000000018</v>
      </c>
      <c r="O324" s="84">
        <v>7479568.0333439996</v>
      </c>
      <c r="P324" s="86">
        <v>72.316000000000003</v>
      </c>
      <c r="Q324" s="74"/>
      <c r="R324" s="84">
        <v>19282.808148600998</v>
      </c>
      <c r="S324" s="85">
        <v>1.3599214606079999E-2</v>
      </c>
      <c r="T324" s="85">
        <f t="shared" si="7"/>
        <v>4.4337740470341055E-3</v>
      </c>
      <c r="U324" s="85">
        <f>R324/'סכום נכסי הקרן'!$C$42</f>
        <v>3.7017499192556152E-4</v>
      </c>
    </row>
    <row r="325" spans="2:21" s="122" customFormat="1">
      <c r="B325" s="77" t="s">
        <v>1084</v>
      </c>
      <c r="C325" s="74" t="s">
        <v>1085</v>
      </c>
      <c r="D325" s="87" t="s">
        <v>28</v>
      </c>
      <c r="E325" s="87" t="s">
        <v>955</v>
      </c>
      <c r="F325" s="74"/>
      <c r="G325" s="87" t="s">
        <v>1086</v>
      </c>
      <c r="H325" s="74" t="s">
        <v>1068</v>
      </c>
      <c r="I325" s="74" t="s">
        <v>959</v>
      </c>
      <c r="J325" s="74"/>
      <c r="K325" s="84">
        <v>3.9400000000000341</v>
      </c>
      <c r="L325" s="87" t="s">
        <v>166</v>
      </c>
      <c r="M325" s="88">
        <v>0.03</v>
      </c>
      <c r="N325" s="88">
        <v>6.7100000000000104E-2</v>
      </c>
      <c r="O325" s="84">
        <v>5655411.5903999992</v>
      </c>
      <c r="P325" s="86">
        <v>88.165099999999995</v>
      </c>
      <c r="Q325" s="74"/>
      <c r="R325" s="84">
        <v>19447.286290411001</v>
      </c>
      <c r="S325" s="85">
        <v>1.1310823180799998E-2</v>
      </c>
      <c r="T325" s="85">
        <f t="shared" si="7"/>
        <v>4.4715931712426557E-3</v>
      </c>
      <c r="U325" s="85">
        <f>R325/'סכום נכסי הקרן'!$C$42</f>
        <v>3.733325037540898E-4</v>
      </c>
    </row>
    <row r="326" spans="2:21" s="122" customFormat="1">
      <c r="B326" s="77" t="s">
        <v>1089</v>
      </c>
      <c r="C326" s="74" t="s">
        <v>1090</v>
      </c>
      <c r="D326" s="87" t="s">
        <v>28</v>
      </c>
      <c r="E326" s="87" t="s">
        <v>955</v>
      </c>
      <c r="F326" s="74"/>
      <c r="G326" s="87" t="s">
        <v>998</v>
      </c>
      <c r="H326" s="74" t="s">
        <v>1068</v>
      </c>
      <c r="I326" s="74" t="s">
        <v>959</v>
      </c>
      <c r="J326" s="74"/>
      <c r="K326" s="84">
        <v>4.1700000000000159</v>
      </c>
      <c r="L326" s="87" t="s">
        <v>164</v>
      </c>
      <c r="M326" s="88">
        <v>3.7539999999999997E-2</v>
      </c>
      <c r="N326" s="88">
        <v>5.6600000000000018E-2</v>
      </c>
      <c r="O326" s="84">
        <v>7853466.2976000002</v>
      </c>
      <c r="P326" s="86">
        <v>93.200699999999998</v>
      </c>
      <c r="Q326" s="74"/>
      <c r="R326" s="84">
        <v>26093.976924662005</v>
      </c>
      <c r="S326" s="85">
        <v>1.04712883968E-2</v>
      </c>
      <c r="T326" s="85">
        <f t="shared" si="7"/>
        <v>5.999893624459832E-3</v>
      </c>
      <c r="U326" s="85">
        <f>R326/'סכום נכסי הקרן'!$C$42</f>
        <v>5.0093003171290424E-4</v>
      </c>
    </row>
    <row r="327" spans="2:21" s="122" customFormat="1">
      <c r="B327" s="77" t="s">
        <v>1091</v>
      </c>
      <c r="C327" s="74" t="s">
        <v>1092</v>
      </c>
      <c r="D327" s="87" t="s">
        <v>28</v>
      </c>
      <c r="E327" s="87" t="s">
        <v>955</v>
      </c>
      <c r="F327" s="74"/>
      <c r="G327" s="87" t="s">
        <v>1035</v>
      </c>
      <c r="H327" s="74" t="s">
        <v>1068</v>
      </c>
      <c r="I327" s="74" t="s">
        <v>959</v>
      </c>
      <c r="J327" s="74"/>
      <c r="K327" s="84">
        <v>6.0300000000001788</v>
      </c>
      <c r="L327" s="87" t="s">
        <v>164</v>
      </c>
      <c r="M327" s="88">
        <v>4.8750000000000002E-2</v>
      </c>
      <c r="N327" s="88">
        <v>5.0200000000001195E-2</v>
      </c>
      <c r="O327" s="84">
        <v>4121352.5759999994</v>
      </c>
      <c r="P327" s="86">
        <v>99.771000000000001</v>
      </c>
      <c r="Q327" s="74"/>
      <c r="R327" s="84">
        <v>14658.975829212</v>
      </c>
      <c r="S327" s="85">
        <v>5.9692893604817885E-3</v>
      </c>
      <c r="T327" s="85">
        <f t="shared" si="7"/>
        <v>3.3705975855169153E-3</v>
      </c>
      <c r="U327" s="85">
        <f>R327/'סכום נכסי הקרן'!$C$42</f>
        <v>2.8141058176784527E-4</v>
      </c>
    </row>
    <row r="328" spans="2:21" s="122" customFormat="1">
      <c r="B328" s="77" t="s">
        <v>1093</v>
      </c>
      <c r="C328" s="74" t="s">
        <v>1094</v>
      </c>
      <c r="D328" s="87" t="s">
        <v>28</v>
      </c>
      <c r="E328" s="87" t="s">
        <v>955</v>
      </c>
      <c r="F328" s="74"/>
      <c r="G328" s="87" t="s">
        <v>1086</v>
      </c>
      <c r="H328" s="74" t="s">
        <v>1068</v>
      </c>
      <c r="I328" s="74" t="s">
        <v>959</v>
      </c>
      <c r="J328" s="74"/>
      <c r="K328" s="84">
        <v>3.6800000000001489</v>
      </c>
      <c r="L328" s="87" t="s">
        <v>166</v>
      </c>
      <c r="M328" s="88">
        <v>4.2500000000000003E-2</v>
      </c>
      <c r="N328" s="88">
        <v>4.4100000000000951E-2</v>
      </c>
      <c r="O328" s="84">
        <v>2289640.3199999998</v>
      </c>
      <c r="P328" s="86">
        <v>99.159400000000005</v>
      </c>
      <c r="Q328" s="74"/>
      <c r="R328" s="84">
        <v>8855.2147080760005</v>
      </c>
      <c r="S328" s="85">
        <v>7.6321343999999998E-3</v>
      </c>
      <c r="T328" s="85">
        <f t="shared" si="7"/>
        <v>2.0361153236091597E-3</v>
      </c>
      <c r="U328" s="85">
        <f>R328/'סכום נכסי הקרן'!$C$42</f>
        <v>1.6999489948765425E-4</v>
      </c>
    </row>
    <row r="329" spans="2:21" s="122" customFormat="1">
      <c r="B329" s="77" t="s">
        <v>1095</v>
      </c>
      <c r="C329" s="74" t="s">
        <v>1096</v>
      </c>
      <c r="D329" s="87" t="s">
        <v>28</v>
      </c>
      <c r="E329" s="87" t="s">
        <v>955</v>
      </c>
      <c r="F329" s="74"/>
      <c r="G329" s="87" t="s">
        <v>1060</v>
      </c>
      <c r="H329" s="74" t="s">
        <v>1068</v>
      </c>
      <c r="I329" s="74" t="s">
        <v>349</v>
      </c>
      <c r="J329" s="74"/>
      <c r="K329" s="84">
        <v>2.3400000000000079</v>
      </c>
      <c r="L329" s="87" t="s">
        <v>164</v>
      </c>
      <c r="M329" s="88">
        <v>4.7500000000000001E-2</v>
      </c>
      <c r="N329" s="88">
        <v>5.8000000000000371E-2</v>
      </c>
      <c r="O329" s="84">
        <v>9226334.6334719993</v>
      </c>
      <c r="P329" s="86">
        <v>97.252700000000004</v>
      </c>
      <c r="Q329" s="74"/>
      <c r="R329" s="84">
        <v>31988.251580311004</v>
      </c>
      <c r="S329" s="85">
        <v>1.0251482926079998E-2</v>
      </c>
      <c r="T329" s="85">
        <f t="shared" si="7"/>
        <v>7.3551880293467823E-3</v>
      </c>
      <c r="U329" s="85">
        <f>R329/'סכום נכסי הקרן'!$C$42</f>
        <v>6.1408331603991816E-4</v>
      </c>
    </row>
    <row r="330" spans="2:21" s="122" customFormat="1">
      <c r="B330" s="77" t="s">
        <v>1097</v>
      </c>
      <c r="C330" s="74" t="s">
        <v>1098</v>
      </c>
      <c r="D330" s="87" t="s">
        <v>28</v>
      </c>
      <c r="E330" s="87" t="s">
        <v>955</v>
      </c>
      <c r="F330" s="74"/>
      <c r="G330" s="87" t="s">
        <v>972</v>
      </c>
      <c r="H330" s="74" t="s">
        <v>1071</v>
      </c>
      <c r="I330" s="74" t="s">
        <v>931</v>
      </c>
      <c r="J330" s="74"/>
      <c r="K330" s="84">
        <v>1.0500000000000123</v>
      </c>
      <c r="L330" s="87" t="s">
        <v>164</v>
      </c>
      <c r="M330" s="88">
        <v>4.6249999999999999E-2</v>
      </c>
      <c r="N330" s="88">
        <v>4.4600000000000299E-2</v>
      </c>
      <c r="O330" s="84">
        <v>6728337.0443519996</v>
      </c>
      <c r="P330" s="86">
        <v>101.0461</v>
      </c>
      <c r="Q330" s="74"/>
      <c r="R330" s="84">
        <v>24237.440569194005</v>
      </c>
      <c r="S330" s="85">
        <v>8.9711160591359994E-3</v>
      </c>
      <c r="T330" s="85">
        <f t="shared" si="7"/>
        <v>5.5730127134009048E-3</v>
      </c>
      <c r="U330" s="85">
        <f>R330/'סכום נכסי הקרן'!$C$42</f>
        <v>4.6528982178607682E-4</v>
      </c>
    </row>
    <row r="331" spans="2:21" s="122" customFormat="1">
      <c r="B331" s="77" t="s">
        <v>1099</v>
      </c>
      <c r="C331" s="74" t="s">
        <v>1100</v>
      </c>
      <c r="D331" s="87" t="s">
        <v>28</v>
      </c>
      <c r="E331" s="87" t="s">
        <v>955</v>
      </c>
      <c r="F331" s="74"/>
      <c r="G331" s="87" t="s">
        <v>1009</v>
      </c>
      <c r="H331" s="74" t="s">
        <v>1068</v>
      </c>
      <c r="I331" s="74" t="s">
        <v>349</v>
      </c>
      <c r="J331" s="74"/>
      <c r="K331" s="84">
        <v>3.7500000000000648</v>
      </c>
      <c r="L331" s="87" t="s">
        <v>164</v>
      </c>
      <c r="M331" s="88">
        <v>6.2539999999999998E-2</v>
      </c>
      <c r="N331" s="88">
        <v>6.6700000000000967E-2</v>
      </c>
      <c r="O331" s="84">
        <v>7555813.0559999999</v>
      </c>
      <c r="P331" s="86">
        <v>100.7499</v>
      </c>
      <c r="Q331" s="74"/>
      <c r="R331" s="84">
        <v>27138.465670910999</v>
      </c>
      <c r="S331" s="85">
        <v>5.8121638892307693E-3</v>
      </c>
      <c r="T331" s="85">
        <f t="shared" si="7"/>
        <v>6.2400571452421493E-3</v>
      </c>
      <c r="U331" s="85">
        <f>R331/'סכום נכסי הקרן'!$C$42</f>
        <v>5.2098124055289434E-4</v>
      </c>
    </row>
    <row r="332" spans="2:21" s="122" customFormat="1">
      <c r="B332" s="77" t="s">
        <v>1101</v>
      </c>
      <c r="C332" s="74" t="s">
        <v>1102</v>
      </c>
      <c r="D332" s="87" t="s">
        <v>28</v>
      </c>
      <c r="E332" s="87" t="s">
        <v>955</v>
      </c>
      <c r="F332" s="74"/>
      <c r="G332" s="87" t="s">
        <v>957</v>
      </c>
      <c r="H332" s="74" t="s">
        <v>1103</v>
      </c>
      <c r="I332" s="74" t="s">
        <v>349</v>
      </c>
      <c r="J332" s="74"/>
      <c r="K332" s="84">
        <v>7.5700000000000953</v>
      </c>
      <c r="L332" s="87" t="s">
        <v>164</v>
      </c>
      <c r="M332" s="88">
        <v>4.4999999999999998E-2</v>
      </c>
      <c r="N332" s="88">
        <v>7.6900000000001037E-2</v>
      </c>
      <c r="O332" s="84">
        <v>7349745.4272000007</v>
      </c>
      <c r="P332" s="86">
        <v>79.974999999999994</v>
      </c>
      <c r="Q332" s="74"/>
      <c r="R332" s="84">
        <v>20954.923498906999</v>
      </c>
      <c r="S332" s="85">
        <v>4.8998302848000004E-3</v>
      </c>
      <c r="T332" s="85">
        <f t="shared" si="7"/>
        <v>4.8182502906756195E-3</v>
      </c>
      <c r="U332" s="85">
        <f>R332/'סכום נכסי הקרן'!$C$42</f>
        <v>4.0227484385210987E-4</v>
      </c>
    </row>
    <row r="333" spans="2:21" s="122" customFormat="1">
      <c r="B333" s="77" t="s">
        <v>1104</v>
      </c>
      <c r="C333" s="74" t="s">
        <v>1105</v>
      </c>
      <c r="D333" s="87" t="s">
        <v>28</v>
      </c>
      <c r="E333" s="87" t="s">
        <v>955</v>
      </c>
      <c r="F333" s="74"/>
      <c r="G333" s="87" t="s">
        <v>1060</v>
      </c>
      <c r="H333" s="74" t="s">
        <v>1103</v>
      </c>
      <c r="I333" s="74" t="s">
        <v>959</v>
      </c>
      <c r="J333" s="74"/>
      <c r="K333" s="84">
        <v>6.6699999999999413</v>
      </c>
      <c r="L333" s="87" t="s">
        <v>166</v>
      </c>
      <c r="M333" s="88">
        <v>0.03</v>
      </c>
      <c r="N333" s="88">
        <v>4.0299999999999316E-2</v>
      </c>
      <c r="O333" s="84">
        <v>2335433.1264</v>
      </c>
      <c r="P333" s="86">
        <v>93.871399999999994</v>
      </c>
      <c r="Q333" s="74"/>
      <c r="R333" s="84">
        <v>8550.6432953529984</v>
      </c>
      <c r="S333" s="85">
        <v>4.6708662527999998E-3</v>
      </c>
      <c r="T333" s="85">
        <f t="shared" si="7"/>
        <v>1.9660839871568632E-3</v>
      </c>
      <c r="U333" s="85">
        <f>R333/'סכום נכסי הקרן'!$C$42</f>
        <v>1.6414799589474193E-4</v>
      </c>
    </row>
    <row r="334" spans="2:21" s="122" customFormat="1">
      <c r="B334" s="77" t="s">
        <v>1106</v>
      </c>
      <c r="C334" s="74" t="s">
        <v>1107</v>
      </c>
      <c r="D334" s="87" t="s">
        <v>28</v>
      </c>
      <c r="E334" s="87" t="s">
        <v>955</v>
      </c>
      <c r="F334" s="74"/>
      <c r="G334" s="87" t="s">
        <v>1060</v>
      </c>
      <c r="H334" s="74" t="s">
        <v>1103</v>
      </c>
      <c r="I334" s="74" t="s">
        <v>959</v>
      </c>
      <c r="J334" s="74"/>
      <c r="K334" s="84">
        <v>4.9400000000001141</v>
      </c>
      <c r="L334" s="87" t="s">
        <v>167</v>
      </c>
      <c r="M334" s="88">
        <v>0.06</v>
      </c>
      <c r="N334" s="88">
        <v>6.570000000000116E-2</v>
      </c>
      <c r="O334" s="84">
        <v>5426447.5584000004</v>
      </c>
      <c r="P334" s="86">
        <v>97.538300000000007</v>
      </c>
      <c r="Q334" s="74"/>
      <c r="R334" s="84">
        <v>23281.202620411001</v>
      </c>
      <c r="S334" s="85">
        <v>4.3411580467200006E-3</v>
      </c>
      <c r="T334" s="85">
        <f t="shared" si="7"/>
        <v>5.3531410553192566E-3</v>
      </c>
      <c r="U334" s="85">
        <f>R334/'סכום נכסי הקרן'!$C$42</f>
        <v>4.4693277688671418E-4</v>
      </c>
    </row>
    <row r="335" spans="2:21" s="122" customFormat="1">
      <c r="B335" s="77" t="s">
        <v>1108</v>
      </c>
      <c r="C335" s="74" t="s">
        <v>1109</v>
      </c>
      <c r="D335" s="87" t="s">
        <v>28</v>
      </c>
      <c r="E335" s="87" t="s">
        <v>955</v>
      </c>
      <c r="F335" s="74"/>
      <c r="G335" s="87" t="s">
        <v>1060</v>
      </c>
      <c r="H335" s="74" t="s">
        <v>1103</v>
      </c>
      <c r="I335" s="74" t="s">
        <v>959</v>
      </c>
      <c r="J335" s="74"/>
      <c r="K335" s="84">
        <v>5.1400000000001604</v>
      </c>
      <c r="L335" s="87" t="s">
        <v>166</v>
      </c>
      <c r="M335" s="88">
        <v>0.05</v>
      </c>
      <c r="N335" s="88">
        <v>4.6100000000001418E-2</v>
      </c>
      <c r="O335" s="84">
        <v>2289640.3199999998</v>
      </c>
      <c r="P335" s="86">
        <v>102.2456</v>
      </c>
      <c r="Q335" s="74"/>
      <c r="R335" s="84">
        <v>9130.8246550109998</v>
      </c>
      <c r="S335" s="85">
        <v>2.2896403199999999E-3</v>
      </c>
      <c r="T335" s="85">
        <f t="shared" si="7"/>
        <v>2.0994874331280479E-3</v>
      </c>
      <c r="U335" s="85">
        <f>R335/'סכום נכסי הקרן'!$C$42</f>
        <v>1.7528582543034014E-4</v>
      </c>
    </row>
    <row r="336" spans="2:21" s="122" customFormat="1">
      <c r="B336" s="77" t="s">
        <v>1087</v>
      </c>
      <c r="C336" s="74" t="s">
        <v>1088</v>
      </c>
      <c r="D336" s="87" t="s">
        <v>28</v>
      </c>
      <c r="E336" s="87" t="s">
        <v>955</v>
      </c>
      <c r="F336" s="74"/>
      <c r="G336" s="87" t="s">
        <v>957</v>
      </c>
      <c r="H336" s="74" t="s">
        <v>1103</v>
      </c>
      <c r="I336" s="74" t="s">
        <v>349</v>
      </c>
      <c r="J336" s="74"/>
      <c r="K336" s="84">
        <v>5.289999999999953</v>
      </c>
      <c r="L336" s="87" t="s">
        <v>164</v>
      </c>
      <c r="M336" s="88">
        <v>6.4899999999999999E-2</v>
      </c>
      <c r="N336" s="88">
        <v>0.12179999999999974</v>
      </c>
      <c r="O336" s="84">
        <v>6631943.1868799999</v>
      </c>
      <c r="P336" s="86">
        <v>74.608900000000006</v>
      </c>
      <c r="Q336" s="74"/>
      <c r="R336" s="84">
        <v>17639.681609258001</v>
      </c>
      <c r="S336" s="85">
        <v>2.8096334934228084E-3</v>
      </c>
      <c r="T336" s="85">
        <f>R336/$R$11</f>
        <v>4.0559633179126572E-3</v>
      </c>
      <c r="U336" s="85">
        <f>R336/'סכום נכסי הקרן'!$C$42</f>
        <v>3.3863164259871056E-4</v>
      </c>
    </row>
    <row r="337" spans="2:21" s="122" customFormat="1">
      <c r="B337" s="77" t="s">
        <v>1110</v>
      </c>
      <c r="C337" s="74" t="s">
        <v>1111</v>
      </c>
      <c r="D337" s="87" t="s">
        <v>28</v>
      </c>
      <c r="E337" s="87" t="s">
        <v>955</v>
      </c>
      <c r="F337" s="74"/>
      <c r="G337" s="87" t="s">
        <v>1040</v>
      </c>
      <c r="H337" s="74" t="s">
        <v>1112</v>
      </c>
      <c r="I337" s="74" t="s">
        <v>931</v>
      </c>
      <c r="J337" s="74"/>
      <c r="K337" s="84">
        <v>8.6799999999998363</v>
      </c>
      <c r="L337" s="87" t="s">
        <v>164</v>
      </c>
      <c r="M337" s="88">
        <v>3.6249999999999998E-2</v>
      </c>
      <c r="N337" s="88">
        <v>4.2799999999999117E-2</v>
      </c>
      <c r="O337" s="84">
        <v>8013741.1200000001</v>
      </c>
      <c r="P337" s="86">
        <v>94.824799999999996</v>
      </c>
      <c r="Q337" s="74"/>
      <c r="R337" s="84">
        <v>27090.486457205003</v>
      </c>
      <c r="S337" s="85">
        <v>2.0034352799999999E-2</v>
      </c>
      <c r="T337" s="85">
        <f t="shared" si="7"/>
        <v>6.2290250906322934E-3</v>
      </c>
      <c r="U337" s="85">
        <f>R337/'סכום נכסי הקרן'!$C$42</f>
        <v>5.2006017631218103E-4</v>
      </c>
    </row>
    <row r="338" spans="2:21" s="122" customFormat="1">
      <c r="B338" s="77" t="s">
        <v>1113</v>
      </c>
      <c r="C338" s="74" t="s">
        <v>1114</v>
      </c>
      <c r="D338" s="87" t="s">
        <v>28</v>
      </c>
      <c r="E338" s="87" t="s">
        <v>955</v>
      </c>
      <c r="F338" s="74"/>
      <c r="G338" s="87" t="s">
        <v>1065</v>
      </c>
      <c r="H338" s="74" t="s">
        <v>1115</v>
      </c>
      <c r="I338" s="74" t="s">
        <v>931</v>
      </c>
      <c r="J338" s="74"/>
      <c r="K338" s="84">
        <v>4.0700000000001246</v>
      </c>
      <c r="L338" s="87" t="s">
        <v>164</v>
      </c>
      <c r="M338" s="88">
        <v>0.05</v>
      </c>
      <c r="N338" s="88">
        <v>5.89000000000015E-2</v>
      </c>
      <c r="O338" s="84">
        <v>4899830.2847999996</v>
      </c>
      <c r="P338" s="86">
        <v>99.0291</v>
      </c>
      <c r="Q338" s="74"/>
      <c r="R338" s="84">
        <v>17298.301116769002</v>
      </c>
      <c r="S338" s="85">
        <v>4.8998302847999995E-3</v>
      </c>
      <c r="T338" s="85">
        <f t="shared" ref="T338:T349" si="8">R338/$R$11</f>
        <v>3.9774683209134127E-3</v>
      </c>
      <c r="U338" s="85">
        <f>R338/'סכום נכסי הקרן'!$C$42</f>
        <v>3.3207810952008438E-4</v>
      </c>
    </row>
    <row r="339" spans="2:21" s="122" customFormat="1">
      <c r="B339" s="77" t="s">
        <v>1116</v>
      </c>
      <c r="C339" s="74" t="s">
        <v>1117</v>
      </c>
      <c r="D339" s="87" t="s">
        <v>28</v>
      </c>
      <c r="E339" s="87" t="s">
        <v>955</v>
      </c>
      <c r="F339" s="74"/>
      <c r="G339" s="87" t="s">
        <v>1009</v>
      </c>
      <c r="H339" s="74" t="s">
        <v>1115</v>
      </c>
      <c r="I339" s="74" t="s">
        <v>931</v>
      </c>
      <c r="J339" s="74"/>
      <c r="K339" s="84">
        <v>6.0200000000000955</v>
      </c>
      <c r="L339" s="87" t="s">
        <v>164</v>
      </c>
      <c r="M339" s="88">
        <v>0.04</v>
      </c>
      <c r="N339" s="88">
        <v>4.4700000000000982E-2</v>
      </c>
      <c r="O339" s="84">
        <v>7097884.9919999996</v>
      </c>
      <c r="P339" s="86">
        <v>97.9833</v>
      </c>
      <c r="Q339" s="74"/>
      <c r="R339" s="84">
        <v>24793.663466831</v>
      </c>
      <c r="S339" s="85">
        <v>5.6783079935999996E-3</v>
      </c>
      <c r="T339" s="85">
        <f t="shared" si="8"/>
        <v>5.7009072933243135E-3</v>
      </c>
      <c r="U339" s="85">
        <f>R339/'סכום נכסי הקרן'!$C$42</f>
        <v>4.7596771709338065E-4</v>
      </c>
    </row>
    <row r="340" spans="2:21" s="122" customFormat="1">
      <c r="B340" s="77" t="s">
        <v>1118</v>
      </c>
      <c r="C340" s="74" t="s">
        <v>1119</v>
      </c>
      <c r="D340" s="87" t="s">
        <v>28</v>
      </c>
      <c r="E340" s="87" t="s">
        <v>955</v>
      </c>
      <c r="F340" s="74"/>
      <c r="G340" s="87" t="s">
        <v>987</v>
      </c>
      <c r="H340" s="74" t="s">
        <v>968</v>
      </c>
      <c r="I340" s="74" t="s">
        <v>959</v>
      </c>
      <c r="J340" s="74"/>
      <c r="K340" s="84">
        <v>6.6700000000000355</v>
      </c>
      <c r="L340" s="87" t="s">
        <v>164</v>
      </c>
      <c r="M340" s="88">
        <v>5.8749999999999997E-2</v>
      </c>
      <c r="N340" s="88">
        <v>5.3800000000000132E-2</v>
      </c>
      <c r="O340" s="84">
        <v>6868920.96</v>
      </c>
      <c r="P340" s="86">
        <v>101.0699</v>
      </c>
      <c r="Q340" s="74"/>
      <c r="R340" s="84">
        <v>24749.684238736001</v>
      </c>
      <c r="S340" s="85">
        <v>6.8689209600000002E-3</v>
      </c>
      <c r="T340" s="85">
        <f t="shared" si="8"/>
        <v>5.6907949715798095E-3</v>
      </c>
      <c r="U340" s="85">
        <f>R340/'סכום נכסי הקרן'!$C$42</f>
        <v>4.7512344118296872E-4</v>
      </c>
    </row>
    <row r="341" spans="2:21" s="122" customFormat="1">
      <c r="B341" s="77" t="s">
        <v>1120</v>
      </c>
      <c r="C341" s="74" t="s">
        <v>1121</v>
      </c>
      <c r="D341" s="87" t="s">
        <v>28</v>
      </c>
      <c r="E341" s="87" t="s">
        <v>955</v>
      </c>
      <c r="F341" s="74"/>
      <c r="G341" s="87" t="s">
        <v>1040</v>
      </c>
      <c r="H341" s="74" t="s">
        <v>1115</v>
      </c>
      <c r="I341" s="74" t="s">
        <v>931</v>
      </c>
      <c r="J341" s="74"/>
      <c r="K341" s="84">
        <v>5.6600000000016877</v>
      </c>
      <c r="L341" s="87" t="s">
        <v>164</v>
      </c>
      <c r="M341" s="88">
        <v>6.5000000000000002E-2</v>
      </c>
      <c r="N341" s="88">
        <v>9.9400000000024955E-2</v>
      </c>
      <c r="O341" s="84">
        <v>457928.06400000001</v>
      </c>
      <c r="P341" s="86">
        <v>82.021199999999993</v>
      </c>
      <c r="Q341" s="74"/>
      <c r="R341" s="84">
        <v>1339.006655139</v>
      </c>
      <c r="S341" s="85">
        <v>6.1057075199999998E-4</v>
      </c>
      <c r="T341" s="85">
        <f t="shared" si="8"/>
        <v>3.0788321444726784E-4</v>
      </c>
      <c r="U341" s="85">
        <f>R341/'סכום נכסי הקרן'!$C$42</f>
        <v>2.5705113795384308E-5</v>
      </c>
    </row>
    <row r="342" spans="2:21" s="122" customFormat="1">
      <c r="B342" s="77" t="s">
        <v>1122</v>
      </c>
      <c r="C342" s="74" t="s">
        <v>1123</v>
      </c>
      <c r="D342" s="87" t="s">
        <v>28</v>
      </c>
      <c r="E342" s="87" t="s">
        <v>955</v>
      </c>
      <c r="F342" s="74"/>
      <c r="G342" s="87" t="s">
        <v>1040</v>
      </c>
      <c r="H342" s="74" t="s">
        <v>1115</v>
      </c>
      <c r="I342" s="74" t="s">
        <v>931</v>
      </c>
      <c r="J342" s="74"/>
      <c r="K342" s="84">
        <v>6.380000000000055</v>
      </c>
      <c r="L342" s="87" t="s">
        <v>164</v>
      </c>
      <c r="M342" s="88">
        <v>6.8750000000000006E-2</v>
      </c>
      <c r="N342" s="88">
        <v>9.9800000000001068E-2</v>
      </c>
      <c r="O342" s="84">
        <v>5266172.7359999996</v>
      </c>
      <c r="P342" s="86">
        <v>81.238299999999995</v>
      </c>
      <c r="Q342" s="74"/>
      <c r="R342" s="84">
        <v>15251.600351382</v>
      </c>
      <c r="S342" s="85">
        <v>7.0215636479999998E-3</v>
      </c>
      <c r="T342" s="85">
        <f t="shared" si="8"/>
        <v>3.5068621381580184E-3</v>
      </c>
      <c r="U342" s="85">
        <f>R342/'סכום נכסי הקרן'!$C$42</f>
        <v>2.9278728458097183E-4</v>
      </c>
    </row>
    <row r="343" spans="2:21" s="122" customFormat="1">
      <c r="B343" s="77" t="s">
        <v>1124</v>
      </c>
      <c r="C343" s="74" t="s">
        <v>1125</v>
      </c>
      <c r="D343" s="87" t="s">
        <v>28</v>
      </c>
      <c r="E343" s="87" t="s">
        <v>955</v>
      </c>
      <c r="F343" s="74"/>
      <c r="G343" s="87" t="s">
        <v>1126</v>
      </c>
      <c r="H343" s="74" t="s">
        <v>1115</v>
      </c>
      <c r="I343" s="74" t="s">
        <v>931</v>
      </c>
      <c r="J343" s="74"/>
      <c r="K343" s="84">
        <v>3.0600000000000711</v>
      </c>
      <c r="L343" s="87" t="s">
        <v>164</v>
      </c>
      <c r="M343" s="88">
        <v>4.6249999999999999E-2</v>
      </c>
      <c r="N343" s="88">
        <v>4.1300000000000878E-2</v>
      </c>
      <c r="O343" s="84">
        <v>4768175.9664000003</v>
      </c>
      <c r="P343" s="86">
        <v>102.45650000000001</v>
      </c>
      <c r="Q343" s="74"/>
      <c r="R343" s="84">
        <v>17416.123717996001</v>
      </c>
      <c r="S343" s="85">
        <v>3.1787839776000002E-3</v>
      </c>
      <c r="T343" s="85">
        <f t="shared" si="8"/>
        <v>4.0045597480255065E-3</v>
      </c>
      <c r="U343" s="85">
        <f>R343/'סכום נכסי הקרן'!$C$42</f>
        <v>3.3433996786155301E-4</v>
      </c>
    </row>
    <row r="344" spans="2:21" s="122" customFormat="1">
      <c r="B344" s="77" t="s">
        <v>1127</v>
      </c>
      <c r="C344" s="74" t="s">
        <v>1128</v>
      </c>
      <c r="D344" s="87" t="s">
        <v>28</v>
      </c>
      <c r="E344" s="87" t="s">
        <v>955</v>
      </c>
      <c r="F344" s="74"/>
      <c r="G344" s="87" t="s">
        <v>1126</v>
      </c>
      <c r="H344" s="74" t="s">
        <v>1115</v>
      </c>
      <c r="I344" s="74" t="s">
        <v>931</v>
      </c>
      <c r="J344" s="74"/>
      <c r="K344" s="84">
        <v>1.0900000000000278</v>
      </c>
      <c r="L344" s="87" t="s">
        <v>164</v>
      </c>
      <c r="M344" s="88">
        <v>0</v>
      </c>
      <c r="N344" s="88">
        <v>4.5700000000001753E-2</v>
      </c>
      <c r="O344" s="84">
        <v>901431.39398399997</v>
      </c>
      <c r="P344" s="86">
        <v>100.6378</v>
      </c>
      <c r="Q344" s="74"/>
      <c r="R344" s="84">
        <v>3234.0990057990002</v>
      </c>
      <c r="S344" s="85">
        <v>1.802862787968E-3</v>
      </c>
      <c r="T344" s="85">
        <f t="shared" si="8"/>
        <v>7.436294613806418E-4</v>
      </c>
      <c r="U344" s="85">
        <f>R344/'סכום נכסי הקרן'!$C$42</f>
        <v>6.2085489008247442E-5</v>
      </c>
    </row>
    <row r="345" spans="2:21" s="122" customFormat="1">
      <c r="B345" s="77" t="s">
        <v>1129</v>
      </c>
      <c r="C345" s="74" t="s">
        <v>1130</v>
      </c>
      <c r="D345" s="87" t="s">
        <v>28</v>
      </c>
      <c r="E345" s="87" t="s">
        <v>955</v>
      </c>
      <c r="F345" s="74"/>
      <c r="G345" s="87" t="s">
        <v>1131</v>
      </c>
      <c r="H345" s="74" t="s">
        <v>968</v>
      </c>
      <c r="I345" s="74" t="s">
        <v>959</v>
      </c>
      <c r="J345" s="74"/>
      <c r="K345" s="84">
        <v>8.3800000000001358</v>
      </c>
      <c r="L345" s="87" t="s">
        <v>164</v>
      </c>
      <c r="M345" s="88">
        <v>0.04</v>
      </c>
      <c r="N345" s="88">
        <v>5.2600000000000528E-2</v>
      </c>
      <c r="O345" s="84">
        <v>5724100.7999999998</v>
      </c>
      <c r="P345" s="86">
        <v>89.474900000000005</v>
      </c>
      <c r="Q345" s="74"/>
      <c r="R345" s="84">
        <v>18258.621038604</v>
      </c>
      <c r="S345" s="85">
        <v>7.6321343999999998E-3</v>
      </c>
      <c r="T345" s="85">
        <f t="shared" si="8"/>
        <v>4.1982785635642349E-3</v>
      </c>
      <c r="U345" s="85">
        <f>R345/'סכום נכסי הקרן'!$C$42</f>
        <v>3.5051351667508515E-4</v>
      </c>
    </row>
    <row r="346" spans="2:21" s="122" customFormat="1">
      <c r="B346" s="77" t="s">
        <v>1132</v>
      </c>
      <c r="C346" s="74" t="s">
        <v>1133</v>
      </c>
      <c r="D346" s="87" t="s">
        <v>28</v>
      </c>
      <c r="E346" s="87" t="s">
        <v>955</v>
      </c>
      <c r="F346" s="74"/>
      <c r="G346" s="87" t="s">
        <v>984</v>
      </c>
      <c r="H346" s="74" t="s">
        <v>1134</v>
      </c>
      <c r="I346" s="74" t="s">
        <v>931</v>
      </c>
      <c r="J346" s="74"/>
      <c r="K346" s="84">
        <v>8.3300000000003109</v>
      </c>
      <c r="L346" s="87" t="s">
        <v>164</v>
      </c>
      <c r="M346" s="88">
        <v>4.4999999999999998E-2</v>
      </c>
      <c r="N346" s="88">
        <v>4.750000000000134E-2</v>
      </c>
      <c r="O346" s="84">
        <v>1602748.2240000002</v>
      </c>
      <c r="P346" s="86">
        <v>98.239000000000004</v>
      </c>
      <c r="Q346" s="74"/>
      <c r="R346" s="84">
        <v>5613.177446018999</v>
      </c>
      <c r="S346" s="85">
        <v>5.8281753600000004E-4</v>
      </c>
      <c r="T346" s="85">
        <f t="shared" si="8"/>
        <v>1.290660586869027E-3</v>
      </c>
      <c r="U346" s="85">
        <f>R346/'סכום נכסי הקרן'!$C$42</f>
        <v>1.0775701857032578E-4</v>
      </c>
    </row>
    <row r="347" spans="2:21" s="122" customFormat="1">
      <c r="B347" s="77" t="s">
        <v>1135</v>
      </c>
      <c r="C347" s="74" t="s">
        <v>1136</v>
      </c>
      <c r="D347" s="87" t="s">
        <v>28</v>
      </c>
      <c r="E347" s="87" t="s">
        <v>955</v>
      </c>
      <c r="F347" s="74"/>
      <c r="G347" s="87" t="s">
        <v>984</v>
      </c>
      <c r="H347" s="74" t="s">
        <v>1134</v>
      </c>
      <c r="I347" s="74" t="s">
        <v>931</v>
      </c>
      <c r="J347" s="74"/>
      <c r="K347" s="84">
        <v>6.3199999999999941</v>
      </c>
      <c r="L347" s="87" t="s">
        <v>164</v>
      </c>
      <c r="M347" s="88">
        <v>4.7500000000000001E-2</v>
      </c>
      <c r="N347" s="88">
        <v>4.4899999999999961E-2</v>
      </c>
      <c r="O347" s="84">
        <v>7326849.0240000002</v>
      </c>
      <c r="P347" s="86">
        <v>97.522599999999997</v>
      </c>
      <c r="Q347" s="74"/>
      <c r="R347" s="84">
        <v>25473.124674841001</v>
      </c>
      <c r="S347" s="85">
        <v>2.4022455816393442E-3</v>
      </c>
      <c r="T347" s="85">
        <f t="shared" si="8"/>
        <v>5.8571385562620074E-3</v>
      </c>
      <c r="U347" s="85">
        <f>R347/'סכום נכסי הקרן'!$C$42</f>
        <v>4.890114369318256E-4</v>
      </c>
    </row>
    <row r="348" spans="2:21" s="122" customFormat="1">
      <c r="B348" s="77" t="s">
        <v>1137</v>
      </c>
      <c r="C348" s="74" t="s">
        <v>1138</v>
      </c>
      <c r="D348" s="87" t="s">
        <v>28</v>
      </c>
      <c r="E348" s="87" t="s">
        <v>955</v>
      </c>
      <c r="F348" s="74"/>
      <c r="G348" s="87" t="s">
        <v>957</v>
      </c>
      <c r="H348" s="74" t="s">
        <v>1139</v>
      </c>
      <c r="I348" s="74" t="s">
        <v>959</v>
      </c>
      <c r="J348" s="74"/>
      <c r="K348" s="84">
        <v>2.3499999999999619</v>
      </c>
      <c r="L348" s="87" t="s">
        <v>164</v>
      </c>
      <c r="M348" s="88">
        <v>7.7499999999999999E-2</v>
      </c>
      <c r="N348" s="88">
        <v>0.13919999999999558</v>
      </c>
      <c r="O348" s="84">
        <v>3693533.2822079998</v>
      </c>
      <c r="P348" s="86">
        <v>89.823599999999999</v>
      </c>
      <c r="Q348" s="74"/>
      <c r="R348" s="84">
        <v>11827.475626047</v>
      </c>
      <c r="S348" s="85">
        <v>8.7941268623999997E-3</v>
      </c>
      <c r="T348" s="85">
        <f t="shared" si="8"/>
        <v>2.7195392947214638E-3</v>
      </c>
      <c r="U348" s="85">
        <f>R348/'סכום נכסי הקרן'!$C$42</f>
        <v>2.2705384302075177E-4</v>
      </c>
    </row>
    <row r="349" spans="2:21" s="122" customFormat="1">
      <c r="B349" s="77" t="s">
        <v>1144</v>
      </c>
      <c r="C349" s="74" t="s">
        <v>1145</v>
      </c>
      <c r="D349" s="87" t="s">
        <v>28</v>
      </c>
      <c r="E349" s="87" t="s">
        <v>955</v>
      </c>
      <c r="F349" s="74"/>
      <c r="G349" s="87" t="s">
        <v>1040</v>
      </c>
      <c r="H349" s="74" t="s">
        <v>725</v>
      </c>
      <c r="I349" s="74"/>
      <c r="J349" s="74"/>
      <c r="K349" s="133">
        <v>4.3</v>
      </c>
      <c r="L349" s="87" t="s">
        <v>164</v>
      </c>
      <c r="M349" s="88">
        <v>4.2500000000000003E-2</v>
      </c>
      <c r="N349" s="88">
        <v>9.5459999999999989E-2</v>
      </c>
      <c r="O349" s="84">
        <v>8471669.1840000004</v>
      </c>
      <c r="P349" s="86">
        <v>80.293099999999995</v>
      </c>
      <c r="Q349" s="74"/>
      <c r="R349" s="84">
        <v>24249.707692709999</v>
      </c>
      <c r="S349" s="85">
        <v>1.7835093018947368E-2</v>
      </c>
      <c r="T349" s="85">
        <f t="shared" si="8"/>
        <v>5.5758333427126635E-3</v>
      </c>
      <c r="U349" s="85">
        <f>R349/'סכום נכסי הקרן'!$C$42</f>
        <v>4.6552531561630571E-4</v>
      </c>
    </row>
    <row r="350" spans="2:21" s="122" customFormat="1">
      <c r="B350" s="121"/>
      <c r="C350" s="121"/>
      <c r="D350" s="121"/>
      <c r="E350" s="121"/>
      <c r="F350" s="121"/>
    </row>
    <row r="351" spans="2:21" s="122" customFormat="1">
      <c r="B351" s="121"/>
      <c r="C351" s="121"/>
      <c r="D351" s="121"/>
      <c r="E351" s="121"/>
      <c r="F351" s="121"/>
    </row>
    <row r="352" spans="2:21" s="122" customFormat="1">
      <c r="B352" s="121"/>
      <c r="C352" s="121"/>
      <c r="D352" s="121"/>
      <c r="E352" s="121"/>
      <c r="F352" s="121"/>
    </row>
    <row r="353" spans="2:14" s="122" customFormat="1">
      <c r="B353" s="121"/>
      <c r="C353" s="121"/>
      <c r="D353" s="121"/>
      <c r="E353" s="121"/>
      <c r="F353" s="121"/>
    </row>
    <row r="354" spans="2:14" s="122" customFormat="1">
      <c r="B354" s="121"/>
    </row>
    <row r="355" spans="2:14" s="122" customFormat="1">
      <c r="B355" s="121"/>
    </row>
    <row r="356" spans="2:14" s="122" customFormat="1">
      <c r="B356" s="121"/>
    </row>
    <row r="357" spans="2:14" s="122" customFormat="1">
      <c r="B357" s="124" t="s">
        <v>261</v>
      </c>
      <c r="C357" s="128"/>
      <c r="D357" s="128"/>
      <c r="E357" s="128"/>
      <c r="F357" s="128"/>
      <c r="G357" s="128"/>
      <c r="H357" s="128"/>
      <c r="I357" s="128"/>
      <c r="J357" s="128"/>
      <c r="K357" s="128"/>
    </row>
    <row r="358" spans="2:14" s="122" customFormat="1">
      <c r="B358" s="124" t="s">
        <v>115</v>
      </c>
      <c r="C358" s="128"/>
      <c r="D358" s="128"/>
      <c r="E358" s="128"/>
      <c r="F358" s="128"/>
      <c r="G358" s="128"/>
      <c r="H358" s="128"/>
      <c r="I358" s="128"/>
      <c r="J358" s="128"/>
      <c r="K358" s="128"/>
    </row>
    <row r="359" spans="2:14" s="122" customFormat="1">
      <c r="B359" s="124" t="s">
        <v>243</v>
      </c>
      <c r="C359" s="128"/>
      <c r="D359" s="128"/>
      <c r="E359" s="128"/>
      <c r="F359" s="128"/>
      <c r="G359" s="128"/>
      <c r="H359" s="128"/>
      <c r="I359" s="128"/>
      <c r="J359" s="128"/>
      <c r="K359" s="128"/>
      <c r="N359" s="132"/>
    </row>
    <row r="360" spans="2:14" s="122" customFormat="1">
      <c r="B360" s="124" t="s">
        <v>251</v>
      </c>
      <c r="C360" s="128"/>
      <c r="D360" s="128"/>
      <c r="E360" s="128"/>
      <c r="F360" s="128"/>
      <c r="G360" s="128"/>
      <c r="H360" s="128"/>
      <c r="I360" s="128"/>
      <c r="J360" s="128"/>
      <c r="K360" s="128"/>
    </row>
    <row r="361" spans="2:14" s="122" customFormat="1">
      <c r="B361" s="175" t="s">
        <v>257</v>
      </c>
      <c r="C361" s="175"/>
      <c r="D361" s="175"/>
      <c r="E361" s="175"/>
      <c r="F361" s="175"/>
      <c r="G361" s="175"/>
      <c r="H361" s="175"/>
      <c r="I361" s="175"/>
      <c r="J361" s="175"/>
      <c r="K361" s="175"/>
    </row>
    <row r="362" spans="2:14" s="122" customFormat="1">
      <c r="B362" s="121"/>
    </row>
    <row r="363" spans="2:14" s="122" customFormat="1">
      <c r="B363" s="121"/>
    </row>
    <row r="364" spans="2:14" s="122" customFormat="1">
      <c r="B364" s="121"/>
    </row>
    <row r="365" spans="2:14" s="122" customFormat="1">
      <c r="B365" s="121"/>
    </row>
    <row r="366" spans="2:14" s="122" customFormat="1">
      <c r="B366" s="121"/>
    </row>
    <row r="367" spans="2:14" s="122" customFormat="1">
      <c r="B367" s="121"/>
    </row>
    <row r="368" spans="2:14" s="122" customFormat="1">
      <c r="B368" s="121"/>
    </row>
    <row r="369" spans="2:2" s="122" customFormat="1">
      <c r="B369" s="121"/>
    </row>
    <row r="370" spans="2:2" s="122" customFormat="1">
      <c r="B370" s="121"/>
    </row>
    <row r="371" spans="2:2" s="122" customFormat="1">
      <c r="B371" s="121"/>
    </row>
    <row r="372" spans="2:2" s="122" customFormat="1">
      <c r="B372" s="121"/>
    </row>
    <row r="373" spans="2:2" s="122" customFormat="1">
      <c r="B373" s="121"/>
    </row>
    <row r="374" spans="2:2" s="122" customFormat="1">
      <c r="B374" s="121"/>
    </row>
    <row r="375" spans="2:2" s="122" customFormat="1">
      <c r="B375" s="121"/>
    </row>
    <row r="376" spans="2:2" s="122" customFormat="1">
      <c r="B376" s="121"/>
    </row>
    <row r="377" spans="2:2" s="122" customFormat="1">
      <c r="B377" s="121"/>
    </row>
    <row r="378" spans="2:2" s="122" customFormat="1">
      <c r="B378" s="121"/>
    </row>
    <row r="379" spans="2:2" s="122" customFormat="1">
      <c r="B379" s="121"/>
    </row>
    <row r="380" spans="2:2" s="122" customFormat="1">
      <c r="B380" s="121"/>
    </row>
    <row r="381" spans="2:2" s="122" customFormat="1">
      <c r="B381" s="121"/>
    </row>
    <row r="382" spans="2:2" s="122" customFormat="1">
      <c r="B382" s="121"/>
    </row>
    <row r="383" spans="2:2" s="122" customFormat="1">
      <c r="B383" s="121"/>
    </row>
    <row r="384" spans="2:2" s="122" customFormat="1">
      <c r="B384" s="121"/>
    </row>
    <row r="385" spans="2:2" s="122" customFormat="1">
      <c r="B385" s="121"/>
    </row>
    <row r="386" spans="2:2" s="122" customFormat="1">
      <c r="B386" s="121"/>
    </row>
    <row r="387" spans="2:2" s="122" customFormat="1">
      <c r="B387" s="121"/>
    </row>
    <row r="388" spans="2:2" s="122" customFormat="1">
      <c r="B388" s="121"/>
    </row>
    <row r="389" spans="2:2" s="122" customFormat="1">
      <c r="B389" s="121"/>
    </row>
    <row r="390" spans="2:2" s="122" customFormat="1">
      <c r="B390" s="121"/>
    </row>
    <row r="391" spans="2:2" s="122" customFormat="1">
      <c r="B391" s="121"/>
    </row>
    <row r="392" spans="2:2" s="122" customFormat="1">
      <c r="B392" s="121"/>
    </row>
    <row r="393" spans="2:2" s="122" customFormat="1">
      <c r="B393" s="121"/>
    </row>
    <row r="394" spans="2:2" s="122" customFormat="1">
      <c r="B394" s="121"/>
    </row>
    <row r="395" spans="2:2" s="122" customFormat="1">
      <c r="B395" s="121"/>
    </row>
    <row r="396" spans="2:2" s="122" customFormat="1">
      <c r="B396" s="121"/>
    </row>
    <row r="397" spans="2:2" s="122" customFormat="1">
      <c r="B397" s="121"/>
    </row>
    <row r="398" spans="2:2" s="122" customFormat="1">
      <c r="B398" s="121"/>
    </row>
    <row r="399" spans="2:2" s="122" customFormat="1">
      <c r="B399" s="121"/>
    </row>
    <row r="400" spans="2:2" s="122" customFormat="1">
      <c r="B400" s="121"/>
    </row>
    <row r="401" spans="2:2" s="122" customFormat="1">
      <c r="B401" s="121"/>
    </row>
    <row r="402" spans="2:2" s="122" customFormat="1">
      <c r="B402" s="121"/>
    </row>
    <row r="403" spans="2:2" s="122" customFormat="1">
      <c r="B403" s="121"/>
    </row>
    <row r="404" spans="2:2" s="122" customFormat="1">
      <c r="B404" s="121"/>
    </row>
    <row r="405" spans="2:2" s="122" customFormat="1">
      <c r="B405" s="121"/>
    </row>
    <row r="406" spans="2:2" s="122" customFormat="1">
      <c r="B406" s="121"/>
    </row>
    <row r="407" spans="2:2" s="122" customFormat="1">
      <c r="B407" s="121"/>
    </row>
    <row r="408" spans="2:2" s="122" customFormat="1">
      <c r="B408" s="121"/>
    </row>
    <row r="409" spans="2:2" s="122" customFormat="1">
      <c r="B409" s="121"/>
    </row>
    <row r="410" spans="2:2" s="122" customFormat="1">
      <c r="B410" s="121"/>
    </row>
    <row r="411" spans="2:2" s="122" customFormat="1">
      <c r="B411" s="121"/>
    </row>
    <row r="412" spans="2:2" s="122" customFormat="1">
      <c r="B412" s="121"/>
    </row>
    <row r="413" spans="2:2" s="122" customFormat="1">
      <c r="B413" s="121"/>
    </row>
    <row r="414" spans="2:2" s="122" customFormat="1">
      <c r="B414" s="121"/>
    </row>
    <row r="415" spans="2:2" s="122" customFormat="1">
      <c r="B415" s="121"/>
    </row>
    <row r="416" spans="2:2" s="122" customFormat="1">
      <c r="B416" s="121"/>
    </row>
    <row r="417" spans="2:2" s="122" customFormat="1">
      <c r="B417" s="121"/>
    </row>
    <row r="418" spans="2:2" s="122" customFormat="1">
      <c r="B418" s="121"/>
    </row>
    <row r="419" spans="2:2" s="122" customFormat="1">
      <c r="B419" s="121"/>
    </row>
    <row r="420" spans="2:2" s="122" customFormat="1">
      <c r="B420" s="121"/>
    </row>
    <row r="421" spans="2:2" s="122" customFormat="1">
      <c r="B421" s="121"/>
    </row>
    <row r="422" spans="2:2" s="122" customFormat="1">
      <c r="B422" s="121"/>
    </row>
    <row r="423" spans="2:2" s="122" customFormat="1">
      <c r="B423" s="121"/>
    </row>
    <row r="424" spans="2:2" s="122" customFormat="1">
      <c r="B424" s="121"/>
    </row>
    <row r="425" spans="2:2" s="122" customFormat="1">
      <c r="B425" s="121"/>
    </row>
    <row r="426" spans="2:2" s="122" customFormat="1">
      <c r="B426" s="121"/>
    </row>
    <row r="427" spans="2:2" s="122" customFormat="1">
      <c r="B427" s="121"/>
    </row>
    <row r="428" spans="2:2" s="122" customFormat="1">
      <c r="B428" s="121"/>
    </row>
    <row r="429" spans="2:2" s="122" customFormat="1">
      <c r="B429" s="121"/>
    </row>
    <row r="430" spans="2:2" s="122" customFormat="1">
      <c r="B430" s="121"/>
    </row>
    <row r="431" spans="2:2" s="122" customFormat="1">
      <c r="B431" s="121"/>
    </row>
    <row r="432" spans="2:2" s="122" customFormat="1">
      <c r="B432" s="121"/>
    </row>
    <row r="433" spans="2:2" s="122" customFormat="1">
      <c r="B433" s="121"/>
    </row>
    <row r="434" spans="2:2" s="122" customFormat="1">
      <c r="B434" s="121"/>
    </row>
    <row r="435" spans="2:2" s="122" customFormat="1">
      <c r="B435" s="121"/>
    </row>
    <row r="436" spans="2:2" s="122" customFormat="1">
      <c r="B436" s="121"/>
    </row>
    <row r="437" spans="2:2" s="122" customFormat="1">
      <c r="B437" s="121"/>
    </row>
    <row r="438" spans="2:2" s="122" customFormat="1">
      <c r="B438" s="121"/>
    </row>
    <row r="439" spans="2:2" s="122" customFormat="1">
      <c r="B439" s="121"/>
    </row>
    <row r="440" spans="2:2" s="122" customFormat="1">
      <c r="B440" s="121"/>
    </row>
    <row r="441" spans="2:2" s="122" customFormat="1">
      <c r="B441" s="121"/>
    </row>
    <row r="442" spans="2:2" s="122" customFormat="1">
      <c r="B442" s="121"/>
    </row>
    <row r="443" spans="2:2" s="122" customFormat="1">
      <c r="B443" s="121"/>
    </row>
    <row r="444" spans="2:2" s="122" customFormat="1">
      <c r="B444" s="121"/>
    </row>
    <row r="445" spans="2:2" s="122" customFormat="1">
      <c r="B445" s="121"/>
    </row>
    <row r="446" spans="2:2" s="122" customFormat="1">
      <c r="B446" s="121"/>
    </row>
    <row r="447" spans="2:2" s="122" customFormat="1">
      <c r="B447" s="121"/>
    </row>
    <row r="448" spans="2:2" s="122" customFormat="1">
      <c r="B448" s="121"/>
    </row>
    <row r="449" spans="2:2" s="122" customFormat="1">
      <c r="B449" s="121"/>
    </row>
    <row r="450" spans="2:2" s="122" customFormat="1">
      <c r="B450" s="121"/>
    </row>
    <row r="451" spans="2:2" s="122" customFormat="1">
      <c r="B451" s="121"/>
    </row>
    <row r="452" spans="2:2" s="122" customFormat="1">
      <c r="B452" s="121"/>
    </row>
    <row r="453" spans="2:2" s="122" customFormat="1">
      <c r="B453" s="121"/>
    </row>
    <row r="454" spans="2:2" s="122" customFormat="1">
      <c r="B454" s="121"/>
    </row>
    <row r="455" spans="2:2" s="122" customFormat="1">
      <c r="B455" s="121"/>
    </row>
    <row r="456" spans="2:2" s="122" customFormat="1">
      <c r="B456" s="121"/>
    </row>
    <row r="457" spans="2:2" s="122" customFormat="1">
      <c r="B457" s="121"/>
    </row>
    <row r="458" spans="2:2" s="122" customFormat="1">
      <c r="B458" s="121"/>
    </row>
    <row r="459" spans="2:2" s="122" customFormat="1">
      <c r="B459" s="121"/>
    </row>
    <row r="460" spans="2:2" s="122" customFormat="1">
      <c r="B460" s="121"/>
    </row>
    <row r="461" spans="2:2" s="122" customFormat="1">
      <c r="B461" s="121"/>
    </row>
    <row r="462" spans="2:2" s="122" customFormat="1">
      <c r="B462" s="121"/>
    </row>
    <row r="463" spans="2:2" s="122" customFormat="1">
      <c r="B463" s="121"/>
    </row>
    <row r="464" spans="2:2" s="122" customFormat="1">
      <c r="B464" s="121"/>
    </row>
    <row r="465" spans="2:2" s="122" customFormat="1">
      <c r="B465" s="121"/>
    </row>
    <row r="466" spans="2:2" s="122" customFormat="1">
      <c r="B466" s="121"/>
    </row>
    <row r="467" spans="2:2" s="122" customFormat="1">
      <c r="B467" s="121"/>
    </row>
    <row r="468" spans="2:2" s="122" customFormat="1">
      <c r="B468" s="121"/>
    </row>
    <row r="469" spans="2:2" s="122" customFormat="1">
      <c r="B469" s="121"/>
    </row>
    <row r="470" spans="2:2" s="122" customFormat="1">
      <c r="B470" s="121"/>
    </row>
    <row r="471" spans="2:2" s="122" customFormat="1">
      <c r="B471" s="121"/>
    </row>
    <row r="472" spans="2:2" s="122" customFormat="1">
      <c r="B472" s="121"/>
    </row>
    <row r="473" spans="2:2" s="122" customFormat="1">
      <c r="B473" s="121"/>
    </row>
    <row r="474" spans="2:2" s="122" customFormat="1">
      <c r="B474" s="121"/>
    </row>
    <row r="475" spans="2:2" s="122" customFormat="1">
      <c r="B475" s="121"/>
    </row>
    <row r="476" spans="2:2" s="122" customFormat="1">
      <c r="B476" s="121"/>
    </row>
    <row r="477" spans="2:2" s="122" customFormat="1">
      <c r="B477" s="121"/>
    </row>
    <row r="478" spans="2:2" s="122" customFormat="1">
      <c r="B478" s="121"/>
    </row>
    <row r="479" spans="2:2" s="122" customFormat="1">
      <c r="B479" s="121"/>
    </row>
    <row r="480" spans="2:2" s="122" customFormat="1">
      <c r="B480" s="121"/>
    </row>
    <row r="481" spans="2:2" s="122" customFormat="1">
      <c r="B481" s="121"/>
    </row>
    <row r="482" spans="2:2" s="122" customFormat="1">
      <c r="B482" s="121"/>
    </row>
    <row r="483" spans="2:2" s="122" customFormat="1">
      <c r="B483" s="121"/>
    </row>
    <row r="484" spans="2:2" s="122" customFormat="1">
      <c r="B484" s="121"/>
    </row>
    <row r="485" spans="2:2" s="122" customFormat="1">
      <c r="B485" s="121"/>
    </row>
    <row r="486" spans="2:2" s="122" customFormat="1">
      <c r="B486" s="121"/>
    </row>
    <row r="487" spans="2:2" s="122" customFormat="1">
      <c r="B487" s="121"/>
    </row>
    <row r="488" spans="2:2" s="122" customFormat="1">
      <c r="B488" s="121"/>
    </row>
    <row r="489" spans="2:2" s="122" customFormat="1">
      <c r="B489" s="121"/>
    </row>
    <row r="490" spans="2:2" s="122" customFormat="1">
      <c r="B490" s="121"/>
    </row>
    <row r="491" spans="2:2" s="122" customFormat="1">
      <c r="B491" s="121"/>
    </row>
    <row r="492" spans="2:2" s="122" customFormat="1">
      <c r="B492" s="121"/>
    </row>
    <row r="493" spans="2:2" s="122" customFormat="1">
      <c r="B493" s="121"/>
    </row>
    <row r="494" spans="2:2" s="122" customFormat="1">
      <c r="B494" s="121"/>
    </row>
    <row r="495" spans="2:2" s="122" customFormat="1">
      <c r="B495" s="121"/>
    </row>
    <row r="496" spans="2:2" s="122" customFormat="1">
      <c r="B496" s="121"/>
    </row>
    <row r="497" spans="2:2" s="122" customFormat="1">
      <c r="B497" s="121"/>
    </row>
    <row r="498" spans="2:2" s="122" customFormat="1">
      <c r="B498" s="121"/>
    </row>
    <row r="499" spans="2:2" s="122" customFormat="1">
      <c r="B499" s="121"/>
    </row>
    <row r="500" spans="2:2" s="122" customFormat="1">
      <c r="B500" s="121"/>
    </row>
    <row r="501" spans="2:2" s="122" customFormat="1">
      <c r="B501" s="121"/>
    </row>
    <row r="502" spans="2:2" s="122" customFormat="1">
      <c r="B502" s="121"/>
    </row>
    <row r="503" spans="2:2" s="122" customFormat="1">
      <c r="B503" s="121"/>
    </row>
    <row r="504" spans="2:2" s="122" customFormat="1">
      <c r="B504" s="121"/>
    </row>
    <row r="505" spans="2:2" s="122" customFormat="1">
      <c r="B505" s="121"/>
    </row>
    <row r="506" spans="2:2" s="122" customFormat="1">
      <c r="B506" s="121"/>
    </row>
    <row r="507" spans="2:2" s="122" customFormat="1">
      <c r="B507" s="121"/>
    </row>
    <row r="508" spans="2:2" s="122" customFormat="1">
      <c r="B508" s="121"/>
    </row>
    <row r="509" spans="2:2" s="122" customFormat="1">
      <c r="B509" s="121"/>
    </row>
    <row r="510" spans="2:2" s="122" customFormat="1">
      <c r="B510" s="121"/>
    </row>
    <row r="511" spans="2:2" s="122" customFormat="1">
      <c r="B511" s="121"/>
    </row>
    <row r="512" spans="2:2" s="122" customFormat="1">
      <c r="B512" s="121"/>
    </row>
    <row r="513" spans="2:2" s="122" customFormat="1">
      <c r="B513" s="121"/>
    </row>
    <row r="514" spans="2:2" s="122" customFormat="1">
      <c r="B514" s="121"/>
    </row>
    <row r="515" spans="2:2" s="122" customFormat="1">
      <c r="B515" s="121"/>
    </row>
    <row r="516" spans="2:2" s="122" customFormat="1">
      <c r="B516" s="121"/>
    </row>
    <row r="517" spans="2:2" s="122" customFormat="1">
      <c r="B517" s="121"/>
    </row>
    <row r="518" spans="2:2" s="122" customFormat="1">
      <c r="B518" s="121"/>
    </row>
    <row r="519" spans="2:2" s="122" customFormat="1">
      <c r="B519" s="121"/>
    </row>
    <row r="520" spans="2:2" s="122" customFormat="1">
      <c r="B520" s="121"/>
    </row>
    <row r="521" spans="2:2" s="122" customFormat="1">
      <c r="B521" s="121"/>
    </row>
    <row r="522" spans="2:2" s="122" customFormat="1">
      <c r="B522" s="121"/>
    </row>
    <row r="523" spans="2:2" s="122" customFormat="1">
      <c r="B523" s="121"/>
    </row>
    <row r="524" spans="2:2" s="122" customFormat="1">
      <c r="B524" s="121"/>
    </row>
    <row r="525" spans="2:2" s="122" customFormat="1">
      <c r="B525" s="121"/>
    </row>
    <row r="526" spans="2:2" s="122" customFormat="1">
      <c r="B526" s="121"/>
    </row>
    <row r="527" spans="2:2" s="122" customFormat="1">
      <c r="B527" s="121"/>
    </row>
    <row r="528" spans="2:2" s="122" customFormat="1">
      <c r="B528" s="121"/>
    </row>
    <row r="529" spans="2:2" s="122" customFormat="1">
      <c r="B529" s="121"/>
    </row>
    <row r="530" spans="2:2" s="122" customFormat="1">
      <c r="B530" s="121"/>
    </row>
    <row r="531" spans="2:2" s="122" customFormat="1">
      <c r="B531" s="121"/>
    </row>
    <row r="532" spans="2:2" s="122" customFormat="1">
      <c r="B532" s="121"/>
    </row>
    <row r="533" spans="2:2" s="122" customFormat="1">
      <c r="B533" s="121"/>
    </row>
    <row r="534" spans="2:2" s="122" customFormat="1">
      <c r="B534" s="121"/>
    </row>
    <row r="535" spans="2:2" s="122" customFormat="1">
      <c r="B535" s="121"/>
    </row>
    <row r="536" spans="2:2" s="122" customFormat="1">
      <c r="B536" s="121"/>
    </row>
    <row r="537" spans="2:2" s="122" customFormat="1">
      <c r="B537" s="121"/>
    </row>
    <row r="538" spans="2:2" s="122" customFormat="1">
      <c r="B538" s="121"/>
    </row>
    <row r="539" spans="2:2" s="122" customFormat="1">
      <c r="B539" s="121"/>
    </row>
    <row r="540" spans="2:2" s="122" customFormat="1">
      <c r="B540" s="121"/>
    </row>
    <row r="541" spans="2:2" s="122" customFormat="1">
      <c r="B541" s="121"/>
    </row>
    <row r="542" spans="2:2" s="122" customFormat="1">
      <c r="B542" s="121"/>
    </row>
    <row r="543" spans="2:2" s="122" customFormat="1">
      <c r="B543" s="121"/>
    </row>
    <row r="544" spans="2:2" s="122" customFormat="1">
      <c r="B544" s="121"/>
    </row>
    <row r="545" spans="2:2" s="122" customFormat="1">
      <c r="B545" s="121"/>
    </row>
    <row r="546" spans="2:2" s="122" customFormat="1">
      <c r="B546" s="121"/>
    </row>
    <row r="547" spans="2:2" s="122" customFormat="1">
      <c r="B547" s="121"/>
    </row>
    <row r="548" spans="2:2" s="122" customFormat="1">
      <c r="B548" s="121"/>
    </row>
    <row r="549" spans="2:2" s="122" customFormat="1">
      <c r="B549" s="121"/>
    </row>
    <row r="550" spans="2:2" s="122" customFormat="1">
      <c r="B550" s="121"/>
    </row>
    <row r="551" spans="2:2" s="122" customFormat="1">
      <c r="B551" s="121"/>
    </row>
    <row r="552" spans="2:2" s="122" customFormat="1">
      <c r="B552" s="121"/>
    </row>
    <row r="553" spans="2:2" s="122" customFormat="1">
      <c r="B553" s="121"/>
    </row>
    <row r="554" spans="2:2" s="122" customFormat="1">
      <c r="B554" s="121"/>
    </row>
    <row r="555" spans="2:2" s="122" customFormat="1">
      <c r="B555" s="121"/>
    </row>
    <row r="556" spans="2:2" s="122" customFormat="1">
      <c r="B556" s="121"/>
    </row>
    <row r="557" spans="2:2" s="122" customFormat="1">
      <c r="B557" s="121"/>
    </row>
    <row r="558" spans="2:2" s="122" customFormat="1">
      <c r="B558" s="121"/>
    </row>
    <row r="559" spans="2:2" s="122" customFormat="1">
      <c r="B559" s="121"/>
    </row>
    <row r="560" spans="2:2" s="122" customFormat="1">
      <c r="B560" s="121"/>
    </row>
    <row r="561" spans="2:6" s="122" customFormat="1">
      <c r="B561" s="121"/>
    </row>
    <row r="562" spans="2:6" s="122" customFormat="1">
      <c r="B562" s="121"/>
    </row>
    <row r="563" spans="2:6" s="122" customFormat="1">
      <c r="B563" s="121"/>
    </row>
    <row r="564" spans="2:6" s="122" customFormat="1">
      <c r="B564" s="121"/>
    </row>
    <row r="565" spans="2:6" s="122" customFormat="1">
      <c r="B565" s="121"/>
    </row>
    <row r="566" spans="2:6" s="122" customFormat="1">
      <c r="B566" s="121"/>
    </row>
    <row r="567" spans="2:6" s="122" customFormat="1">
      <c r="B567" s="121"/>
    </row>
    <row r="568" spans="2:6" s="122" customFormat="1">
      <c r="B568" s="121"/>
    </row>
    <row r="569" spans="2:6" s="122" customFormat="1">
      <c r="B569" s="121"/>
    </row>
    <row r="570" spans="2:6" s="122" customFormat="1">
      <c r="B570" s="121"/>
    </row>
    <row r="571" spans="2:6" s="122" customFormat="1">
      <c r="B571" s="121"/>
    </row>
    <row r="572" spans="2:6" s="122" customFormat="1">
      <c r="B572" s="121"/>
    </row>
    <row r="573" spans="2:6">
      <c r="C573" s="1"/>
      <c r="D573" s="1"/>
      <c r="E573" s="1"/>
      <c r="F573" s="1"/>
    </row>
    <row r="574" spans="2:6">
      <c r="C574" s="1"/>
      <c r="D574" s="1"/>
      <c r="E574" s="1"/>
      <c r="F574" s="1"/>
    </row>
    <row r="575" spans="2:6">
      <c r="C575" s="1"/>
      <c r="D575" s="1"/>
      <c r="E575" s="1"/>
      <c r="F575" s="1"/>
    </row>
    <row r="576" spans="2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B799" s="42"/>
      <c r="C799" s="1"/>
      <c r="D799" s="1"/>
      <c r="E799" s="1"/>
      <c r="F799" s="1"/>
    </row>
    <row r="800" spans="2:6">
      <c r="B800" s="42"/>
      <c r="C800" s="1"/>
      <c r="D800" s="1"/>
      <c r="E800" s="1"/>
      <c r="F800" s="1"/>
    </row>
    <row r="801" spans="2:6">
      <c r="B801" s="3"/>
      <c r="C801" s="1"/>
      <c r="D801" s="1"/>
      <c r="E801" s="1"/>
      <c r="F801" s="1"/>
    </row>
    <row r="802" spans="2:6">
      <c r="C802" s="1"/>
      <c r="D802" s="1"/>
      <c r="E802" s="1"/>
      <c r="F802" s="1"/>
    </row>
    <row r="803" spans="2:6">
      <c r="C803" s="1"/>
      <c r="D803" s="1"/>
      <c r="E803" s="1"/>
      <c r="F803" s="1"/>
    </row>
    <row r="804" spans="2:6">
      <c r="C804" s="1"/>
      <c r="D804" s="1"/>
      <c r="E804" s="1"/>
      <c r="F804" s="1"/>
    </row>
    <row r="805" spans="2:6">
      <c r="C805" s="1"/>
      <c r="D805" s="1"/>
      <c r="E805" s="1"/>
      <c r="F805" s="1"/>
    </row>
    <row r="806" spans="2:6">
      <c r="C806" s="1"/>
      <c r="D806" s="1"/>
      <c r="E806" s="1"/>
      <c r="F806" s="1"/>
    </row>
    <row r="807" spans="2:6">
      <c r="C807" s="1"/>
      <c r="D807" s="1"/>
      <c r="E807" s="1"/>
      <c r="F807" s="1"/>
    </row>
    <row r="808" spans="2:6">
      <c r="C808" s="1"/>
      <c r="D808" s="1"/>
      <c r="E808" s="1"/>
      <c r="F808" s="1"/>
    </row>
    <row r="809" spans="2:6">
      <c r="C809" s="1"/>
      <c r="D809" s="1"/>
      <c r="E809" s="1"/>
      <c r="F809" s="1"/>
    </row>
    <row r="810" spans="2:6">
      <c r="C810" s="1"/>
      <c r="D810" s="1"/>
      <c r="E810" s="1"/>
      <c r="F810" s="1"/>
    </row>
    <row r="811" spans="2:6">
      <c r="C811" s="1"/>
      <c r="D811" s="1"/>
      <c r="E811" s="1"/>
      <c r="F811" s="1"/>
    </row>
    <row r="812" spans="2:6">
      <c r="C812" s="1"/>
      <c r="D812" s="1"/>
      <c r="E812" s="1"/>
      <c r="F812" s="1"/>
    </row>
    <row r="813" spans="2:6">
      <c r="C813" s="1"/>
      <c r="D813" s="1"/>
      <c r="E813" s="1"/>
      <c r="F813" s="1"/>
    </row>
    <row r="814" spans="2:6">
      <c r="C814" s="1"/>
      <c r="D814" s="1"/>
      <c r="E814" s="1"/>
      <c r="F814" s="1"/>
    </row>
    <row r="815" spans="2:6">
      <c r="C815" s="1"/>
      <c r="D815" s="1"/>
      <c r="E815" s="1"/>
      <c r="F815" s="1"/>
    </row>
    <row r="816" spans="2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  <row r="831" spans="3:6">
      <c r="C831" s="1"/>
      <c r="D831" s="1"/>
      <c r="E831" s="1"/>
      <c r="F831" s="1"/>
    </row>
    <row r="832" spans="3:6">
      <c r="C832" s="1"/>
      <c r="D832" s="1"/>
      <c r="E832" s="1"/>
      <c r="F832" s="1"/>
    </row>
    <row r="833" spans="3:6">
      <c r="C833" s="1"/>
      <c r="D833" s="1"/>
      <c r="E833" s="1"/>
      <c r="F833" s="1"/>
    </row>
  </sheetData>
  <sheetProtection sheet="1" objects="1" scenarios="1"/>
  <mergeCells count="3">
    <mergeCell ref="B6:U6"/>
    <mergeCell ref="B7:U7"/>
    <mergeCell ref="B361:K361"/>
  </mergeCells>
  <phoneticPr fontId="5" type="noConversion"/>
  <conditionalFormatting sqref="B12:B349">
    <cfRule type="cellIs" dxfId="8" priority="2" operator="equal">
      <formula>"NR3"</formula>
    </cfRule>
  </conditionalFormatting>
  <conditionalFormatting sqref="B12:B349">
    <cfRule type="containsText" dxfId="7" priority="1" operator="containsText" text="הפרשה ">
      <formula>NOT(ISERROR(SEARCH("הפרשה ",B12)))</formula>
    </cfRule>
  </conditionalFormatting>
  <dataValidations count="7">
    <dataValidation type="list" allowBlank="1" showInputMessage="1" showErrorMessage="1" sqref="G559:G831">
      <formula1>$AN$7:$AN$24</formula1>
    </dataValidation>
    <dataValidation allowBlank="1" showInputMessage="1" showErrorMessage="1" sqref="H2 B33 Q9 B35 B359 B361"/>
    <dataValidation type="list" allowBlank="1" showInputMessage="1" showErrorMessage="1" sqref="I31:I34 I362:I831 I197:I277 I354:I360 I142:I146 I12:I30 I325 I188:I196 I279:I281 I293:I295 I296:I323 I147:I164 I36:I136 I140:I141 I166:I186 I337:I349 I289:I292 I326:I335 I282:I283 I285:I286">
      <formula1>$AP$7:$AP$10</formula1>
    </dataValidation>
    <dataValidation type="list" allowBlank="1" showInputMessage="1" showErrorMessage="1" sqref="E362:E825 E354:E360 E12:E34 E36:E281 E282:E349">
      <formula1>$AL$7:$AL$24</formula1>
    </dataValidation>
    <dataValidation type="list" allowBlank="1" showInputMessage="1" showErrorMessage="1" sqref="L372:L831 L354:L361 L12:L281 L282:L349">
      <formula1>$AQ$7:$AQ$20</formula1>
    </dataValidation>
    <dataValidation type="list" allowBlank="1" showInputMessage="1" showErrorMessage="1" sqref="G241:G251 G231:G238 G188:G190 G228:G229 G192:G226 G362:G558 G160:G161 G253 G36:G103 G354:G360 G12:G34 G106:G157 G163:G186 G255:G281 G282:G349">
      <formula1>$AN$7:$AN$29</formula1>
    </dataValidation>
    <dataValidation type="list" allowBlank="1" showInputMessage="1" showErrorMessage="1" sqref="I165 I187 I284 I139 I288 I336 I324 I138 I137 I287">
      <formula1>$BJ$5:$BJ$6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D255"/>
  <sheetViews>
    <sheetView rightToLeft="1" workbookViewId="0">
      <selection activeCell="C17" sqref="C17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48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6.28515625" style="1" customWidth="1"/>
    <col min="16" max="16" width="8" style="1" customWidth="1"/>
    <col min="17" max="17" width="8.7109375" style="1" customWidth="1"/>
    <col min="18" max="18" width="10" style="1" customWidth="1"/>
    <col min="19" max="19" width="9.5703125" style="1" customWidth="1"/>
    <col min="20" max="20" width="6.140625" style="1" customWidth="1"/>
    <col min="21" max="22" width="5.7109375" style="1" customWidth="1"/>
    <col min="23" max="23" width="6.85546875" style="1" customWidth="1"/>
    <col min="24" max="24" width="6.42578125" style="1" customWidth="1"/>
    <col min="25" max="25" width="6.7109375" style="1" customWidth="1"/>
    <col min="26" max="26" width="7.28515625" style="1" customWidth="1"/>
    <col min="27" max="38" width="5.7109375" style="1" customWidth="1"/>
    <col min="39" max="16384" width="9.140625" style="1"/>
  </cols>
  <sheetData>
    <row r="1" spans="2:56">
      <c r="B1" s="47" t="s">
        <v>180</v>
      </c>
      <c r="C1" s="68" t="s" vm="1">
        <v>270</v>
      </c>
    </row>
    <row r="2" spans="2:56">
      <c r="B2" s="47" t="s">
        <v>179</v>
      </c>
      <c r="C2" s="68" t="s">
        <v>271</v>
      </c>
    </row>
    <row r="3" spans="2:56">
      <c r="B3" s="47" t="s">
        <v>181</v>
      </c>
      <c r="C3" s="68" t="s">
        <v>272</v>
      </c>
    </row>
    <row r="4" spans="2:56">
      <c r="B4" s="47" t="s">
        <v>182</v>
      </c>
      <c r="C4" s="68">
        <v>2102</v>
      </c>
    </row>
    <row r="6" spans="2:56" ht="26.25" customHeight="1">
      <c r="B6" s="163" t="s">
        <v>210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  <c r="BD6" s="3"/>
    </row>
    <row r="7" spans="2:56" ht="26.25" customHeight="1">
      <c r="B7" s="163" t="s">
        <v>268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5"/>
      <c r="BA7" s="3"/>
      <c r="BD7" s="3"/>
    </row>
    <row r="8" spans="2:56" s="3" customFormat="1" ht="74.25" customHeight="1">
      <c r="B8" s="22" t="s">
        <v>118</v>
      </c>
      <c r="C8" s="30" t="s">
        <v>47</v>
      </c>
      <c r="D8" s="30" t="s">
        <v>122</v>
      </c>
      <c r="E8" s="30" t="s">
        <v>120</v>
      </c>
      <c r="F8" s="30" t="s">
        <v>68</v>
      </c>
      <c r="G8" s="30" t="s">
        <v>106</v>
      </c>
      <c r="H8" s="30" t="s">
        <v>245</v>
      </c>
      <c r="I8" s="30" t="s">
        <v>244</v>
      </c>
      <c r="J8" s="30" t="s">
        <v>260</v>
      </c>
      <c r="K8" s="30" t="s">
        <v>64</v>
      </c>
      <c r="L8" s="30" t="s">
        <v>61</v>
      </c>
      <c r="M8" s="30" t="s">
        <v>183</v>
      </c>
      <c r="N8" s="14" t="s">
        <v>185</v>
      </c>
      <c r="BA8" s="1"/>
      <c r="BB8" s="1"/>
      <c r="BD8" s="4"/>
    </row>
    <row r="9" spans="2:56" s="3" customFormat="1" ht="26.25" customHeight="1">
      <c r="B9" s="15"/>
      <c r="C9" s="16"/>
      <c r="D9" s="16"/>
      <c r="E9" s="16"/>
      <c r="F9" s="16"/>
      <c r="G9" s="16"/>
      <c r="H9" s="32" t="s">
        <v>252</v>
      </c>
      <c r="I9" s="32"/>
      <c r="J9" s="16" t="s">
        <v>248</v>
      </c>
      <c r="K9" s="16" t="s">
        <v>248</v>
      </c>
      <c r="L9" s="16" t="s">
        <v>19</v>
      </c>
      <c r="M9" s="16" t="s">
        <v>19</v>
      </c>
      <c r="N9" s="17" t="s">
        <v>19</v>
      </c>
      <c r="BA9" s="1"/>
      <c r="BD9" s="4"/>
    </row>
    <row r="10" spans="2:5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BA10" s="1"/>
      <c r="BB10" s="3"/>
      <c r="BD10" s="1"/>
    </row>
    <row r="11" spans="2:56" s="123" customFormat="1" ht="18" customHeight="1">
      <c r="B11" s="69" t="s">
        <v>263</v>
      </c>
      <c r="C11" s="70"/>
      <c r="D11" s="70"/>
      <c r="E11" s="70"/>
      <c r="F11" s="70"/>
      <c r="G11" s="70"/>
      <c r="H11" s="78"/>
      <c r="I11" s="80"/>
      <c r="J11" s="78">
        <v>175.70378230600002</v>
      </c>
      <c r="K11" s="78">
        <v>4858982.4588419925</v>
      </c>
      <c r="L11" s="70"/>
      <c r="M11" s="79">
        <f>K11/$K$11</f>
        <v>1</v>
      </c>
      <c r="N11" s="79">
        <f>K11/'סכום נכסי הקרן'!$C$42</f>
        <v>9.3278623041155792E-2</v>
      </c>
      <c r="BA11" s="122"/>
      <c r="BB11" s="127"/>
      <c r="BD11" s="122"/>
    </row>
    <row r="12" spans="2:56" s="122" customFormat="1" ht="20.25">
      <c r="B12" s="71" t="s">
        <v>238</v>
      </c>
      <c r="C12" s="72"/>
      <c r="D12" s="72"/>
      <c r="E12" s="72"/>
      <c r="F12" s="72"/>
      <c r="G12" s="72"/>
      <c r="H12" s="81"/>
      <c r="I12" s="83"/>
      <c r="J12" s="72"/>
      <c r="K12" s="81">
        <v>615542.03739592701</v>
      </c>
      <c r="L12" s="72"/>
      <c r="M12" s="82">
        <f t="shared" ref="M12:M23" si="0">K12/$K$11</f>
        <v>0.12668126353817397</v>
      </c>
      <c r="N12" s="82">
        <f>K12/'סכום נכסי הקרן'!$C$42</f>
        <v>1.1816653827954644E-2</v>
      </c>
      <c r="BB12" s="123"/>
    </row>
    <row r="13" spans="2:56" s="122" customFormat="1">
      <c r="B13" s="92" t="s">
        <v>264</v>
      </c>
      <c r="C13" s="72"/>
      <c r="D13" s="72"/>
      <c r="E13" s="72"/>
      <c r="F13" s="72"/>
      <c r="G13" s="72"/>
      <c r="H13" s="81"/>
      <c r="I13" s="83"/>
      <c r="J13" s="72"/>
      <c r="K13" s="81">
        <v>520340.987248199</v>
      </c>
      <c r="L13" s="72"/>
      <c r="M13" s="82">
        <f t="shared" si="0"/>
        <v>0.10708846793659928</v>
      </c>
      <c r="N13" s="82">
        <f>K13/'סכום נכסי הקרן'!$C$42</f>
        <v>9.9890648327129426E-3</v>
      </c>
    </row>
    <row r="14" spans="2:56" s="122" customFormat="1">
      <c r="B14" s="77" t="s">
        <v>1668</v>
      </c>
      <c r="C14" s="74" t="s">
        <v>1669</v>
      </c>
      <c r="D14" s="87" t="s">
        <v>123</v>
      </c>
      <c r="E14" s="74" t="s">
        <v>1670</v>
      </c>
      <c r="F14" s="87" t="s">
        <v>1671</v>
      </c>
      <c r="G14" s="87" t="s">
        <v>165</v>
      </c>
      <c r="H14" s="84">
        <v>3466434.53865</v>
      </c>
      <c r="I14" s="86">
        <v>1253</v>
      </c>
      <c r="J14" s="74"/>
      <c r="K14" s="84">
        <v>43434.424769285004</v>
      </c>
      <c r="L14" s="85">
        <v>4.9572792705590112E-2</v>
      </c>
      <c r="M14" s="85">
        <f t="shared" si="0"/>
        <v>8.93899600115791E-3</v>
      </c>
      <c r="N14" s="85">
        <f>K14/'סכום נכסי הקרן'!$C$42</f>
        <v>8.3381723835840782E-4</v>
      </c>
    </row>
    <row r="15" spans="2:56" s="122" customFormat="1">
      <c r="B15" s="77" t="s">
        <v>1672</v>
      </c>
      <c r="C15" s="74" t="s">
        <v>1673</v>
      </c>
      <c r="D15" s="87" t="s">
        <v>123</v>
      </c>
      <c r="E15" s="74" t="s">
        <v>1670</v>
      </c>
      <c r="F15" s="87" t="s">
        <v>1671</v>
      </c>
      <c r="G15" s="87" t="s">
        <v>165</v>
      </c>
      <c r="H15" s="84">
        <v>5278989.4456390003</v>
      </c>
      <c r="I15" s="86">
        <v>1853</v>
      </c>
      <c r="J15" s="74"/>
      <c r="K15" s="84">
        <v>97819.674427693986</v>
      </c>
      <c r="L15" s="85">
        <v>0.11539503183586759</v>
      </c>
      <c r="M15" s="85">
        <f t="shared" si="0"/>
        <v>2.0131720016747429E-2</v>
      </c>
      <c r="N15" s="85">
        <f>K15/'סכום נכסי הקרן'!$C$42</f>
        <v>1.877859122612274E-3</v>
      </c>
    </row>
    <row r="16" spans="2:56" s="122" customFormat="1" ht="20.25">
      <c r="B16" s="77" t="s">
        <v>1674</v>
      </c>
      <c r="C16" s="74" t="s">
        <v>1675</v>
      </c>
      <c r="D16" s="87" t="s">
        <v>123</v>
      </c>
      <c r="E16" s="74" t="s">
        <v>1676</v>
      </c>
      <c r="F16" s="87" t="s">
        <v>1671</v>
      </c>
      <c r="G16" s="87" t="s">
        <v>165</v>
      </c>
      <c r="H16" s="84">
        <v>2227.4278159999999</v>
      </c>
      <c r="I16" s="86">
        <v>832.8</v>
      </c>
      <c r="J16" s="74"/>
      <c r="K16" s="84">
        <v>18.550018852000001</v>
      </c>
      <c r="L16" s="85">
        <v>4.5735483590131076E-3</v>
      </c>
      <c r="M16" s="85">
        <f t="shared" si="0"/>
        <v>3.8176756160632238E-6</v>
      </c>
      <c r="N16" s="85">
        <f>K16/'סכום נכסי הקרן'!$C$42</f>
        <v>3.5610752468417365E-7</v>
      </c>
      <c r="BA16" s="123"/>
    </row>
    <row r="17" spans="2:14" s="122" customFormat="1">
      <c r="B17" s="77" t="s">
        <v>1677</v>
      </c>
      <c r="C17" s="74" t="s">
        <v>1678</v>
      </c>
      <c r="D17" s="87" t="s">
        <v>123</v>
      </c>
      <c r="E17" s="74" t="s">
        <v>1676</v>
      </c>
      <c r="F17" s="87" t="s">
        <v>1671</v>
      </c>
      <c r="G17" s="87" t="s">
        <v>165</v>
      </c>
      <c r="H17" s="84">
        <v>6339816.421289999</v>
      </c>
      <c r="I17" s="86">
        <v>1249</v>
      </c>
      <c r="J17" s="74"/>
      <c r="K17" s="84">
        <v>79184.307101912011</v>
      </c>
      <c r="L17" s="85">
        <v>5.8301799297030978E-2</v>
      </c>
      <c r="M17" s="85">
        <f t="shared" si="0"/>
        <v>1.6296479308711777E-2</v>
      </c>
      <c r="N17" s="85">
        <f>K17/'סכום נכסי הקרן'!$C$42</f>
        <v>1.520113150335321E-3</v>
      </c>
    </row>
    <row r="18" spans="2:14" s="122" customFormat="1">
      <c r="B18" s="77" t="s">
        <v>1679</v>
      </c>
      <c r="C18" s="74" t="s">
        <v>1680</v>
      </c>
      <c r="D18" s="87" t="s">
        <v>123</v>
      </c>
      <c r="E18" s="74" t="s">
        <v>1676</v>
      </c>
      <c r="F18" s="87" t="s">
        <v>1671</v>
      </c>
      <c r="G18" s="87" t="s">
        <v>165</v>
      </c>
      <c r="H18" s="84">
        <v>1280770.9942000001</v>
      </c>
      <c r="I18" s="86">
        <v>1834</v>
      </c>
      <c r="J18" s="74"/>
      <c r="K18" s="84">
        <v>23489.340033628003</v>
      </c>
      <c r="L18" s="85">
        <v>2.0055412854282476E-2</v>
      </c>
      <c r="M18" s="85">
        <f t="shared" si="0"/>
        <v>4.8342096792063855E-3</v>
      </c>
      <c r="N18" s="85">
        <f>K18/'סכום נכסי הקרן'!$C$42</f>
        <v>4.509284223685991E-4</v>
      </c>
    </row>
    <row r="19" spans="2:14" s="122" customFormat="1">
      <c r="B19" s="77" t="s">
        <v>1681</v>
      </c>
      <c r="C19" s="74" t="s">
        <v>1682</v>
      </c>
      <c r="D19" s="87" t="s">
        <v>123</v>
      </c>
      <c r="E19" s="74" t="s">
        <v>1683</v>
      </c>
      <c r="F19" s="87" t="s">
        <v>1671</v>
      </c>
      <c r="G19" s="87" t="s">
        <v>165</v>
      </c>
      <c r="H19" s="84">
        <v>73644.332167</v>
      </c>
      <c r="I19" s="86">
        <v>18050</v>
      </c>
      <c r="J19" s="74"/>
      <c r="K19" s="84">
        <v>13292.801956052999</v>
      </c>
      <c r="L19" s="85">
        <v>8.6190456322594571E-3</v>
      </c>
      <c r="M19" s="85">
        <f t="shared" si="0"/>
        <v>2.7357172141800612E-3</v>
      </c>
      <c r="N19" s="85">
        <f>K19/'סכום נכסי הקרן'!$C$42</f>
        <v>2.5518393476870279E-4</v>
      </c>
    </row>
    <row r="20" spans="2:14" s="122" customFormat="1">
      <c r="B20" s="77" t="s">
        <v>1684</v>
      </c>
      <c r="C20" s="74" t="s">
        <v>1685</v>
      </c>
      <c r="D20" s="87" t="s">
        <v>123</v>
      </c>
      <c r="E20" s="74" t="s">
        <v>1683</v>
      </c>
      <c r="F20" s="87" t="s">
        <v>1671</v>
      </c>
      <c r="G20" s="87" t="s">
        <v>165</v>
      </c>
      <c r="H20" s="84">
        <v>993989.66289000004</v>
      </c>
      <c r="I20" s="86">
        <v>12280</v>
      </c>
      <c r="J20" s="74"/>
      <c r="K20" s="84">
        <v>122061.930602892</v>
      </c>
      <c r="L20" s="85">
        <v>7.3350566435346778E-2</v>
      </c>
      <c r="M20" s="85">
        <f t="shared" si="0"/>
        <v>2.5120883155437892E-2</v>
      </c>
      <c r="N20" s="85">
        <f>K20/'סכום נכסי הקרן'!$C$42</f>
        <v>2.3432413903170112E-3</v>
      </c>
    </row>
    <row r="21" spans="2:14" s="122" customFormat="1">
      <c r="B21" s="77" t="s">
        <v>1686</v>
      </c>
      <c r="C21" s="74" t="s">
        <v>1687</v>
      </c>
      <c r="D21" s="87" t="s">
        <v>123</v>
      </c>
      <c r="E21" s="74" t="s">
        <v>1688</v>
      </c>
      <c r="F21" s="87" t="s">
        <v>1671</v>
      </c>
      <c r="G21" s="87" t="s">
        <v>165</v>
      </c>
      <c r="H21" s="84">
        <v>4343484.2412</v>
      </c>
      <c r="I21" s="86">
        <v>1268</v>
      </c>
      <c r="J21" s="74"/>
      <c r="K21" s="84">
        <v>55075.380178415988</v>
      </c>
      <c r="L21" s="85">
        <v>2.2666732997347134E-2</v>
      </c>
      <c r="M21" s="85">
        <f t="shared" si="0"/>
        <v>1.1334755917505764E-2</v>
      </c>
      <c r="N21" s="85">
        <f>K21/'סכום נכסי הקרן'!$C$42</f>
        <v>1.0572904244925303E-3</v>
      </c>
    </row>
    <row r="22" spans="2:14" s="122" customFormat="1">
      <c r="B22" s="77" t="s">
        <v>1689</v>
      </c>
      <c r="C22" s="74" t="s">
        <v>1690</v>
      </c>
      <c r="D22" s="87" t="s">
        <v>123</v>
      </c>
      <c r="E22" s="74" t="s">
        <v>1688</v>
      </c>
      <c r="F22" s="87" t="s">
        <v>1671</v>
      </c>
      <c r="G22" s="87" t="s">
        <v>165</v>
      </c>
      <c r="H22" s="84">
        <v>0.65709099999999987</v>
      </c>
      <c r="I22" s="86">
        <v>1313</v>
      </c>
      <c r="J22" s="74"/>
      <c r="K22" s="84">
        <v>8.6284989999999995E-3</v>
      </c>
      <c r="L22" s="85">
        <v>7.2364209086025191E-9</v>
      </c>
      <c r="M22" s="85">
        <f t="shared" si="0"/>
        <v>1.7757831136637546E-9</v>
      </c>
      <c r="N22" s="85">
        <f>K22/'סכום נכסי הקרן'!$C$42</f>
        <v>1.6564260366229128E-10</v>
      </c>
    </row>
    <row r="23" spans="2:14" s="122" customFormat="1">
      <c r="B23" s="77" t="s">
        <v>1691</v>
      </c>
      <c r="C23" s="74" t="s">
        <v>1692</v>
      </c>
      <c r="D23" s="87" t="s">
        <v>123</v>
      </c>
      <c r="E23" s="74" t="s">
        <v>1688</v>
      </c>
      <c r="F23" s="87" t="s">
        <v>1671</v>
      </c>
      <c r="G23" s="87" t="s">
        <v>165</v>
      </c>
      <c r="H23" s="84">
        <v>4702656.9765299996</v>
      </c>
      <c r="I23" s="86">
        <v>1828</v>
      </c>
      <c r="J23" s="74"/>
      <c r="K23" s="84">
        <v>85964.569530968001</v>
      </c>
      <c r="L23" s="85">
        <v>5.4917387813448404E-2</v>
      </c>
      <c r="M23" s="85">
        <f t="shared" si="0"/>
        <v>1.769188719225287E-2</v>
      </c>
      <c r="N23" s="85">
        <f>K23/'סכום נכסי הקרן'!$C$42</f>
        <v>1.6502748762928076E-3</v>
      </c>
    </row>
    <row r="24" spans="2:14" s="122" customFormat="1">
      <c r="B24" s="73"/>
      <c r="C24" s="74"/>
      <c r="D24" s="74"/>
      <c r="E24" s="74"/>
      <c r="F24" s="74"/>
      <c r="G24" s="74"/>
      <c r="H24" s="84"/>
      <c r="I24" s="86"/>
      <c r="J24" s="74"/>
      <c r="K24" s="74"/>
      <c r="L24" s="74"/>
      <c r="M24" s="85"/>
      <c r="N24" s="74"/>
    </row>
    <row r="25" spans="2:14" s="122" customFormat="1">
      <c r="B25" s="92" t="s">
        <v>265</v>
      </c>
      <c r="C25" s="72"/>
      <c r="D25" s="72"/>
      <c r="E25" s="72"/>
      <c r="F25" s="72"/>
      <c r="G25" s="72"/>
      <c r="H25" s="81"/>
      <c r="I25" s="83"/>
      <c r="J25" s="72"/>
      <c r="K25" s="81">
        <v>95201.050147728005</v>
      </c>
      <c r="L25" s="72"/>
      <c r="M25" s="82">
        <f t="shared" ref="M25:M41" si="1">K25/$K$11</f>
        <v>1.9592795601574699E-2</v>
      </c>
      <c r="N25" s="82">
        <f>K25/'סכום נכסי הקרן'!$C$42</f>
        <v>1.8275889952417016E-3</v>
      </c>
    </row>
    <row r="26" spans="2:14" s="122" customFormat="1">
      <c r="B26" s="77" t="s">
        <v>1693</v>
      </c>
      <c r="C26" s="74" t="s">
        <v>1694</v>
      </c>
      <c r="D26" s="87" t="s">
        <v>123</v>
      </c>
      <c r="E26" s="74" t="s">
        <v>1670</v>
      </c>
      <c r="F26" s="87" t="s">
        <v>1695</v>
      </c>
      <c r="G26" s="87" t="s">
        <v>165</v>
      </c>
      <c r="H26" s="84">
        <v>492866.96818299999</v>
      </c>
      <c r="I26" s="86">
        <v>334.15</v>
      </c>
      <c r="J26" s="74"/>
      <c r="K26" s="84">
        <v>1646.9149741819999</v>
      </c>
      <c r="L26" s="85">
        <v>3.3730848482960009E-3</v>
      </c>
      <c r="M26" s="85">
        <f t="shared" si="1"/>
        <v>3.389423584324891E-4</v>
      </c>
      <c r="N26" s="85">
        <f>K26/'סכום נכסי הקרן'!$C$42</f>
        <v>3.1616076484904466E-5</v>
      </c>
    </row>
    <row r="27" spans="2:14" s="122" customFormat="1">
      <c r="B27" s="77" t="s">
        <v>1696</v>
      </c>
      <c r="C27" s="74" t="s">
        <v>1697</v>
      </c>
      <c r="D27" s="87" t="s">
        <v>123</v>
      </c>
      <c r="E27" s="74" t="s">
        <v>1670</v>
      </c>
      <c r="F27" s="87" t="s">
        <v>1695</v>
      </c>
      <c r="G27" s="87" t="s">
        <v>165</v>
      </c>
      <c r="H27" s="84">
        <v>669137.71669100004</v>
      </c>
      <c r="I27" s="86">
        <v>309.06</v>
      </c>
      <c r="J27" s="74"/>
      <c r="K27" s="84">
        <v>2068.0370275719997</v>
      </c>
      <c r="L27" s="85">
        <v>2.4813043705095409E-2</v>
      </c>
      <c r="M27" s="85">
        <f t="shared" si="1"/>
        <v>4.2561113259603338E-4</v>
      </c>
      <c r="N27" s="85">
        <f>K27/'סכום נכסי הקרן'!$C$42</f>
        <v>3.9700420399544775E-5</v>
      </c>
    </row>
    <row r="28" spans="2:14" s="122" customFormat="1">
      <c r="B28" s="77" t="s">
        <v>1698</v>
      </c>
      <c r="C28" s="74" t="s">
        <v>1699</v>
      </c>
      <c r="D28" s="87" t="s">
        <v>123</v>
      </c>
      <c r="E28" s="74" t="s">
        <v>1670</v>
      </c>
      <c r="F28" s="87" t="s">
        <v>1695</v>
      </c>
      <c r="G28" s="87" t="s">
        <v>165</v>
      </c>
      <c r="H28" s="84">
        <v>6059263.7898960002</v>
      </c>
      <c r="I28" s="86">
        <v>322.18</v>
      </c>
      <c r="J28" s="74"/>
      <c r="K28" s="84">
        <v>19521.736078503003</v>
      </c>
      <c r="L28" s="85">
        <v>2.6047172801982564E-2</v>
      </c>
      <c r="M28" s="85">
        <f t="shared" si="1"/>
        <v>4.0176593029223415E-3</v>
      </c>
      <c r="N28" s="85">
        <f>K28/'סכום נכסי הקרן'!$C$42</f>
        <v>3.7476172762508582E-4</v>
      </c>
    </row>
    <row r="29" spans="2:14" s="122" customFormat="1">
      <c r="B29" s="77" t="s">
        <v>1700</v>
      </c>
      <c r="C29" s="74" t="s">
        <v>1701</v>
      </c>
      <c r="D29" s="87" t="s">
        <v>123</v>
      </c>
      <c r="E29" s="74" t="s">
        <v>1670</v>
      </c>
      <c r="F29" s="87" t="s">
        <v>1695</v>
      </c>
      <c r="G29" s="87" t="s">
        <v>165</v>
      </c>
      <c r="H29" s="84">
        <v>391783.548801</v>
      </c>
      <c r="I29" s="86">
        <v>350</v>
      </c>
      <c r="J29" s="74"/>
      <c r="K29" s="84">
        <v>1371.2424208049999</v>
      </c>
      <c r="L29" s="85">
        <v>2.7689934319516628E-3</v>
      </c>
      <c r="M29" s="85">
        <f t="shared" si="1"/>
        <v>2.8220773226084016E-4</v>
      </c>
      <c r="N29" s="85">
        <f>K29/'סכום נכסי הקרן'!$C$42</f>
        <v>2.6323948676858331E-5</v>
      </c>
    </row>
    <row r="30" spans="2:14" s="122" customFormat="1">
      <c r="B30" s="77" t="s">
        <v>1702</v>
      </c>
      <c r="C30" s="74" t="s">
        <v>1703</v>
      </c>
      <c r="D30" s="87" t="s">
        <v>123</v>
      </c>
      <c r="E30" s="74" t="s">
        <v>1676</v>
      </c>
      <c r="F30" s="87" t="s">
        <v>1695</v>
      </c>
      <c r="G30" s="87" t="s">
        <v>165</v>
      </c>
      <c r="H30" s="84">
        <v>3242604.6443540002</v>
      </c>
      <c r="I30" s="86">
        <v>322.83</v>
      </c>
      <c r="J30" s="74"/>
      <c r="K30" s="84">
        <v>10468.10057456</v>
      </c>
      <c r="L30" s="85">
        <v>8.5619704221972185E-3</v>
      </c>
      <c r="M30" s="85">
        <f t="shared" si="1"/>
        <v>2.1543812234824963E-3</v>
      </c>
      <c r="N30" s="85">
        <f>K30/'סכום נכסי הקרן'!$C$42</f>
        <v>2.0095771403216776E-4</v>
      </c>
    </row>
    <row r="31" spans="2:14" s="122" customFormat="1">
      <c r="B31" s="77" t="s">
        <v>1704</v>
      </c>
      <c r="C31" s="74" t="s">
        <v>1705</v>
      </c>
      <c r="D31" s="87" t="s">
        <v>123</v>
      </c>
      <c r="E31" s="74" t="s">
        <v>1676</v>
      </c>
      <c r="F31" s="87" t="s">
        <v>1695</v>
      </c>
      <c r="G31" s="87" t="s">
        <v>165</v>
      </c>
      <c r="H31" s="84">
        <v>1035544.307176</v>
      </c>
      <c r="I31" s="86">
        <v>331.08</v>
      </c>
      <c r="J31" s="74"/>
      <c r="K31" s="84">
        <v>3428.4800923489997</v>
      </c>
      <c r="L31" s="85">
        <v>4.1764664357884672E-3</v>
      </c>
      <c r="M31" s="85">
        <f t="shared" si="1"/>
        <v>7.0559630980147339E-4</v>
      </c>
      <c r="N31" s="85">
        <f>K31/'סכום נכסי הקרן'!$C$42</f>
        <v>6.581705220120222E-5</v>
      </c>
    </row>
    <row r="32" spans="2:14" s="122" customFormat="1">
      <c r="B32" s="77" t="s">
        <v>1706</v>
      </c>
      <c r="C32" s="74" t="s">
        <v>1707</v>
      </c>
      <c r="D32" s="87" t="s">
        <v>123</v>
      </c>
      <c r="E32" s="74" t="s">
        <v>1676</v>
      </c>
      <c r="F32" s="87" t="s">
        <v>1695</v>
      </c>
      <c r="G32" s="87" t="s">
        <v>165</v>
      </c>
      <c r="H32" s="84">
        <v>342380.661907</v>
      </c>
      <c r="I32" s="86">
        <v>310.85000000000002</v>
      </c>
      <c r="J32" s="74"/>
      <c r="K32" s="84">
        <v>1064.2902888799999</v>
      </c>
      <c r="L32" s="85">
        <v>7.0364367211969937E-3</v>
      </c>
      <c r="M32" s="85">
        <f t="shared" si="1"/>
        <v>2.1903563099786222E-4</v>
      </c>
      <c r="N32" s="85">
        <f>K32/'סכום נכסי הקרן'!$C$42</f>
        <v>2.043134205643129E-5</v>
      </c>
    </row>
    <row r="33" spans="2:14" s="122" customFormat="1">
      <c r="B33" s="77" t="s">
        <v>1708</v>
      </c>
      <c r="C33" s="74" t="s">
        <v>1709</v>
      </c>
      <c r="D33" s="87" t="s">
        <v>123</v>
      </c>
      <c r="E33" s="74" t="s">
        <v>1676</v>
      </c>
      <c r="F33" s="87" t="s">
        <v>1695</v>
      </c>
      <c r="G33" s="87" t="s">
        <v>165</v>
      </c>
      <c r="H33" s="84">
        <v>1603802.191257</v>
      </c>
      <c r="I33" s="86">
        <v>347.66</v>
      </c>
      <c r="J33" s="74"/>
      <c r="K33" s="84">
        <v>5575.7786977469996</v>
      </c>
      <c r="L33" s="85">
        <v>7.1168324214832138E-3</v>
      </c>
      <c r="M33" s="85">
        <f t="shared" si="1"/>
        <v>1.1475198243617113E-3</v>
      </c>
      <c r="N33" s="85">
        <f>K33/'סכום נכסי הקרן'!$C$42</f>
        <v>1.0703906912888937E-4</v>
      </c>
    </row>
    <row r="34" spans="2:14" s="122" customFormat="1">
      <c r="B34" s="77" t="s">
        <v>1710</v>
      </c>
      <c r="C34" s="74" t="s">
        <v>1711</v>
      </c>
      <c r="D34" s="87" t="s">
        <v>123</v>
      </c>
      <c r="E34" s="74" t="s">
        <v>1683</v>
      </c>
      <c r="F34" s="87" t="s">
        <v>1695</v>
      </c>
      <c r="G34" s="87" t="s">
        <v>165</v>
      </c>
      <c r="H34" s="84">
        <v>3368.2577270000002</v>
      </c>
      <c r="I34" s="86">
        <v>3314.37</v>
      </c>
      <c r="J34" s="74"/>
      <c r="K34" s="84">
        <v>111.636523606</v>
      </c>
      <c r="L34" s="85">
        <v>1.5598192984804919E-4</v>
      </c>
      <c r="M34" s="85">
        <f t="shared" si="1"/>
        <v>2.2975288458358737E-5</v>
      </c>
      <c r="N34" s="85">
        <f>K34/'סכום נכסי הקרן'!$C$42</f>
        <v>2.1431032713690624E-6</v>
      </c>
    </row>
    <row r="35" spans="2:14" s="122" customFormat="1">
      <c r="B35" s="77" t="s">
        <v>1712</v>
      </c>
      <c r="C35" s="74" t="s">
        <v>1713</v>
      </c>
      <c r="D35" s="87" t="s">
        <v>123</v>
      </c>
      <c r="E35" s="74" t="s">
        <v>1683</v>
      </c>
      <c r="F35" s="87" t="s">
        <v>1695</v>
      </c>
      <c r="G35" s="87" t="s">
        <v>165</v>
      </c>
      <c r="H35" s="84">
        <v>14923.892837999998</v>
      </c>
      <c r="I35" s="86">
        <v>3083.05</v>
      </c>
      <c r="J35" s="74"/>
      <c r="K35" s="84">
        <v>460.111078142</v>
      </c>
      <c r="L35" s="85">
        <v>2.6838521788202182E-3</v>
      </c>
      <c r="M35" s="85">
        <f t="shared" si="1"/>
        <v>9.4692887253529023E-5</v>
      </c>
      <c r="N35" s="85">
        <f>K35/'סכום נכסי הקרן'!$C$42</f>
        <v>8.832822134800599E-6</v>
      </c>
    </row>
    <row r="36" spans="2:14" s="122" customFormat="1">
      <c r="B36" s="77" t="s">
        <v>1714</v>
      </c>
      <c r="C36" s="74" t="s">
        <v>1715</v>
      </c>
      <c r="D36" s="87" t="s">
        <v>123</v>
      </c>
      <c r="E36" s="74" t="s">
        <v>1683</v>
      </c>
      <c r="F36" s="87" t="s">
        <v>1695</v>
      </c>
      <c r="G36" s="87" t="s">
        <v>165</v>
      </c>
      <c r="H36" s="84">
        <v>464580.89219099999</v>
      </c>
      <c r="I36" s="86">
        <v>3205</v>
      </c>
      <c r="J36" s="74"/>
      <c r="K36" s="84">
        <v>14889.817594724</v>
      </c>
      <c r="L36" s="85">
        <v>1.2920891638014815E-2</v>
      </c>
      <c r="M36" s="85">
        <f t="shared" si="1"/>
        <v>3.0643900694946294E-3</v>
      </c>
      <c r="N36" s="85">
        <f>K36/'סכום נכסי הקרן'!$C$42</f>
        <v>2.8584208614345074E-4</v>
      </c>
    </row>
    <row r="37" spans="2:14" s="122" customFormat="1">
      <c r="B37" s="77" t="s">
        <v>1716</v>
      </c>
      <c r="C37" s="74" t="s">
        <v>1717</v>
      </c>
      <c r="D37" s="87" t="s">
        <v>123</v>
      </c>
      <c r="E37" s="74" t="s">
        <v>1683</v>
      </c>
      <c r="F37" s="87" t="s">
        <v>1695</v>
      </c>
      <c r="G37" s="87" t="s">
        <v>165</v>
      </c>
      <c r="H37" s="84">
        <v>184868.85737799999</v>
      </c>
      <c r="I37" s="86">
        <v>3489.83</v>
      </c>
      <c r="J37" s="74"/>
      <c r="K37" s="84">
        <v>6451.60884584</v>
      </c>
      <c r="L37" s="85">
        <v>1.3207019243561101E-2</v>
      </c>
      <c r="M37" s="85">
        <f t="shared" si="1"/>
        <v>1.3277695279800552E-3</v>
      </c>
      <c r="N37" s="85">
        <f>K37/'סכום נכסי הקרן'!$C$42</f>
        <v>1.2385251328598493E-4</v>
      </c>
    </row>
    <row r="38" spans="2:14" s="122" customFormat="1">
      <c r="B38" s="77" t="s">
        <v>1718</v>
      </c>
      <c r="C38" s="74" t="s">
        <v>1719</v>
      </c>
      <c r="D38" s="87" t="s">
        <v>123</v>
      </c>
      <c r="E38" s="74" t="s">
        <v>1688</v>
      </c>
      <c r="F38" s="87" t="s">
        <v>1695</v>
      </c>
      <c r="G38" s="87" t="s">
        <v>165</v>
      </c>
      <c r="H38" s="84">
        <v>470875.57065800001</v>
      </c>
      <c r="I38" s="86">
        <v>331.5</v>
      </c>
      <c r="J38" s="74"/>
      <c r="K38" s="84">
        <v>1560.952517644</v>
      </c>
      <c r="L38" s="85">
        <v>1.4575181244554144E-3</v>
      </c>
      <c r="M38" s="85">
        <f t="shared" si="1"/>
        <v>3.212509061034995E-4</v>
      </c>
      <c r="N38" s="85">
        <f>K38/'סכום נכסי הקרן'!$C$42</f>
        <v>2.9965842172058062E-5</v>
      </c>
    </row>
    <row r="39" spans="2:14" s="122" customFormat="1">
      <c r="B39" s="77" t="s">
        <v>1720</v>
      </c>
      <c r="C39" s="74" t="s">
        <v>1721</v>
      </c>
      <c r="D39" s="87" t="s">
        <v>123</v>
      </c>
      <c r="E39" s="74" t="s">
        <v>1688</v>
      </c>
      <c r="F39" s="87" t="s">
        <v>1695</v>
      </c>
      <c r="G39" s="87" t="s">
        <v>165</v>
      </c>
      <c r="H39" s="84">
        <v>302354.49905899999</v>
      </c>
      <c r="I39" s="86">
        <v>310.3</v>
      </c>
      <c r="J39" s="74"/>
      <c r="K39" s="84">
        <v>938.2060095029999</v>
      </c>
      <c r="L39" s="85">
        <v>7.7970816438360548E-3</v>
      </c>
      <c r="M39" s="85">
        <f t="shared" si="1"/>
        <v>1.9308693074117334E-4</v>
      </c>
      <c r="N39" s="85">
        <f>K39/'סכום נכסי הקרן'!$C$42</f>
        <v>1.8010883026779662E-5</v>
      </c>
    </row>
    <row r="40" spans="2:14" s="122" customFormat="1">
      <c r="B40" s="77" t="s">
        <v>1722</v>
      </c>
      <c r="C40" s="74" t="s">
        <v>1723</v>
      </c>
      <c r="D40" s="87" t="s">
        <v>123</v>
      </c>
      <c r="E40" s="74" t="s">
        <v>1688</v>
      </c>
      <c r="F40" s="87" t="s">
        <v>1695</v>
      </c>
      <c r="G40" s="87" t="s">
        <v>165</v>
      </c>
      <c r="H40" s="84">
        <v>4104516.1340979999</v>
      </c>
      <c r="I40" s="86">
        <v>321.8</v>
      </c>
      <c r="J40" s="74"/>
      <c r="K40" s="84">
        <v>13208.332919498</v>
      </c>
      <c r="L40" s="85">
        <v>1.0733213498801903E-2</v>
      </c>
      <c r="M40" s="85">
        <f t="shared" si="1"/>
        <v>2.7183331142639788E-3</v>
      </c>
      <c r="N40" s="85">
        <f>K40/'סכום נכסי הקרן'!$C$42</f>
        <v>2.5356236986572077E-4</v>
      </c>
    </row>
    <row r="41" spans="2:14" s="122" customFormat="1">
      <c r="B41" s="77" t="s">
        <v>1724</v>
      </c>
      <c r="C41" s="74" t="s">
        <v>1725</v>
      </c>
      <c r="D41" s="87" t="s">
        <v>123</v>
      </c>
      <c r="E41" s="74" t="s">
        <v>1688</v>
      </c>
      <c r="F41" s="87" t="s">
        <v>1695</v>
      </c>
      <c r="G41" s="87" t="s">
        <v>165</v>
      </c>
      <c r="H41" s="84">
        <v>3542257.8128289999</v>
      </c>
      <c r="I41" s="86">
        <v>351.07</v>
      </c>
      <c r="J41" s="74"/>
      <c r="K41" s="84">
        <v>12435.804504173</v>
      </c>
      <c r="L41" s="85">
        <v>1.525551959321202E-2</v>
      </c>
      <c r="M41" s="85">
        <f t="shared" si="1"/>
        <v>2.5593433624242264E-3</v>
      </c>
      <c r="N41" s="85">
        <f>K41/'סכום נכסי הקרן'!$C$42</f>
        <v>2.3873202473645357E-4</v>
      </c>
    </row>
    <row r="42" spans="2:14" s="122" customFormat="1">
      <c r="B42" s="73"/>
      <c r="C42" s="74"/>
      <c r="D42" s="74"/>
      <c r="E42" s="74"/>
      <c r="F42" s="74"/>
      <c r="G42" s="74"/>
      <c r="H42" s="84"/>
      <c r="I42" s="86"/>
      <c r="J42" s="74"/>
      <c r="K42" s="74"/>
      <c r="L42" s="74"/>
      <c r="M42" s="85"/>
      <c r="N42" s="74"/>
    </row>
    <row r="43" spans="2:14" s="122" customFormat="1">
      <c r="B43" s="71" t="s">
        <v>237</v>
      </c>
      <c r="C43" s="72"/>
      <c r="D43" s="72"/>
      <c r="E43" s="72"/>
      <c r="F43" s="72"/>
      <c r="G43" s="72"/>
      <c r="H43" s="81"/>
      <c r="I43" s="83"/>
      <c r="J43" s="81">
        <v>175.70378230600002</v>
      </c>
      <c r="K43" s="81">
        <v>4243440.4214460663</v>
      </c>
      <c r="L43" s="72"/>
      <c r="M43" s="82">
        <f>K43/$K$11</f>
        <v>0.87331873646182623</v>
      </c>
      <c r="N43" s="82">
        <f>K43/'סכום נכסי הקרן'!$C$42</f>
        <v>8.146196921320116E-2</v>
      </c>
    </row>
    <row r="44" spans="2:14" s="122" customFormat="1">
      <c r="B44" s="92" t="s">
        <v>266</v>
      </c>
      <c r="C44" s="72"/>
      <c r="D44" s="72"/>
      <c r="E44" s="72"/>
      <c r="F44" s="72"/>
      <c r="G44" s="72"/>
      <c r="H44" s="81"/>
      <c r="I44" s="83"/>
      <c r="J44" s="81">
        <v>175.70378230600002</v>
      </c>
      <c r="K44" s="81">
        <v>3957460.3942595036</v>
      </c>
      <c r="L44" s="72"/>
      <c r="M44" s="82">
        <f t="shared" ref="M44:M79" si="2">K44/$K$11</f>
        <v>0.81446278676269546</v>
      </c>
      <c r="N44" s="82">
        <f>K44/'סכום נכסי הקרן'!$C$42</f>
        <v>7.5971967267486729E-2</v>
      </c>
    </row>
    <row r="45" spans="2:14" s="122" customFormat="1">
      <c r="B45" s="77" t="s">
        <v>1726</v>
      </c>
      <c r="C45" s="74" t="s">
        <v>1727</v>
      </c>
      <c r="D45" s="87" t="s">
        <v>28</v>
      </c>
      <c r="E45" s="74"/>
      <c r="F45" s="87" t="s">
        <v>1671</v>
      </c>
      <c r="G45" s="87" t="s">
        <v>164</v>
      </c>
      <c r="H45" s="84">
        <v>21509.576557999997</v>
      </c>
      <c r="I45" s="86">
        <v>384.21</v>
      </c>
      <c r="J45" s="74"/>
      <c r="K45" s="84">
        <v>294.61852960799996</v>
      </c>
      <c r="L45" s="85">
        <v>4.4552212663749088E-5</v>
      </c>
      <c r="M45" s="85">
        <f t="shared" si="2"/>
        <v>6.0633791561003979E-5</v>
      </c>
      <c r="N45" s="85">
        <f>K45/'סכום נכסי הקרן'!$C$42</f>
        <v>5.6558365865749029E-6</v>
      </c>
    </row>
    <row r="46" spans="2:14" s="122" customFormat="1">
      <c r="B46" s="77" t="s">
        <v>1728</v>
      </c>
      <c r="C46" s="74" t="s">
        <v>1729</v>
      </c>
      <c r="D46" s="87" t="s">
        <v>28</v>
      </c>
      <c r="E46" s="74"/>
      <c r="F46" s="87" t="s">
        <v>1671</v>
      </c>
      <c r="G46" s="87" t="s">
        <v>164</v>
      </c>
      <c r="H46" s="84">
        <v>878279.37220500002</v>
      </c>
      <c r="I46" s="86">
        <v>5078.3</v>
      </c>
      <c r="J46" s="74"/>
      <c r="K46" s="84">
        <v>159004.92274323595</v>
      </c>
      <c r="L46" s="85">
        <v>2.0624332249076491E-2</v>
      </c>
      <c r="M46" s="85">
        <f t="shared" si="2"/>
        <v>3.2723913718579356E-2</v>
      </c>
      <c r="N46" s="85">
        <f>K46/'סכום נכסי הקרן'!$C$42</f>
        <v>3.0524416121866706E-3</v>
      </c>
    </row>
    <row r="47" spans="2:14" s="122" customFormat="1">
      <c r="B47" s="77" t="s">
        <v>1730</v>
      </c>
      <c r="C47" s="74" t="s">
        <v>1731</v>
      </c>
      <c r="D47" s="87" t="s">
        <v>1472</v>
      </c>
      <c r="E47" s="74"/>
      <c r="F47" s="87" t="s">
        <v>1671</v>
      </c>
      <c r="G47" s="87" t="s">
        <v>164</v>
      </c>
      <c r="H47" s="84">
        <v>550154.88982000004</v>
      </c>
      <c r="I47" s="86">
        <v>4424</v>
      </c>
      <c r="J47" s="74"/>
      <c r="K47" s="84">
        <v>86768.008540894996</v>
      </c>
      <c r="L47" s="85">
        <v>3.7072431928571433E-3</v>
      </c>
      <c r="M47" s="85">
        <f t="shared" si="2"/>
        <v>1.7857238480662022E-2</v>
      </c>
      <c r="N47" s="85">
        <f>K47/'סכום נכסי הקרן'!$C$42</f>
        <v>1.6656986167936942E-3</v>
      </c>
    </row>
    <row r="48" spans="2:14" s="122" customFormat="1">
      <c r="B48" s="77" t="s">
        <v>1732</v>
      </c>
      <c r="C48" s="74" t="s">
        <v>1733</v>
      </c>
      <c r="D48" s="87" t="s">
        <v>1472</v>
      </c>
      <c r="E48" s="74"/>
      <c r="F48" s="87" t="s">
        <v>1671</v>
      </c>
      <c r="G48" s="87" t="s">
        <v>164</v>
      </c>
      <c r="H48" s="84">
        <v>738412.78165300016</v>
      </c>
      <c r="I48" s="86">
        <v>5447</v>
      </c>
      <c r="J48" s="74"/>
      <c r="K48" s="84">
        <v>143389.092132563</v>
      </c>
      <c r="L48" s="85">
        <v>3.2011401170092707E-3</v>
      </c>
      <c r="M48" s="85">
        <f t="shared" si="2"/>
        <v>2.9510106971395802E-2</v>
      </c>
      <c r="N48" s="85">
        <f>K48/'סכום נכסי הקרן'!$C$42</f>
        <v>2.7526621440890128E-3</v>
      </c>
    </row>
    <row r="49" spans="2:14" s="122" customFormat="1">
      <c r="B49" s="77" t="s">
        <v>1734</v>
      </c>
      <c r="C49" s="74" t="s">
        <v>1735</v>
      </c>
      <c r="D49" s="87" t="s">
        <v>127</v>
      </c>
      <c r="E49" s="74"/>
      <c r="F49" s="87" t="s">
        <v>1671</v>
      </c>
      <c r="G49" s="87" t="s">
        <v>174</v>
      </c>
      <c r="H49" s="84">
        <v>8052547.4449769994</v>
      </c>
      <c r="I49" s="86">
        <v>1490</v>
      </c>
      <c r="J49" s="74"/>
      <c r="K49" s="84">
        <v>393400.11918185698</v>
      </c>
      <c r="L49" s="85">
        <v>2.6717940654627102E-3</v>
      </c>
      <c r="M49" s="85">
        <f t="shared" si="2"/>
        <v>8.0963477953285984E-2</v>
      </c>
      <c r="N49" s="85">
        <f>K49/'סכום נכסי הקרן'!$C$42</f>
        <v>7.5521617401054907E-3</v>
      </c>
    </row>
    <row r="50" spans="2:14" s="122" customFormat="1">
      <c r="B50" s="77" t="s">
        <v>1736</v>
      </c>
      <c r="C50" s="74" t="s">
        <v>1737</v>
      </c>
      <c r="D50" s="87" t="s">
        <v>1472</v>
      </c>
      <c r="E50" s="74"/>
      <c r="F50" s="87" t="s">
        <v>1671</v>
      </c>
      <c r="G50" s="87" t="s">
        <v>164</v>
      </c>
      <c r="H50" s="84">
        <v>364259.03218400001</v>
      </c>
      <c r="I50" s="86">
        <v>8858</v>
      </c>
      <c r="J50" s="74"/>
      <c r="K50" s="84">
        <v>115028.521977611</v>
      </c>
      <c r="L50" s="85">
        <v>1.7385794281281307E-3</v>
      </c>
      <c r="M50" s="85">
        <f t="shared" si="2"/>
        <v>2.3673376669284159E-2</v>
      </c>
      <c r="N50" s="85">
        <f>K50/'סכום נכסי הקרן'!$C$42</f>
        <v>2.2082199784454492E-3</v>
      </c>
    </row>
    <row r="51" spans="2:14" s="122" customFormat="1">
      <c r="B51" s="77" t="s">
        <v>1738</v>
      </c>
      <c r="C51" s="74" t="s">
        <v>1739</v>
      </c>
      <c r="D51" s="87" t="s">
        <v>28</v>
      </c>
      <c r="E51" s="74"/>
      <c r="F51" s="87" t="s">
        <v>1671</v>
      </c>
      <c r="G51" s="87" t="s">
        <v>173</v>
      </c>
      <c r="H51" s="84">
        <v>1151527.451224</v>
      </c>
      <c r="I51" s="86">
        <v>3066</v>
      </c>
      <c r="J51" s="74"/>
      <c r="K51" s="84">
        <v>88271.640303013992</v>
      </c>
      <c r="L51" s="85">
        <v>2.0527710763517622E-2</v>
      </c>
      <c r="M51" s="85">
        <f t="shared" si="2"/>
        <v>1.8166692522707965E-2</v>
      </c>
      <c r="N51" s="85">
        <f>K51/'סכום נכסי הקרן'!$C$42</f>
        <v>1.69456406373026E-3</v>
      </c>
    </row>
    <row r="52" spans="2:14" s="122" customFormat="1">
      <c r="B52" s="77" t="s">
        <v>1740</v>
      </c>
      <c r="C52" s="74" t="s">
        <v>1741</v>
      </c>
      <c r="D52" s="87" t="s">
        <v>126</v>
      </c>
      <c r="E52" s="74"/>
      <c r="F52" s="87" t="s">
        <v>1671</v>
      </c>
      <c r="G52" s="87" t="s">
        <v>164</v>
      </c>
      <c r="H52" s="84">
        <v>4296017.4897229997</v>
      </c>
      <c r="I52" s="86">
        <v>403</v>
      </c>
      <c r="J52" s="74"/>
      <c r="K52" s="84">
        <v>61720.668475285005</v>
      </c>
      <c r="L52" s="85">
        <v>2.3316241463896877E-2</v>
      </c>
      <c r="M52" s="85">
        <f t="shared" si="2"/>
        <v>1.2702385529910817E-2</v>
      </c>
      <c r="N52" s="85">
        <f>K52/'סכום נכסי הקרן'!$C$42</f>
        <v>1.184861031567983E-3</v>
      </c>
    </row>
    <row r="53" spans="2:14" s="122" customFormat="1">
      <c r="B53" s="77" t="s">
        <v>1742</v>
      </c>
      <c r="C53" s="74" t="s">
        <v>1743</v>
      </c>
      <c r="D53" s="87" t="s">
        <v>1472</v>
      </c>
      <c r="E53" s="74"/>
      <c r="F53" s="87" t="s">
        <v>1671</v>
      </c>
      <c r="G53" s="87" t="s">
        <v>164</v>
      </c>
      <c r="H53" s="84">
        <v>346308.91740999999</v>
      </c>
      <c r="I53" s="86">
        <v>5901</v>
      </c>
      <c r="J53" s="74"/>
      <c r="K53" s="84">
        <v>72853.232056260007</v>
      </c>
      <c r="L53" s="85">
        <v>2.9643137436015953E-3</v>
      </c>
      <c r="M53" s="85">
        <f t="shared" si="2"/>
        <v>1.4993516167914426E-2</v>
      </c>
      <c r="N53" s="85">
        <f>K53/'סכום נכסי הקרן'!$C$42</f>
        <v>1.3985745426883644E-3</v>
      </c>
    </row>
    <row r="54" spans="2:14" s="122" customFormat="1">
      <c r="B54" s="77" t="s">
        <v>1744</v>
      </c>
      <c r="C54" s="74" t="s">
        <v>1745</v>
      </c>
      <c r="D54" s="87" t="s">
        <v>1472</v>
      </c>
      <c r="E54" s="74"/>
      <c r="F54" s="87" t="s">
        <v>1671</v>
      </c>
      <c r="G54" s="87" t="s">
        <v>164</v>
      </c>
      <c r="H54" s="84">
        <v>337625.61697999999</v>
      </c>
      <c r="I54" s="86">
        <v>4788</v>
      </c>
      <c r="J54" s="74"/>
      <c r="K54" s="84">
        <v>57630.059338674</v>
      </c>
      <c r="L54" s="85">
        <v>2.5971201306153845E-2</v>
      </c>
      <c r="M54" s="85">
        <f t="shared" si="2"/>
        <v>1.1860520145283375E-2</v>
      </c>
      <c r="N54" s="85">
        <f>K54/'סכום נכסי הקרן'!$C$42</f>
        <v>1.1063329877039224E-3</v>
      </c>
    </row>
    <row r="55" spans="2:14" s="122" customFormat="1">
      <c r="B55" s="77" t="s">
        <v>1746</v>
      </c>
      <c r="C55" s="74" t="s">
        <v>1747</v>
      </c>
      <c r="D55" s="87" t="s">
        <v>126</v>
      </c>
      <c r="E55" s="74"/>
      <c r="F55" s="87" t="s">
        <v>1671</v>
      </c>
      <c r="G55" s="87" t="s">
        <v>164</v>
      </c>
      <c r="H55" s="84">
        <v>2555731.7620000001</v>
      </c>
      <c r="I55" s="86">
        <v>483.88</v>
      </c>
      <c r="J55" s="74"/>
      <c r="K55" s="84">
        <v>44087.195840127002</v>
      </c>
      <c r="L55" s="85">
        <v>0.10059267988644115</v>
      </c>
      <c r="M55" s="85">
        <f t="shared" si="2"/>
        <v>9.0733391638203181E-3</v>
      </c>
      <c r="N55" s="85">
        <f>K55/'סכום נכסי הקרן'!$C$42</f>
        <v>8.4634858358655128E-4</v>
      </c>
    </row>
    <row r="56" spans="2:14" s="122" customFormat="1">
      <c r="B56" s="77" t="s">
        <v>1748</v>
      </c>
      <c r="C56" s="74" t="s">
        <v>1749</v>
      </c>
      <c r="D56" s="87" t="s">
        <v>28</v>
      </c>
      <c r="E56" s="74"/>
      <c r="F56" s="87" t="s">
        <v>1671</v>
      </c>
      <c r="G56" s="87" t="s">
        <v>166</v>
      </c>
      <c r="H56" s="84">
        <v>138649.79321</v>
      </c>
      <c r="I56" s="86">
        <v>2836</v>
      </c>
      <c r="J56" s="74"/>
      <c r="K56" s="84">
        <v>15336.401359874999</v>
      </c>
      <c r="L56" s="85">
        <v>2.1330737416923078E-2</v>
      </c>
      <c r="M56" s="85">
        <f t="shared" si="2"/>
        <v>3.1562989761296681E-3</v>
      </c>
      <c r="N56" s="85">
        <f>K56/'סכום נכסי הקרן'!$C$42</f>
        <v>2.9441522239958531E-4</v>
      </c>
    </row>
    <row r="57" spans="2:14" s="122" customFormat="1">
      <c r="B57" s="77" t="s">
        <v>1750</v>
      </c>
      <c r="C57" s="74" t="s">
        <v>1751</v>
      </c>
      <c r="D57" s="87" t="s">
        <v>126</v>
      </c>
      <c r="E57" s="74"/>
      <c r="F57" s="87" t="s">
        <v>1671</v>
      </c>
      <c r="G57" s="87" t="s">
        <v>164</v>
      </c>
      <c r="H57" s="84">
        <v>3878753.9259180003</v>
      </c>
      <c r="I57" s="86">
        <v>2299.5</v>
      </c>
      <c r="J57" s="74"/>
      <c r="K57" s="84">
        <v>317969.28936737881</v>
      </c>
      <c r="L57" s="85">
        <v>7.711279548339338E-3</v>
      </c>
      <c r="M57" s="85">
        <f t="shared" si="2"/>
        <v>6.5439480809148298E-2</v>
      </c>
      <c r="N57" s="85">
        <f>K57/'סכום נכסי הקרן'!$C$42</f>
        <v>6.1041046624054933E-3</v>
      </c>
    </row>
    <row r="58" spans="2:14" s="122" customFormat="1">
      <c r="B58" s="77" t="s">
        <v>1752</v>
      </c>
      <c r="C58" s="74" t="s">
        <v>1753</v>
      </c>
      <c r="D58" s="87" t="s">
        <v>1754</v>
      </c>
      <c r="E58" s="74"/>
      <c r="F58" s="87" t="s">
        <v>1671</v>
      </c>
      <c r="G58" s="87" t="s">
        <v>169</v>
      </c>
      <c r="H58" s="84">
        <v>19437281.90442</v>
      </c>
      <c r="I58" s="86">
        <v>2385</v>
      </c>
      <c r="J58" s="74"/>
      <c r="K58" s="84">
        <v>213190.790273625</v>
      </c>
      <c r="L58" s="85">
        <v>8.436367908666012E-2</v>
      </c>
      <c r="M58" s="85">
        <f t="shared" si="2"/>
        <v>4.3875604013691637E-2</v>
      </c>
      <c r="N58" s="85">
        <f>K58/'סכום נכסי הקרן'!$C$42</f>
        <v>4.0926559274961647E-3</v>
      </c>
    </row>
    <row r="59" spans="2:14" s="122" customFormat="1">
      <c r="B59" s="77" t="s">
        <v>1755</v>
      </c>
      <c r="C59" s="74" t="s">
        <v>1756</v>
      </c>
      <c r="D59" s="87" t="s">
        <v>28</v>
      </c>
      <c r="E59" s="74"/>
      <c r="F59" s="87" t="s">
        <v>1671</v>
      </c>
      <c r="G59" s="87" t="s">
        <v>166</v>
      </c>
      <c r="H59" s="84">
        <v>1878168.263356</v>
      </c>
      <c r="I59" s="86">
        <v>1996.5</v>
      </c>
      <c r="J59" s="74"/>
      <c r="K59" s="84">
        <v>146252.00386999405</v>
      </c>
      <c r="L59" s="85">
        <v>6.6696316170312495E-3</v>
      </c>
      <c r="M59" s="85">
        <f t="shared" si="2"/>
        <v>3.0099306821710418E-2</v>
      </c>
      <c r="N59" s="85">
        <f>K59/'סכום נכסי הקרן'!$C$42</f>
        <v>2.8076218948224151E-3</v>
      </c>
    </row>
    <row r="60" spans="2:14" s="122" customFormat="1">
      <c r="B60" s="77" t="s">
        <v>1757</v>
      </c>
      <c r="C60" s="74" t="s">
        <v>1758</v>
      </c>
      <c r="D60" s="87" t="s">
        <v>126</v>
      </c>
      <c r="E60" s="74"/>
      <c r="F60" s="87" t="s">
        <v>1671</v>
      </c>
      <c r="G60" s="87" t="s">
        <v>164</v>
      </c>
      <c r="H60" s="84">
        <v>14090.959814</v>
      </c>
      <c r="I60" s="86">
        <v>26350</v>
      </c>
      <c r="J60" s="74"/>
      <c r="K60" s="84">
        <v>13236.730603728001</v>
      </c>
      <c r="L60" s="85">
        <v>1.2282783603470064E-4</v>
      </c>
      <c r="M60" s="85">
        <f t="shared" si="2"/>
        <v>2.7241774828062702E-3</v>
      </c>
      <c r="N60" s="85">
        <f>K60/'סכום נכסי הקרן'!$C$42</f>
        <v>2.5410752451589073E-4</v>
      </c>
    </row>
    <row r="61" spans="2:14" s="122" customFormat="1">
      <c r="B61" s="77" t="s">
        <v>1759</v>
      </c>
      <c r="C61" s="74" t="s">
        <v>1760</v>
      </c>
      <c r="D61" s="87" t="s">
        <v>1472</v>
      </c>
      <c r="E61" s="74"/>
      <c r="F61" s="87" t="s">
        <v>1671</v>
      </c>
      <c r="G61" s="87" t="s">
        <v>164</v>
      </c>
      <c r="H61" s="84">
        <v>187410.464985</v>
      </c>
      <c r="I61" s="86">
        <v>14386</v>
      </c>
      <c r="J61" s="74"/>
      <c r="K61" s="84">
        <v>96115.499742679007</v>
      </c>
      <c r="L61" s="85">
        <v>7.5477432535239633E-4</v>
      </c>
      <c r="M61" s="85">
        <f t="shared" si="2"/>
        <v>1.9780993357523983E-2</v>
      </c>
      <c r="N61" s="85">
        <f>K61/'סכום נכסי הקרן'!$C$42</f>
        <v>1.8451438227760862E-3</v>
      </c>
    </row>
    <row r="62" spans="2:14" s="122" customFormat="1">
      <c r="B62" s="77" t="s">
        <v>1761</v>
      </c>
      <c r="C62" s="74" t="s">
        <v>1762</v>
      </c>
      <c r="D62" s="87" t="s">
        <v>1472</v>
      </c>
      <c r="E62" s="74"/>
      <c r="F62" s="87" t="s">
        <v>1671</v>
      </c>
      <c r="G62" s="87" t="s">
        <v>164</v>
      </c>
      <c r="H62" s="84">
        <v>209839.02888</v>
      </c>
      <c r="I62" s="86">
        <v>2893</v>
      </c>
      <c r="J62" s="74"/>
      <c r="K62" s="84">
        <v>21641.842671102</v>
      </c>
      <c r="L62" s="85">
        <v>8.3935611551999995E-3</v>
      </c>
      <c r="M62" s="85">
        <f t="shared" si="2"/>
        <v>4.4539865814332965E-3</v>
      </c>
      <c r="N62" s="85">
        <f>K62/'סכום נכסי הקרן'!$C$42</f>
        <v>4.1546173535988263E-4</v>
      </c>
    </row>
    <row r="63" spans="2:14" s="122" customFormat="1">
      <c r="B63" s="77" t="s">
        <v>1763</v>
      </c>
      <c r="C63" s="74" t="s">
        <v>1764</v>
      </c>
      <c r="D63" s="87" t="s">
        <v>28</v>
      </c>
      <c r="E63" s="74"/>
      <c r="F63" s="87" t="s">
        <v>1671</v>
      </c>
      <c r="G63" s="87" t="s">
        <v>166</v>
      </c>
      <c r="H63" s="84">
        <v>271499.42044399999</v>
      </c>
      <c r="I63" s="86">
        <v>2192</v>
      </c>
      <c r="J63" s="74"/>
      <c r="K63" s="84">
        <v>23211.727835253001</v>
      </c>
      <c r="L63" s="85">
        <v>4.3790229103870967E-2</v>
      </c>
      <c r="M63" s="85">
        <f t="shared" si="2"/>
        <v>4.7770758655475559E-3</v>
      </c>
      <c r="N63" s="85">
        <f>K63/'סכום נכסי הקרן'!$C$42</f>
        <v>4.4559905890141345E-4</v>
      </c>
    </row>
    <row r="64" spans="2:14" s="122" customFormat="1">
      <c r="B64" s="77" t="s">
        <v>1765</v>
      </c>
      <c r="C64" s="74" t="s">
        <v>1766</v>
      </c>
      <c r="D64" s="87" t="s">
        <v>1457</v>
      </c>
      <c r="E64" s="74"/>
      <c r="F64" s="87" t="s">
        <v>1671</v>
      </c>
      <c r="G64" s="87" t="s">
        <v>164</v>
      </c>
      <c r="H64" s="84">
        <v>399635.74025799998</v>
      </c>
      <c r="I64" s="86">
        <v>5725</v>
      </c>
      <c r="J64" s="74"/>
      <c r="K64" s="84">
        <v>81564.15595397701</v>
      </c>
      <c r="L64" s="85">
        <v>4.6040983900691237E-3</v>
      </c>
      <c r="M64" s="85">
        <f t="shared" si="2"/>
        <v>1.6786262688714384E-2</v>
      </c>
      <c r="N64" s="85">
        <f>K64/'סכום נכסי הקרן'!$C$42</f>
        <v>1.5657994696104073E-3</v>
      </c>
    </row>
    <row r="65" spans="2:14" s="122" customFormat="1">
      <c r="B65" s="77" t="s">
        <v>1767</v>
      </c>
      <c r="C65" s="74" t="s">
        <v>1768</v>
      </c>
      <c r="D65" s="87" t="s">
        <v>1472</v>
      </c>
      <c r="E65" s="74"/>
      <c r="F65" s="87" t="s">
        <v>1671</v>
      </c>
      <c r="G65" s="87" t="s">
        <v>164</v>
      </c>
      <c r="H65" s="84">
        <v>263912.93247599999</v>
      </c>
      <c r="I65" s="86">
        <v>11446</v>
      </c>
      <c r="J65" s="74"/>
      <c r="K65" s="84">
        <v>107689.64570553901</v>
      </c>
      <c r="L65" s="85">
        <v>9.1572842635669668E-4</v>
      </c>
      <c r="M65" s="85">
        <f t="shared" si="2"/>
        <v>2.2163003595449062E-2</v>
      </c>
      <c r="N65" s="85">
        <f>K65/'סכום נכסי הקרן'!$C$42</f>
        <v>2.0673344578396734E-3</v>
      </c>
    </row>
    <row r="66" spans="2:14" s="122" customFormat="1">
      <c r="B66" s="77" t="s">
        <v>1769</v>
      </c>
      <c r="C66" s="74" t="s">
        <v>1770</v>
      </c>
      <c r="D66" s="87" t="s">
        <v>126</v>
      </c>
      <c r="E66" s="74"/>
      <c r="F66" s="87" t="s">
        <v>1671</v>
      </c>
      <c r="G66" s="87" t="s">
        <v>164</v>
      </c>
      <c r="H66" s="84">
        <v>13170547.454725999</v>
      </c>
      <c r="I66" s="86">
        <v>664.5</v>
      </c>
      <c r="J66" s="74"/>
      <c r="K66" s="84">
        <v>312002.69614150899</v>
      </c>
      <c r="L66" s="85">
        <v>6.8152897566499351E-2</v>
      </c>
      <c r="M66" s="85">
        <f t="shared" si="2"/>
        <v>6.4211529632866055E-2</v>
      </c>
      <c r="N66" s="85">
        <f>K66/'סכום נכסי הקרן'!$C$42</f>
        <v>5.9895630675201178E-3</v>
      </c>
    </row>
    <row r="67" spans="2:14" s="122" customFormat="1">
      <c r="B67" s="77" t="s">
        <v>1771</v>
      </c>
      <c r="C67" s="74" t="s">
        <v>1772</v>
      </c>
      <c r="D67" s="87" t="s">
        <v>1472</v>
      </c>
      <c r="E67" s="74"/>
      <c r="F67" s="87" t="s">
        <v>1671</v>
      </c>
      <c r="G67" s="87" t="s">
        <v>164</v>
      </c>
      <c r="H67" s="84">
        <v>157756.71288800001</v>
      </c>
      <c r="I67" s="86">
        <v>21029</v>
      </c>
      <c r="J67" s="74"/>
      <c r="K67" s="84">
        <v>118267.65988049499</v>
      </c>
      <c r="L67" s="85">
        <v>1.0842385765498282E-2</v>
      </c>
      <c r="M67" s="85">
        <f t="shared" si="2"/>
        <v>2.4340005522201637E-2</v>
      </c>
      <c r="N67" s="85">
        <f>K67/'סכום נכסי הקרן'!$C$42</f>
        <v>2.2704021999250968E-3</v>
      </c>
    </row>
    <row r="68" spans="2:14" s="122" customFormat="1">
      <c r="B68" s="77" t="s">
        <v>1773</v>
      </c>
      <c r="C68" s="74" t="s">
        <v>1774</v>
      </c>
      <c r="D68" s="87" t="s">
        <v>28</v>
      </c>
      <c r="E68" s="74"/>
      <c r="F68" s="87" t="s">
        <v>1671</v>
      </c>
      <c r="G68" s="87" t="s">
        <v>166</v>
      </c>
      <c r="H68" s="84">
        <v>499139.25555799989</v>
      </c>
      <c r="I68" s="86">
        <v>4230.5</v>
      </c>
      <c r="J68" s="74"/>
      <c r="K68" s="84">
        <v>82359.071030979991</v>
      </c>
      <c r="L68" s="85">
        <v>9.2390422130124925E-2</v>
      </c>
      <c r="M68" s="85">
        <f t="shared" si="2"/>
        <v>1.6949859714169055E-2</v>
      </c>
      <c r="N68" s="85">
        <f>K68/'סכום נכסי הקרן'!$C$42</f>
        <v>1.5810595748784479E-3</v>
      </c>
    </row>
    <row r="69" spans="2:14" s="122" customFormat="1">
      <c r="B69" s="77" t="s">
        <v>1775</v>
      </c>
      <c r="C69" s="74" t="s">
        <v>1776</v>
      </c>
      <c r="D69" s="87" t="s">
        <v>1457</v>
      </c>
      <c r="E69" s="74"/>
      <c r="F69" s="87" t="s">
        <v>1671</v>
      </c>
      <c r="G69" s="87" t="s">
        <v>164</v>
      </c>
      <c r="H69" s="84">
        <v>642301.39496199996</v>
      </c>
      <c r="I69" s="86">
        <v>4527</v>
      </c>
      <c r="J69" s="74"/>
      <c r="K69" s="84">
        <v>103659.448496286</v>
      </c>
      <c r="L69" s="85">
        <v>1.2643728247283464E-2</v>
      </c>
      <c r="M69" s="85">
        <f t="shared" si="2"/>
        <v>2.1333571251662933E-2</v>
      </c>
      <c r="N69" s="85">
        <f>K69/'סכום נכסי הקרן'!$C$42</f>
        <v>1.9899661509055048E-3</v>
      </c>
    </row>
    <row r="70" spans="2:14" s="122" customFormat="1">
      <c r="B70" s="77" t="s">
        <v>1777</v>
      </c>
      <c r="C70" s="74" t="s">
        <v>1778</v>
      </c>
      <c r="D70" s="87" t="s">
        <v>126</v>
      </c>
      <c r="E70" s="74"/>
      <c r="F70" s="87" t="s">
        <v>1671</v>
      </c>
      <c r="G70" s="87" t="s">
        <v>164</v>
      </c>
      <c r="H70" s="84">
        <v>165695.622814</v>
      </c>
      <c r="I70" s="86">
        <v>2704.5</v>
      </c>
      <c r="J70" s="74"/>
      <c r="K70" s="84">
        <v>15975.613900119997</v>
      </c>
      <c r="L70" s="85">
        <v>1.5968311288836162E-3</v>
      </c>
      <c r="M70" s="85">
        <f t="shared" si="2"/>
        <v>3.2878517334527183E-3</v>
      </c>
      <c r="N70" s="85">
        <f>K70/'סכום נכסי הקרן'!$C$42</f>
        <v>3.0668628245994673E-4</v>
      </c>
    </row>
    <row r="71" spans="2:14" s="122" customFormat="1">
      <c r="B71" s="77" t="s">
        <v>1779</v>
      </c>
      <c r="C71" s="74" t="s">
        <v>1780</v>
      </c>
      <c r="D71" s="87" t="s">
        <v>28</v>
      </c>
      <c r="E71" s="74"/>
      <c r="F71" s="87" t="s">
        <v>1671</v>
      </c>
      <c r="G71" s="87" t="s">
        <v>166</v>
      </c>
      <c r="H71" s="84">
        <v>283551.71338500007</v>
      </c>
      <c r="I71" s="86">
        <v>10042</v>
      </c>
      <c r="J71" s="74"/>
      <c r="K71" s="84">
        <v>111058.16820412298</v>
      </c>
      <c r="L71" s="85">
        <v>7.4843698474496428E-2</v>
      </c>
      <c r="M71" s="85">
        <f t="shared" si="2"/>
        <v>2.2856260368264571E-2</v>
      </c>
      <c r="N71" s="85">
        <f>K71/'סכום נכסי הקרן'!$C$42</f>
        <v>2.1320004950218597E-3</v>
      </c>
    </row>
    <row r="72" spans="2:14" s="122" customFormat="1">
      <c r="B72" s="77" t="s">
        <v>1781</v>
      </c>
      <c r="C72" s="74" t="s">
        <v>1782</v>
      </c>
      <c r="D72" s="87" t="s">
        <v>28</v>
      </c>
      <c r="E72" s="74"/>
      <c r="F72" s="87" t="s">
        <v>1671</v>
      </c>
      <c r="G72" s="87" t="s">
        <v>166</v>
      </c>
      <c r="H72" s="84">
        <v>324568.24889600009</v>
      </c>
      <c r="I72" s="86">
        <v>4268.2</v>
      </c>
      <c r="J72" s="74"/>
      <c r="K72" s="84">
        <v>54031.721767863994</v>
      </c>
      <c r="L72" s="85">
        <v>6.1865523083758617E-2</v>
      </c>
      <c r="M72" s="85">
        <f t="shared" si="2"/>
        <v>1.1119966417977354E-2</v>
      </c>
      <c r="N72" s="85">
        <f>K72/'סכום נכסי הקרן'!$C$42</f>
        <v>1.0372551557328211E-3</v>
      </c>
    </row>
    <row r="73" spans="2:14" s="122" customFormat="1">
      <c r="B73" s="77" t="s">
        <v>1783</v>
      </c>
      <c r="C73" s="74" t="s">
        <v>1784</v>
      </c>
      <c r="D73" s="87" t="s">
        <v>1472</v>
      </c>
      <c r="E73" s="74"/>
      <c r="F73" s="87" t="s">
        <v>1671</v>
      </c>
      <c r="G73" s="87" t="s">
        <v>164</v>
      </c>
      <c r="H73" s="84">
        <v>89491.503377999994</v>
      </c>
      <c r="I73" s="86">
        <v>11714</v>
      </c>
      <c r="J73" s="74"/>
      <c r="K73" s="84">
        <v>37372.018725036003</v>
      </c>
      <c r="L73" s="85">
        <v>5.5170366161954761E-3</v>
      </c>
      <c r="M73" s="85">
        <f t="shared" si="2"/>
        <v>7.6913261246764446E-3</v>
      </c>
      <c r="N73" s="85">
        <f>K73/'סכום נכסי הקרן'!$C$42</f>
        <v>7.1743631027028766E-4</v>
      </c>
    </row>
    <row r="74" spans="2:14" s="122" customFormat="1">
      <c r="B74" s="77" t="s">
        <v>1785</v>
      </c>
      <c r="C74" s="74" t="s">
        <v>1786</v>
      </c>
      <c r="D74" s="87" t="s">
        <v>126</v>
      </c>
      <c r="E74" s="74"/>
      <c r="F74" s="87" t="s">
        <v>1671</v>
      </c>
      <c r="G74" s="87" t="s">
        <v>164</v>
      </c>
      <c r="H74" s="84">
        <v>42549.167495999995</v>
      </c>
      <c r="I74" s="86">
        <v>48430.5</v>
      </c>
      <c r="J74" s="74"/>
      <c r="K74" s="84">
        <v>73463.151326337</v>
      </c>
      <c r="L74" s="85">
        <v>3.4528901333783012E-3</v>
      </c>
      <c r="M74" s="85">
        <f t="shared" si="2"/>
        <v>1.5119040241162953E-2</v>
      </c>
      <c r="N74" s="85">
        <f>K74/'סכום נכסי הקרן'!$C$42</f>
        <v>1.4102832553995043E-3</v>
      </c>
    </row>
    <row r="75" spans="2:14" s="122" customFormat="1">
      <c r="B75" s="77" t="s">
        <v>1787</v>
      </c>
      <c r="C75" s="74" t="s">
        <v>1788</v>
      </c>
      <c r="D75" s="87" t="s">
        <v>28</v>
      </c>
      <c r="E75" s="74"/>
      <c r="F75" s="87" t="s">
        <v>1671</v>
      </c>
      <c r="G75" s="87" t="s">
        <v>166</v>
      </c>
      <c r="H75" s="84">
        <v>328430.36312499997</v>
      </c>
      <c r="I75" s="86">
        <v>17674</v>
      </c>
      <c r="J75" s="74"/>
      <c r="K75" s="84">
        <v>226399.86531202702</v>
      </c>
      <c r="L75" s="85">
        <v>0.10263448847656249</v>
      </c>
      <c r="M75" s="85">
        <f t="shared" si="2"/>
        <v>4.6594089859296042E-2</v>
      </c>
      <c r="N75" s="85">
        <f>K75/'סכום נכסי הקרן'!$C$42</f>
        <v>4.346232543931015E-3</v>
      </c>
    </row>
    <row r="76" spans="2:14" s="122" customFormat="1">
      <c r="B76" s="77" t="s">
        <v>1789</v>
      </c>
      <c r="C76" s="74" t="s">
        <v>1790</v>
      </c>
      <c r="D76" s="87" t="s">
        <v>126</v>
      </c>
      <c r="E76" s="74"/>
      <c r="F76" s="87" t="s">
        <v>1671</v>
      </c>
      <c r="G76" s="87" t="s">
        <v>164</v>
      </c>
      <c r="H76" s="84">
        <v>946965.87392000004</v>
      </c>
      <c r="I76" s="86">
        <v>2572.5</v>
      </c>
      <c r="J76" s="74"/>
      <c r="K76" s="84">
        <v>86845.885185000006</v>
      </c>
      <c r="L76" s="85">
        <v>0.10822467130514286</v>
      </c>
      <c r="M76" s="85">
        <f t="shared" si="2"/>
        <v>1.787326583716406E-2</v>
      </c>
      <c r="N76" s="85">
        <f>K76/'סכום נכסי הקרן'!$C$42</f>
        <v>1.6671936265391942E-3</v>
      </c>
    </row>
    <row r="77" spans="2:14" s="122" customFormat="1">
      <c r="B77" s="77" t="s">
        <v>1791</v>
      </c>
      <c r="C77" s="74" t="s">
        <v>1792</v>
      </c>
      <c r="D77" s="87" t="s">
        <v>138</v>
      </c>
      <c r="E77" s="74"/>
      <c r="F77" s="87" t="s">
        <v>1671</v>
      </c>
      <c r="G77" s="87" t="s">
        <v>168</v>
      </c>
      <c r="H77" s="84">
        <v>499146.25019199995</v>
      </c>
      <c r="I77" s="86">
        <v>6492</v>
      </c>
      <c r="J77" s="74"/>
      <c r="K77" s="84">
        <v>70389.216863444002</v>
      </c>
      <c r="L77" s="85">
        <v>8.8024135987104755E-3</v>
      </c>
      <c r="M77" s="85">
        <f t="shared" si="2"/>
        <v>1.4486410984125959E-2</v>
      </c>
      <c r="N77" s="85">
        <f>K77/'סכום נכסי הקרן'!$C$42</f>
        <v>1.351272469407544E-3</v>
      </c>
    </row>
    <row r="78" spans="2:14" s="122" customFormat="1">
      <c r="B78" s="77" t="s">
        <v>1793</v>
      </c>
      <c r="C78" s="74" t="s">
        <v>1794</v>
      </c>
      <c r="D78" s="87" t="s">
        <v>126</v>
      </c>
      <c r="E78" s="74"/>
      <c r="F78" s="87" t="s">
        <v>1671</v>
      </c>
      <c r="G78" s="87" t="s">
        <v>167</v>
      </c>
      <c r="H78" s="84">
        <v>0</v>
      </c>
      <c r="I78" s="86">
        <v>2346.5</v>
      </c>
      <c r="J78" s="84">
        <v>175.70378230600002</v>
      </c>
      <c r="K78" s="84">
        <v>175.70378230600002</v>
      </c>
      <c r="L78" s="85">
        <v>0</v>
      </c>
      <c r="M78" s="85">
        <f t="shared" si="2"/>
        <v>3.6160612596217168E-5</v>
      </c>
      <c r="N78" s="85">
        <f>K78/'סכום נכסי הקרן'!$C$42</f>
        <v>3.373012151299811E-6</v>
      </c>
    </row>
    <row r="79" spans="2:14" s="122" customFormat="1">
      <c r="B79" s="77" t="s">
        <v>1795</v>
      </c>
      <c r="C79" s="74" t="s">
        <v>1796</v>
      </c>
      <c r="D79" s="87" t="s">
        <v>1472</v>
      </c>
      <c r="E79" s="74"/>
      <c r="F79" s="87" t="s">
        <v>1671</v>
      </c>
      <c r="G79" s="87" t="s">
        <v>164</v>
      </c>
      <c r="H79" s="84">
        <v>427523.88524499995</v>
      </c>
      <c r="I79" s="86">
        <v>21190</v>
      </c>
      <c r="J79" s="74"/>
      <c r="K79" s="84">
        <v>322961.589724258</v>
      </c>
      <c r="L79" s="85">
        <v>4.0126079256846085E-3</v>
      </c>
      <c r="M79" s="85">
        <f t="shared" si="2"/>
        <v>6.6466918219998505E-2</v>
      </c>
      <c r="N79" s="85">
        <f>K79/'סכום נכסי הקרן'!$C$42</f>
        <v>6.1999426093505708E-3</v>
      </c>
    </row>
    <row r="80" spans="2:14" s="122" customFormat="1">
      <c r="B80" s="77" t="s">
        <v>1797</v>
      </c>
      <c r="C80" s="74" t="s">
        <v>1798</v>
      </c>
      <c r="D80" s="87" t="s">
        <v>1472</v>
      </c>
      <c r="E80" s="74"/>
      <c r="F80" s="87" t="s">
        <v>1671</v>
      </c>
      <c r="G80" s="87" t="s">
        <v>164</v>
      </c>
      <c r="H80" s="84">
        <v>504184.00102999993</v>
      </c>
      <c r="I80" s="86">
        <v>2442</v>
      </c>
      <c r="J80" s="74"/>
      <c r="K80" s="84">
        <v>43892.897831388997</v>
      </c>
      <c r="L80" s="85">
        <v>1.5186265091265059E-2</v>
      </c>
      <c r="M80" s="85">
        <f>K80/$K$11</f>
        <v>9.0333517774932835E-3</v>
      </c>
      <c r="N80" s="85">
        <f>K80/'סכום נכסי הקרן'!$C$42</f>
        <v>8.4261861525095061E-4</v>
      </c>
    </row>
    <row r="81" spans="2:14" s="122" customFormat="1">
      <c r="B81" s="77" t="s">
        <v>1799</v>
      </c>
      <c r="C81" s="74" t="s">
        <v>1800</v>
      </c>
      <c r="D81" s="87" t="s">
        <v>1472</v>
      </c>
      <c r="E81" s="74"/>
      <c r="F81" s="87" t="s">
        <v>1671</v>
      </c>
      <c r="G81" s="87" t="s">
        <v>164</v>
      </c>
      <c r="H81" s="84">
        <v>146618.29582</v>
      </c>
      <c r="I81" s="86">
        <v>7643</v>
      </c>
      <c r="J81" s="74"/>
      <c r="K81" s="84">
        <v>39949.519586048002</v>
      </c>
      <c r="L81" s="85">
        <v>5.9844202375510205E-2</v>
      </c>
      <c r="M81" s="85">
        <f>K81/$K$11</f>
        <v>8.2217871590277141E-3</v>
      </c>
      <c r="N81" s="85">
        <f>K81/'סכום נכסי הקרן'!$C$42</f>
        <v>7.6691698513156137E-4</v>
      </c>
    </row>
    <row r="82" spans="2:14" s="122" customFormat="1">
      <c r="B82" s="73"/>
      <c r="C82" s="74"/>
      <c r="D82" s="74"/>
      <c r="E82" s="74"/>
      <c r="F82" s="74"/>
      <c r="G82" s="74"/>
      <c r="H82" s="84"/>
      <c r="I82" s="86"/>
      <c r="J82" s="74"/>
      <c r="K82" s="74"/>
      <c r="L82" s="74"/>
      <c r="M82" s="85"/>
      <c r="N82" s="74"/>
    </row>
    <row r="83" spans="2:14" s="122" customFormat="1">
      <c r="B83" s="92" t="s">
        <v>267</v>
      </c>
      <c r="C83" s="72"/>
      <c r="D83" s="72"/>
      <c r="E83" s="72"/>
      <c r="F83" s="72"/>
      <c r="G83" s="72"/>
      <c r="H83" s="81"/>
      <c r="I83" s="83"/>
      <c r="J83" s="72"/>
      <c r="K83" s="81">
        <v>285980.02718656202</v>
      </c>
      <c r="L83" s="72"/>
      <c r="M83" s="82">
        <f t="shared" ref="M83:M87" si="3">K83/$K$11</f>
        <v>5.8855949699130557E-2</v>
      </c>
      <c r="N83" s="82">
        <f>K83/'סכום נכסי הקרן'!$C$42</f>
        <v>5.4900019457144256E-3</v>
      </c>
    </row>
    <row r="84" spans="2:14" s="122" customFormat="1">
      <c r="B84" s="77" t="s">
        <v>1801</v>
      </c>
      <c r="C84" s="74" t="s">
        <v>1802</v>
      </c>
      <c r="D84" s="87" t="s">
        <v>126</v>
      </c>
      <c r="E84" s="74"/>
      <c r="F84" s="87" t="s">
        <v>1695</v>
      </c>
      <c r="G84" s="87" t="s">
        <v>164</v>
      </c>
      <c r="H84" s="84">
        <v>27553.302647</v>
      </c>
      <c r="I84" s="86">
        <v>9061</v>
      </c>
      <c r="J84" s="74"/>
      <c r="K84" s="84">
        <v>8900.3959423880005</v>
      </c>
      <c r="L84" s="85">
        <v>3.6685775130771443E-3</v>
      </c>
      <c r="M84" s="85">
        <f t="shared" si="3"/>
        <v>1.8317407024575202E-3</v>
      </c>
      <c r="N84" s="85">
        <f>K84/'סכום נכסי הקרן'!$C$42</f>
        <v>1.7086225049367694E-4</v>
      </c>
    </row>
    <row r="85" spans="2:14" s="122" customFormat="1">
      <c r="B85" s="77" t="s">
        <v>1803</v>
      </c>
      <c r="C85" s="74" t="s">
        <v>1804</v>
      </c>
      <c r="D85" s="87" t="s">
        <v>126</v>
      </c>
      <c r="E85" s="74"/>
      <c r="F85" s="87" t="s">
        <v>1695</v>
      </c>
      <c r="G85" s="87" t="s">
        <v>164</v>
      </c>
      <c r="H85" s="84">
        <v>677404.97133399989</v>
      </c>
      <c r="I85" s="86">
        <v>9195</v>
      </c>
      <c r="J85" s="74"/>
      <c r="K85" s="84">
        <v>222054.53506229699</v>
      </c>
      <c r="L85" s="85">
        <v>2.3689010384830636E-2</v>
      </c>
      <c r="M85" s="85">
        <f t="shared" si="3"/>
        <v>4.5699801747219666E-2</v>
      </c>
      <c r="N85" s="85">
        <f>K85/'סכום נכסי הקרן'!$C$42</f>
        <v>4.2628145802344562E-3</v>
      </c>
    </row>
    <row r="86" spans="2:14" s="122" customFormat="1">
      <c r="B86" s="77" t="s">
        <v>1805</v>
      </c>
      <c r="C86" s="74" t="s">
        <v>1806</v>
      </c>
      <c r="D86" s="87" t="s">
        <v>126</v>
      </c>
      <c r="E86" s="74"/>
      <c r="F86" s="87" t="s">
        <v>1695</v>
      </c>
      <c r="G86" s="87" t="s">
        <v>167</v>
      </c>
      <c r="H86" s="84">
        <v>4167321.4557410004</v>
      </c>
      <c r="I86" s="86">
        <v>116</v>
      </c>
      <c r="J86" s="74"/>
      <c r="K86" s="84">
        <v>21263.240980710001</v>
      </c>
      <c r="L86" s="85">
        <v>1.8171527609539023E-2</v>
      </c>
      <c r="M86" s="85">
        <f t="shared" si="3"/>
        <v>4.3760686853307803E-3</v>
      </c>
      <c r="N86" s="85">
        <f>K86/'סכום נכסי הקרן'!$C$42</f>
        <v>4.0819366130117609E-4</v>
      </c>
    </row>
    <row r="87" spans="2:14" s="122" customFormat="1">
      <c r="B87" s="77" t="s">
        <v>1807</v>
      </c>
      <c r="C87" s="74" t="s">
        <v>1808</v>
      </c>
      <c r="D87" s="87" t="s">
        <v>126</v>
      </c>
      <c r="E87" s="74"/>
      <c r="F87" s="87" t="s">
        <v>1695</v>
      </c>
      <c r="G87" s="87" t="s">
        <v>164</v>
      </c>
      <c r="H87" s="84">
        <v>150215.97454500003</v>
      </c>
      <c r="I87" s="86">
        <v>6304.5</v>
      </c>
      <c r="J87" s="74"/>
      <c r="K87" s="84">
        <v>33761.855201166996</v>
      </c>
      <c r="L87" s="85">
        <v>3.1421072404503752E-3</v>
      </c>
      <c r="M87" s="85">
        <f t="shared" si="3"/>
        <v>6.9483385641225847E-3</v>
      </c>
      <c r="N87" s="85">
        <f>K87/'סכום נכסי הקרן'!$C$42</f>
        <v>6.4813145368511631E-4</v>
      </c>
    </row>
    <row r="88" spans="2:14" s="122" customFormat="1">
      <c r="B88" s="121"/>
      <c r="C88" s="121"/>
    </row>
    <row r="89" spans="2:14" s="122" customFormat="1">
      <c r="B89" s="121"/>
      <c r="C89" s="121"/>
    </row>
    <row r="90" spans="2:14" s="122" customFormat="1">
      <c r="B90" s="121"/>
      <c r="C90" s="121"/>
    </row>
    <row r="91" spans="2:14" s="122" customFormat="1">
      <c r="B91" s="124" t="s">
        <v>261</v>
      </c>
      <c r="C91" s="121"/>
    </row>
    <row r="92" spans="2:14" s="122" customFormat="1">
      <c r="B92" s="124" t="s">
        <v>115</v>
      </c>
      <c r="C92" s="121"/>
    </row>
    <row r="93" spans="2:14" s="122" customFormat="1">
      <c r="B93" s="124" t="s">
        <v>243</v>
      </c>
      <c r="C93" s="121"/>
    </row>
    <row r="94" spans="2:14" s="122" customFormat="1">
      <c r="B94" s="124" t="s">
        <v>251</v>
      </c>
      <c r="C94" s="121"/>
    </row>
    <row r="95" spans="2:14" s="122" customFormat="1">
      <c r="B95" s="124" t="s">
        <v>259</v>
      </c>
      <c r="C95" s="121"/>
    </row>
    <row r="96" spans="2:14" s="122" customFormat="1">
      <c r="B96" s="121"/>
      <c r="C96" s="121"/>
    </row>
    <row r="97" spans="2:3" s="122" customFormat="1">
      <c r="B97" s="121"/>
      <c r="C97" s="121"/>
    </row>
    <row r="98" spans="2:3" s="122" customFormat="1">
      <c r="B98" s="121"/>
      <c r="C98" s="121"/>
    </row>
    <row r="99" spans="2:3" s="122" customFormat="1">
      <c r="B99" s="121"/>
      <c r="C99" s="121"/>
    </row>
    <row r="100" spans="2:3" s="122" customFormat="1">
      <c r="B100" s="121"/>
      <c r="C100" s="121"/>
    </row>
    <row r="101" spans="2:3" s="122" customFormat="1">
      <c r="B101" s="121"/>
      <c r="C101" s="121"/>
    </row>
    <row r="102" spans="2:3" s="122" customFormat="1">
      <c r="B102" s="121"/>
      <c r="C102" s="121"/>
    </row>
    <row r="103" spans="2:3" s="122" customFormat="1">
      <c r="B103" s="121"/>
      <c r="C103" s="121"/>
    </row>
    <row r="104" spans="2:3" s="122" customFormat="1">
      <c r="B104" s="121"/>
      <c r="C104" s="121"/>
    </row>
    <row r="105" spans="2:3" s="122" customFormat="1">
      <c r="B105" s="121"/>
      <c r="C105" s="121"/>
    </row>
    <row r="106" spans="2:3" s="122" customFormat="1">
      <c r="B106" s="121"/>
      <c r="C106" s="121"/>
    </row>
    <row r="107" spans="2:3" s="122" customFormat="1">
      <c r="B107" s="121"/>
      <c r="C107" s="121"/>
    </row>
    <row r="108" spans="2:3" s="122" customFormat="1">
      <c r="B108" s="121"/>
      <c r="C108" s="121"/>
    </row>
    <row r="109" spans="2:3" s="122" customFormat="1">
      <c r="B109" s="121"/>
      <c r="C109" s="121"/>
    </row>
    <row r="110" spans="2:3" s="122" customFormat="1">
      <c r="B110" s="121"/>
      <c r="C110" s="121"/>
    </row>
    <row r="111" spans="2:3" s="122" customFormat="1">
      <c r="B111" s="121"/>
      <c r="C111" s="121"/>
    </row>
    <row r="112" spans="2:3" s="122" customFormat="1">
      <c r="B112" s="121"/>
      <c r="C112" s="121"/>
    </row>
    <row r="113" spans="2:3" s="122" customFormat="1">
      <c r="B113" s="121"/>
      <c r="C113" s="121"/>
    </row>
    <row r="114" spans="2:3" s="122" customFormat="1">
      <c r="B114" s="121"/>
      <c r="C114" s="121"/>
    </row>
    <row r="115" spans="2:3" s="122" customFormat="1">
      <c r="B115" s="121"/>
      <c r="C115" s="121"/>
    </row>
    <row r="116" spans="2:3" s="122" customFormat="1">
      <c r="B116" s="121"/>
      <c r="C116" s="121"/>
    </row>
    <row r="117" spans="2:3" s="122" customFormat="1">
      <c r="B117" s="121"/>
      <c r="C117" s="121"/>
    </row>
    <row r="118" spans="2:3" s="122" customFormat="1">
      <c r="B118" s="121"/>
      <c r="C118" s="121"/>
    </row>
    <row r="119" spans="2:3" s="122" customFormat="1">
      <c r="B119" s="121"/>
      <c r="C119" s="121"/>
    </row>
    <row r="120" spans="2:3" s="122" customFormat="1">
      <c r="B120" s="121"/>
      <c r="C120" s="121"/>
    </row>
    <row r="121" spans="2:3" s="122" customFormat="1">
      <c r="B121" s="121"/>
      <c r="C121" s="121"/>
    </row>
    <row r="122" spans="2:3" s="122" customFormat="1">
      <c r="B122" s="121"/>
      <c r="C122" s="121"/>
    </row>
    <row r="123" spans="2:3" s="122" customFormat="1">
      <c r="B123" s="121"/>
      <c r="C123" s="121"/>
    </row>
    <row r="124" spans="2:3" s="122" customFormat="1">
      <c r="B124" s="121"/>
      <c r="C124" s="121"/>
    </row>
    <row r="125" spans="2:3" s="122" customFormat="1">
      <c r="B125" s="121"/>
      <c r="C125" s="121"/>
    </row>
    <row r="126" spans="2:3" s="122" customFormat="1">
      <c r="B126" s="121"/>
      <c r="C126" s="121"/>
    </row>
    <row r="127" spans="2:3" s="122" customFormat="1">
      <c r="B127" s="121"/>
      <c r="C127" s="121"/>
    </row>
    <row r="128" spans="2:3" s="122" customFormat="1">
      <c r="B128" s="121"/>
      <c r="C128" s="121"/>
    </row>
    <row r="129" spans="2:3" s="122" customFormat="1">
      <c r="B129" s="121"/>
      <c r="C129" s="121"/>
    </row>
    <row r="130" spans="2:3" s="122" customFormat="1">
      <c r="B130" s="121"/>
      <c r="C130" s="121"/>
    </row>
    <row r="131" spans="2:3" s="122" customFormat="1">
      <c r="B131" s="121"/>
      <c r="C131" s="121"/>
    </row>
    <row r="132" spans="2:3" s="122" customFormat="1">
      <c r="B132" s="121"/>
      <c r="C132" s="121"/>
    </row>
    <row r="133" spans="2:3" s="122" customFormat="1">
      <c r="B133" s="121"/>
      <c r="C133" s="121"/>
    </row>
    <row r="134" spans="2:3" s="122" customFormat="1">
      <c r="B134" s="121"/>
      <c r="C134" s="121"/>
    </row>
    <row r="135" spans="2:3" s="122" customFormat="1">
      <c r="B135" s="121"/>
      <c r="C135" s="121"/>
    </row>
    <row r="136" spans="2:3" s="122" customFormat="1">
      <c r="B136" s="121"/>
      <c r="C136" s="121"/>
    </row>
    <row r="137" spans="2:3" s="122" customFormat="1">
      <c r="B137" s="121"/>
      <c r="C137" s="121"/>
    </row>
    <row r="138" spans="2:3" s="122" customFormat="1">
      <c r="B138" s="121"/>
      <c r="C138" s="121"/>
    </row>
    <row r="139" spans="2:3" s="122" customFormat="1">
      <c r="B139" s="121"/>
      <c r="C139" s="121"/>
    </row>
    <row r="140" spans="2:3" s="122" customFormat="1">
      <c r="B140" s="121"/>
      <c r="C140" s="121"/>
    </row>
    <row r="141" spans="2:3" s="122" customFormat="1">
      <c r="B141" s="121"/>
      <c r="C141" s="121"/>
    </row>
    <row r="142" spans="2:3" s="122" customFormat="1">
      <c r="B142" s="121"/>
      <c r="C142" s="121"/>
    </row>
    <row r="143" spans="2:3" s="122" customFormat="1">
      <c r="B143" s="121"/>
      <c r="C143" s="121"/>
    </row>
    <row r="144" spans="2:3" s="122" customFormat="1">
      <c r="B144" s="121"/>
      <c r="C144" s="121"/>
    </row>
    <row r="145" spans="2:3" s="122" customFormat="1">
      <c r="B145" s="121"/>
      <c r="C145" s="121"/>
    </row>
    <row r="146" spans="2:3" s="122" customFormat="1">
      <c r="B146" s="121"/>
      <c r="C146" s="121"/>
    </row>
    <row r="147" spans="2:3" s="122" customFormat="1">
      <c r="B147" s="121"/>
      <c r="C147" s="121"/>
    </row>
    <row r="148" spans="2:3" s="122" customFormat="1">
      <c r="B148" s="121"/>
      <c r="C148" s="121"/>
    </row>
    <row r="149" spans="2:3" s="122" customFormat="1">
      <c r="B149" s="121"/>
      <c r="C149" s="121"/>
    </row>
    <row r="150" spans="2:3" s="122" customFormat="1">
      <c r="B150" s="121"/>
      <c r="C150" s="121"/>
    </row>
    <row r="151" spans="2:3" s="122" customFormat="1">
      <c r="B151" s="121"/>
      <c r="C151" s="121"/>
    </row>
    <row r="152" spans="2:3" s="122" customFormat="1">
      <c r="B152" s="121"/>
      <c r="C152" s="121"/>
    </row>
    <row r="153" spans="2:3" s="122" customFormat="1">
      <c r="B153" s="121"/>
      <c r="C153" s="121"/>
    </row>
    <row r="154" spans="2:3" s="122" customFormat="1">
      <c r="B154" s="121"/>
      <c r="C154" s="121"/>
    </row>
    <row r="155" spans="2:3" s="122" customFormat="1">
      <c r="B155" s="121"/>
      <c r="C155" s="121"/>
    </row>
    <row r="156" spans="2:3" s="122" customFormat="1">
      <c r="B156" s="121"/>
      <c r="C156" s="121"/>
    </row>
    <row r="157" spans="2:3" s="122" customFormat="1">
      <c r="B157" s="121"/>
      <c r="C157" s="121"/>
    </row>
    <row r="158" spans="2:3" s="122" customFormat="1">
      <c r="B158" s="121"/>
      <c r="C158" s="121"/>
    </row>
    <row r="159" spans="2:3" s="122" customFormat="1">
      <c r="B159" s="121"/>
      <c r="C159" s="121"/>
    </row>
    <row r="160" spans="2:3" s="122" customFormat="1">
      <c r="B160" s="121"/>
      <c r="C160" s="121"/>
    </row>
    <row r="161" spans="2:3" s="122" customFormat="1">
      <c r="B161" s="121"/>
      <c r="C161" s="121"/>
    </row>
    <row r="162" spans="2:3" s="122" customFormat="1">
      <c r="B162" s="121"/>
      <c r="C162" s="121"/>
    </row>
    <row r="163" spans="2:3" s="122" customFormat="1">
      <c r="B163" s="121"/>
      <c r="C163" s="121"/>
    </row>
    <row r="164" spans="2:3" s="122" customFormat="1">
      <c r="B164" s="121"/>
      <c r="C164" s="121"/>
    </row>
    <row r="165" spans="2:3" s="122" customFormat="1">
      <c r="B165" s="121"/>
      <c r="C165" s="121"/>
    </row>
    <row r="166" spans="2:3" s="122" customFormat="1">
      <c r="B166" s="121"/>
      <c r="C166" s="121"/>
    </row>
    <row r="167" spans="2:3" s="122" customFormat="1">
      <c r="B167" s="121"/>
      <c r="C167" s="121"/>
    </row>
    <row r="168" spans="2:3" s="122" customFormat="1">
      <c r="B168" s="121"/>
      <c r="C168" s="121"/>
    </row>
    <row r="169" spans="2:3" s="122" customFormat="1">
      <c r="B169" s="121"/>
      <c r="C169" s="121"/>
    </row>
    <row r="170" spans="2:3" s="122" customFormat="1">
      <c r="B170" s="121"/>
      <c r="C170" s="121"/>
    </row>
    <row r="171" spans="2:3" s="122" customFormat="1">
      <c r="B171" s="121"/>
      <c r="C171" s="121"/>
    </row>
    <row r="172" spans="2:3" s="122" customFormat="1">
      <c r="B172" s="121"/>
      <c r="C172" s="121"/>
    </row>
    <row r="173" spans="2:3" s="122" customFormat="1">
      <c r="B173" s="121"/>
      <c r="C173" s="121"/>
    </row>
    <row r="174" spans="2:3" s="122" customFormat="1">
      <c r="B174" s="121"/>
      <c r="C174" s="121"/>
    </row>
    <row r="175" spans="2:3" s="122" customFormat="1">
      <c r="B175" s="121"/>
      <c r="C175" s="121"/>
    </row>
    <row r="176" spans="2:3" s="122" customFormat="1">
      <c r="B176" s="121"/>
      <c r="C176" s="121"/>
    </row>
    <row r="177" spans="2:3" s="122" customFormat="1">
      <c r="B177" s="121"/>
      <c r="C177" s="121"/>
    </row>
    <row r="178" spans="2:3" s="122" customFormat="1">
      <c r="B178" s="121"/>
      <c r="C178" s="121"/>
    </row>
    <row r="179" spans="2:3" s="122" customFormat="1">
      <c r="B179" s="121"/>
      <c r="C179" s="121"/>
    </row>
    <row r="180" spans="2:3" s="122" customFormat="1">
      <c r="B180" s="121"/>
      <c r="C180" s="121"/>
    </row>
    <row r="181" spans="2:3" s="122" customFormat="1">
      <c r="B181" s="121"/>
      <c r="C181" s="121"/>
    </row>
    <row r="182" spans="2:3" s="122" customFormat="1">
      <c r="B182" s="121"/>
      <c r="C182" s="121"/>
    </row>
    <row r="183" spans="2:3" s="122" customFormat="1">
      <c r="B183" s="121"/>
      <c r="C183" s="121"/>
    </row>
    <row r="184" spans="2:3" s="122" customFormat="1">
      <c r="B184" s="121"/>
      <c r="C184" s="121"/>
    </row>
    <row r="185" spans="2:3" s="122" customFormat="1">
      <c r="B185" s="121"/>
      <c r="C185" s="121"/>
    </row>
    <row r="186" spans="2:3" s="122" customFormat="1">
      <c r="B186" s="121"/>
      <c r="C186" s="121"/>
    </row>
    <row r="187" spans="2:3" s="122" customFormat="1">
      <c r="B187" s="121"/>
      <c r="C187" s="121"/>
    </row>
    <row r="188" spans="2:3" s="122" customFormat="1">
      <c r="B188" s="121"/>
      <c r="C188" s="121"/>
    </row>
    <row r="189" spans="2:3" s="122" customFormat="1">
      <c r="B189" s="121"/>
      <c r="C189" s="121"/>
    </row>
    <row r="190" spans="2:3" s="122" customFormat="1">
      <c r="B190" s="121"/>
      <c r="C190" s="121"/>
    </row>
    <row r="191" spans="2:3" s="122" customFormat="1">
      <c r="B191" s="121"/>
      <c r="C191" s="121"/>
    </row>
    <row r="192" spans="2:3" s="122" customFormat="1">
      <c r="B192" s="121"/>
      <c r="C192" s="121"/>
    </row>
    <row r="193" spans="2:7" s="122" customFormat="1">
      <c r="B193" s="121"/>
      <c r="C193" s="121"/>
    </row>
    <row r="194" spans="2:7" s="122" customFormat="1">
      <c r="B194" s="121"/>
      <c r="C194" s="121"/>
    </row>
    <row r="195" spans="2:7">
      <c r="D195" s="1"/>
      <c r="E195" s="1"/>
      <c r="F195" s="1"/>
      <c r="G195" s="1"/>
    </row>
    <row r="196" spans="2:7">
      <c r="D196" s="1"/>
      <c r="E196" s="1"/>
      <c r="F196" s="1"/>
      <c r="G196" s="1"/>
    </row>
    <row r="197" spans="2:7">
      <c r="D197" s="1"/>
      <c r="E197" s="1"/>
      <c r="F197" s="1"/>
      <c r="G197" s="1"/>
    </row>
    <row r="198" spans="2:7">
      <c r="D198" s="1"/>
      <c r="E198" s="1"/>
      <c r="F198" s="1"/>
      <c r="G198" s="1"/>
    </row>
    <row r="199" spans="2:7">
      <c r="D199" s="1"/>
      <c r="E199" s="1"/>
      <c r="F199" s="1"/>
      <c r="G199" s="1"/>
    </row>
    <row r="200" spans="2:7">
      <c r="D200" s="1"/>
      <c r="E200" s="1"/>
      <c r="F200" s="1"/>
      <c r="G200" s="1"/>
    </row>
    <row r="201" spans="2:7">
      <c r="D201" s="1"/>
      <c r="E201" s="1"/>
      <c r="F201" s="1"/>
      <c r="G201" s="1"/>
    </row>
    <row r="202" spans="2:7">
      <c r="D202" s="1"/>
      <c r="E202" s="1"/>
      <c r="F202" s="1"/>
      <c r="G202" s="1"/>
    </row>
    <row r="203" spans="2:7">
      <c r="D203" s="1"/>
      <c r="E203" s="1"/>
      <c r="F203" s="1"/>
      <c r="G203" s="1"/>
    </row>
    <row r="204" spans="2:7">
      <c r="D204" s="1"/>
      <c r="E204" s="1"/>
      <c r="F204" s="1"/>
      <c r="G204" s="1"/>
    </row>
    <row r="205" spans="2:7">
      <c r="D205" s="1"/>
      <c r="E205" s="1"/>
      <c r="F205" s="1"/>
      <c r="G205" s="1"/>
    </row>
    <row r="206" spans="2:7">
      <c r="D206" s="1"/>
      <c r="E206" s="1"/>
      <c r="F206" s="1"/>
      <c r="G206" s="1"/>
    </row>
    <row r="207" spans="2:7">
      <c r="D207" s="1"/>
      <c r="E207" s="1"/>
      <c r="F207" s="1"/>
      <c r="G207" s="1"/>
    </row>
    <row r="208" spans="2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2"/>
      <c r="D250" s="1"/>
      <c r="E250" s="1"/>
      <c r="F250" s="1"/>
      <c r="G250" s="1"/>
    </row>
    <row r="251" spans="2:7">
      <c r="B251" s="42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5" type="noConversion"/>
  <dataValidations count="1">
    <dataValidation allowBlank="1" showInputMessage="1" showErrorMessage="1" sqref="J9:J1048576 C5:C1048576 J1:J7 A1:A1048576 B1:B43 D1:I1048576 Z49:Z1048576 AA1:XFD1048576 Z1:Z43 B45:B90 B92:B1048576 K1:Y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E327"/>
  <sheetViews>
    <sheetView rightToLeft="1" workbookViewId="0">
      <selection activeCell="G19" sqref="G19"/>
    </sheetView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48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" width="8" style="1" customWidth="1"/>
    <col min="17" max="17" width="8.7109375" style="1" customWidth="1"/>
    <col min="18" max="18" width="10" style="1" customWidth="1"/>
    <col min="19" max="19" width="9.5703125" style="1" customWidth="1"/>
    <col min="20" max="20" width="6.140625" style="1" customWidth="1"/>
    <col min="21" max="22" width="5.7109375" style="1" customWidth="1"/>
    <col min="23" max="23" width="6.85546875" style="1" customWidth="1"/>
    <col min="24" max="24" width="6.42578125" style="1" customWidth="1"/>
    <col min="25" max="25" width="6.7109375" style="1" customWidth="1"/>
    <col min="26" max="26" width="7.28515625" style="1" customWidth="1"/>
    <col min="27" max="38" width="5.7109375" style="1" customWidth="1"/>
    <col min="39" max="16384" width="9.140625" style="1"/>
  </cols>
  <sheetData>
    <row r="1" spans="2:57">
      <c r="B1" s="47" t="s">
        <v>180</v>
      </c>
      <c r="C1" s="68" t="s" vm="1">
        <v>270</v>
      </c>
    </row>
    <row r="2" spans="2:57">
      <c r="B2" s="47" t="s">
        <v>179</v>
      </c>
      <c r="C2" s="68" t="s">
        <v>271</v>
      </c>
    </row>
    <row r="3" spans="2:57">
      <c r="B3" s="47" t="s">
        <v>181</v>
      </c>
      <c r="C3" s="68" t="s">
        <v>272</v>
      </c>
    </row>
    <row r="4" spans="2:57">
      <c r="B4" s="47" t="s">
        <v>182</v>
      </c>
      <c r="C4" s="68">
        <v>2102</v>
      </c>
    </row>
    <row r="6" spans="2:57" ht="26.25" customHeight="1">
      <c r="B6" s="163" t="s">
        <v>210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5"/>
    </row>
    <row r="7" spans="2:57" ht="26.25" customHeight="1">
      <c r="B7" s="163" t="s">
        <v>96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/>
      <c r="BE7" s="3"/>
    </row>
    <row r="8" spans="2:57" s="3" customFormat="1" ht="78.75">
      <c r="B8" s="22" t="s">
        <v>118</v>
      </c>
      <c r="C8" s="30" t="s">
        <v>47</v>
      </c>
      <c r="D8" s="30" t="s">
        <v>122</v>
      </c>
      <c r="E8" s="30" t="s">
        <v>120</v>
      </c>
      <c r="F8" s="30" t="s">
        <v>68</v>
      </c>
      <c r="G8" s="30" t="s">
        <v>14</v>
      </c>
      <c r="H8" s="30" t="s">
        <v>69</v>
      </c>
      <c r="I8" s="30" t="s">
        <v>106</v>
      </c>
      <c r="J8" s="30" t="s">
        <v>245</v>
      </c>
      <c r="K8" s="30" t="s">
        <v>244</v>
      </c>
      <c r="L8" s="30" t="s">
        <v>64</v>
      </c>
      <c r="M8" s="30" t="s">
        <v>61</v>
      </c>
      <c r="N8" s="30" t="s">
        <v>183</v>
      </c>
      <c r="O8" s="20" t="s">
        <v>185</v>
      </c>
      <c r="AZ8" s="1"/>
      <c r="BA8" s="1"/>
    </row>
    <row r="9" spans="2:57" s="3" customFormat="1" ht="20.25">
      <c r="B9" s="15"/>
      <c r="C9" s="16"/>
      <c r="D9" s="16"/>
      <c r="E9" s="16"/>
      <c r="F9" s="16"/>
      <c r="G9" s="16"/>
      <c r="H9" s="16"/>
      <c r="I9" s="16"/>
      <c r="J9" s="32" t="s">
        <v>252</v>
      </c>
      <c r="K9" s="32"/>
      <c r="L9" s="32" t="s">
        <v>248</v>
      </c>
      <c r="M9" s="32" t="s">
        <v>19</v>
      </c>
      <c r="N9" s="32" t="s">
        <v>19</v>
      </c>
      <c r="O9" s="33" t="s">
        <v>19</v>
      </c>
      <c r="AY9" s="1"/>
      <c r="AZ9" s="1"/>
      <c r="BA9" s="1"/>
      <c r="BE9" s="4"/>
    </row>
    <row r="10" spans="2:57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AY10" s="1"/>
      <c r="AZ10" s="3"/>
      <c r="BA10" s="1"/>
    </row>
    <row r="11" spans="2:57" s="123" customFormat="1" ht="18" customHeight="1">
      <c r="B11" s="69" t="s">
        <v>32</v>
      </c>
      <c r="C11" s="70"/>
      <c r="D11" s="70"/>
      <c r="E11" s="70"/>
      <c r="F11" s="70"/>
      <c r="G11" s="70"/>
      <c r="H11" s="70"/>
      <c r="I11" s="70"/>
      <c r="J11" s="78"/>
      <c r="K11" s="80"/>
      <c r="L11" s="78">
        <v>1991241.8241342162</v>
      </c>
      <c r="M11" s="70"/>
      <c r="N11" s="79">
        <f>L11/$L$11</f>
        <v>1</v>
      </c>
      <c r="O11" s="79">
        <f>L11/'סכום נכסי הקרן'!$C$42</f>
        <v>3.822617123451505E-2</v>
      </c>
      <c r="AY11" s="122"/>
      <c r="AZ11" s="127"/>
      <c r="BA11" s="122"/>
      <c r="BE11" s="122"/>
    </row>
    <row r="12" spans="2:57" s="123" customFormat="1" ht="18" customHeight="1">
      <c r="B12" s="71" t="s">
        <v>237</v>
      </c>
      <c r="C12" s="72"/>
      <c r="D12" s="72"/>
      <c r="E12" s="72"/>
      <c r="F12" s="72"/>
      <c r="G12" s="72"/>
      <c r="H12" s="72"/>
      <c r="I12" s="72"/>
      <c r="J12" s="81"/>
      <c r="K12" s="83"/>
      <c r="L12" s="81">
        <v>1991241.8241342164</v>
      </c>
      <c r="M12" s="72"/>
      <c r="N12" s="82">
        <f t="shared" ref="N12:N29" si="0">L12/$L$11</f>
        <v>1.0000000000000002</v>
      </c>
      <c r="O12" s="82">
        <f>L12/'סכום נכסי הקרן'!$C$42</f>
        <v>3.8226171234515056E-2</v>
      </c>
      <c r="AY12" s="122"/>
      <c r="AZ12" s="127"/>
      <c r="BA12" s="122"/>
      <c r="BE12" s="122"/>
    </row>
    <row r="13" spans="2:57" s="122" customFormat="1">
      <c r="B13" s="92" t="s">
        <v>54</v>
      </c>
      <c r="C13" s="72"/>
      <c r="D13" s="72"/>
      <c r="E13" s="72"/>
      <c r="F13" s="72"/>
      <c r="G13" s="72"/>
      <c r="H13" s="72"/>
      <c r="I13" s="72"/>
      <c r="J13" s="81"/>
      <c r="K13" s="83"/>
      <c r="L13" s="81">
        <v>1417767.6684794449</v>
      </c>
      <c r="M13" s="72"/>
      <c r="N13" s="82">
        <f t="shared" si="0"/>
        <v>0.71200175252239117</v>
      </c>
      <c r="O13" s="82">
        <f>L13/'סכום נכסי הקרן'!$C$42</f>
        <v>2.7217100911195734E-2</v>
      </c>
      <c r="AZ13" s="127"/>
    </row>
    <row r="14" spans="2:57" s="122" customFormat="1" ht="20.25">
      <c r="B14" s="77" t="s">
        <v>1809</v>
      </c>
      <c r="C14" s="74" t="s">
        <v>1810</v>
      </c>
      <c r="D14" s="87" t="s">
        <v>28</v>
      </c>
      <c r="E14" s="74"/>
      <c r="F14" s="87" t="s">
        <v>1695</v>
      </c>
      <c r="G14" s="74" t="s">
        <v>2982</v>
      </c>
      <c r="H14" s="74" t="s">
        <v>959</v>
      </c>
      <c r="I14" s="87" t="s">
        <v>167</v>
      </c>
      <c r="J14" s="84">
        <v>21364.333882999999</v>
      </c>
      <c r="K14" s="86">
        <v>115680</v>
      </c>
      <c r="L14" s="84">
        <v>108708.15035075898</v>
      </c>
      <c r="M14" s="85">
        <v>3.9881211163117485E-2</v>
      </c>
      <c r="N14" s="85">
        <f t="shared" si="0"/>
        <v>5.459314335064494E-2</v>
      </c>
      <c r="O14" s="85">
        <f>L14/'סכום נכסי הקרן'!$C$42</f>
        <v>2.0868868459521803E-3</v>
      </c>
      <c r="AZ14" s="123"/>
    </row>
    <row r="15" spans="2:57" s="122" customFormat="1">
      <c r="B15" s="77" t="s">
        <v>1812</v>
      </c>
      <c r="C15" s="74" t="s">
        <v>1813</v>
      </c>
      <c r="D15" s="87" t="s">
        <v>28</v>
      </c>
      <c r="E15" s="74"/>
      <c r="F15" s="87" t="s">
        <v>1695</v>
      </c>
      <c r="G15" s="74" t="s">
        <v>958</v>
      </c>
      <c r="H15" s="74" t="s">
        <v>959</v>
      </c>
      <c r="I15" s="87" t="s">
        <v>164</v>
      </c>
      <c r="J15" s="84">
        <v>26628.374964000002</v>
      </c>
      <c r="K15" s="86">
        <v>83365</v>
      </c>
      <c r="L15" s="84">
        <v>79138.522447249998</v>
      </c>
      <c r="M15" s="85">
        <v>3.3254761803747535E-2</v>
      </c>
      <c r="N15" s="85">
        <f t="shared" si="0"/>
        <v>3.9743300631835163E-2</v>
      </c>
      <c r="O15" s="85">
        <f>L15/'סכום נכסי הקרן'!$C$42</f>
        <v>1.5192342153773411E-3</v>
      </c>
    </row>
    <row r="16" spans="2:57" s="122" customFormat="1">
      <c r="B16" s="77" t="s">
        <v>1814</v>
      </c>
      <c r="C16" s="74" t="s">
        <v>1815</v>
      </c>
      <c r="D16" s="87" t="s">
        <v>28</v>
      </c>
      <c r="E16" s="74"/>
      <c r="F16" s="87" t="s">
        <v>1695</v>
      </c>
      <c r="G16" s="74" t="s">
        <v>1068</v>
      </c>
      <c r="H16" s="74" t="s">
        <v>959</v>
      </c>
      <c r="I16" s="87" t="s">
        <v>164</v>
      </c>
      <c r="J16" s="84">
        <v>1177.0353990000001</v>
      </c>
      <c r="K16" s="86">
        <v>1073293</v>
      </c>
      <c r="L16" s="84">
        <v>45036.760524089004</v>
      </c>
      <c r="M16" s="85">
        <v>8.4425595365486134E-3</v>
      </c>
      <c r="N16" s="85">
        <f t="shared" si="0"/>
        <v>2.2617423950338531E-2</v>
      </c>
      <c r="O16" s="85">
        <f>L16/'סכום נכסי הקרן'!$C$42</f>
        <v>8.6457752080926252E-4</v>
      </c>
    </row>
    <row r="17" spans="2:15" s="122" customFormat="1">
      <c r="B17" s="77" t="s">
        <v>1816</v>
      </c>
      <c r="C17" s="74" t="s">
        <v>1817</v>
      </c>
      <c r="D17" s="87" t="s">
        <v>28</v>
      </c>
      <c r="E17" s="74"/>
      <c r="F17" s="87" t="s">
        <v>1695</v>
      </c>
      <c r="G17" s="74" t="s">
        <v>1103</v>
      </c>
      <c r="H17" s="74" t="s">
        <v>959</v>
      </c>
      <c r="I17" s="87" t="s">
        <v>166</v>
      </c>
      <c r="J17" s="84">
        <v>15486.90274</v>
      </c>
      <c r="K17" s="86">
        <v>99408</v>
      </c>
      <c r="L17" s="84">
        <v>60045.977639347002</v>
      </c>
      <c r="M17" s="85">
        <v>5.4501438364606629E-2</v>
      </c>
      <c r="N17" s="85">
        <f t="shared" si="0"/>
        <v>3.0155040393175122E-2</v>
      </c>
      <c r="O17" s="85">
        <f>L17/'סכום נכסי הקרן'!$C$42</f>
        <v>1.1527117376532302E-3</v>
      </c>
    </row>
    <row r="18" spans="2:15" s="122" customFormat="1">
      <c r="B18" s="77" t="s">
        <v>1835</v>
      </c>
      <c r="C18" s="74" t="s">
        <v>1836</v>
      </c>
      <c r="D18" s="87" t="s">
        <v>28</v>
      </c>
      <c r="E18" s="74"/>
      <c r="F18" s="87" t="s">
        <v>1695</v>
      </c>
      <c r="G18" s="74" t="s">
        <v>1103</v>
      </c>
      <c r="H18" s="74" t="s">
        <v>959</v>
      </c>
      <c r="I18" s="87" t="s">
        <v>166</v>
      </c>
      <c r="J18" s="84">
        <v>17595.817169999998</v>
      </c>
      <c r="K18" s="86">
        <v>199088</v>
      </c>
      <c r="L18" s="84">
        <v>136632.035253635</v>
      </c>
      <c r="M18" s="85">
        <v>5.8892676733723649E-2</v>
      </c>
      <c r="N18" s="85">
        <f>L18/$L$11</f>
        <v>6.8616495293353966E-2</v>
      </c>
      <c r="O18" s="85">
        <f>L18/'סכום נכסי הקרן'!$C$42</f>
        <v>2.6229458985960446E-3</v>
      </c>
    </row>
    <row r="19" spans="2:15" s="122" customFormat="1">
      <c r="B19" s="77" t="s">
        <v>1825</v>
      </c>
      <c r="C19" s="74" t="s">
        <v>1826</v>
      </c>
      <c r="D19" s="87" t="s">
        <v>28</v>
      </c>
      <c r="E19" s="74"/>
      <c r="F19" s="87" t="s">
        <v>1695</v>
      </c>
      <c r="G19" s="74" t="s">
        <v>968</v>
      </c>
      <c r="H19" s="74" t="s">
        <v>959</v>
      </c>
      <c r="I19" s="87" t="s">
        <v>164</v>
      </c>
      <c r="J19" s="84">
        <v>1783355.052442</v>
      </c>
      <c r="K19" s="86">
        <v>1249</v>
      </c>
      <c r="L19" s="84">
        <v>79407.18291680899</v>
      </c>
      <c r="M19" s="85">
        <v>6.0854119108375527E-3</v>
      </c>
      <c r="N19" s="85">
        <f>L19/$L$11</f>
        <v>3.9878221697826635E-2</v>
      </c>
      <c r="O19" s="85">
        <f>L19/'סכום נכסי הקרן'!$C$42</f>
        <v>1.5243917311490746E-3</v>
      </c>
    </row>
    <row r="20" spans="2:15" s="122" customFormat="1">
      <c r="B20" s="77" t="s">
        <v>1818</v>
      </c>
      <c r="C20" s="74" t="s">
        <v>1819</v>
      </c>
      <c r="D20" s="87" t="s">
        <v>28</v>
      </c>
      <c r="E20" s="74"/>
      <c r="F20" s="87" t="s">
        <v>1695</v>
      </c>
      <c r="G20" s="74" t="s">
        <v>1103</v>
      </c>
      <c r="H20" s="74" t="s">
        <v>959</v>
      </c>
      <c r="I20" s="87" t="s">
        <v>164</v>
      </c>
      <c r="J20" s="84">
        <v>8587.2044349999996</v>
      </c>
      <c r="K20" s="86">
        <v>161611</v>
      </c>
      <c r="L20" s="84">
        <v>49474.595711739996</v>
      </c>
      <c r="M20" s="85">
        <v>3.6021370496285871E-2</v>
      </c>
      <c r="N20" s="85">
        <f t="shared" si="0"/>
        <v>2.4846101117452848E-2</v>
      </c>
      <c r="O20" s="85">
        <f>L20/'סכום נכסי הקרן'!$C$42</f>
        <v>9.4977131582582835E-4</v>
      </c>
    </row>
    <row r="21" spans="2:15" s="122" customFormat="1">
      <c r="B21" s="77" t="s">
        <v>1820</v>
      </c>
      <c r="C21" s="74" t="s">
        <v>1821</v>
      </c>
      <c r="D21" s="87" t="s">
        <v>28</v>
      </c>
      <c r="E21" s="74"/>
      <c r="F21" s="87" t="s">
        <v>1695</v>
      </c>
      <c r="G21" s="74" t="s">
        <v>1822</v>
      </c>
      <c r="H21" s="74" t="s">
        <v>959</v>
      </c>
      <c r="I21" s="87" t="s">
        <v>164</v>
      </c>
      <c r="J21" s="84">
        <v>1028990.583059</v>
      </c>
      <c r="K21" s="86">
        <v>1467</v>
      </c>
      <c r="L21" s="84">
        <v>53814.715493582</v>
      </c>
      <c r="M21" s="85">
        <v>9.000046081630509E-3</v>
      </c>
      <c r="N21" s="85">
        <f t="shared" si="0"/>
        <v>2.7025705688449177E-2</v>
      </c>
      <c r="O21" s="85">
        <f>L21/'סכום נכסי הקרן'!$C$42</f>
        <v>1.0330892533802656E-3</v>
      </c>
    </row>
    <row r="22" spans="2:15" s="122" customFormat="1">
      <c r="B22" s="77" t="s">
        <v>1827</v>
      </c>
      <c r="C22" s="74" t="s">
        <v>1828</v>
      </c>
      <c r="D22" s="87" t="s">
        <v>28</v>
      </c>
      <c r="E22" s="74"/>
      <c r="F22" s="87" t="s">
        <v>1695</v>
      </c>
      <c r="G22" s="74" t="s">
        <v>1822</v>
      </c>
      <c r="H22" s="74" t="s">
        <v>959</v>
      </c>
      <c r="I22" s="87" t="s">
        <v>164</v>
      </c>
      <c r="J22" s="84">
        <v>1365.6216240000001</v>
      </c>
      <c r="K22" s="86">
        <v>1032681</v>
      </c>
      <c r="L22" s="84">
        <v>50275.466134925002</v>
      </c>
      <c r="M22" s="85">
        <v>6.7430275950922406E-3</v>
      </c>
      <c r="N22" s="85">
        <f>L22/$L$11</f>
        <v>2.5248297582733111E-2</v>
      </c>
      <c r="O22" s="85">
        <f>L22/'סכום נכסי הקרן'!$C$42</f>
        <v>9.6514574677754837E-4</v>
      </c>
    </row>
    <row r="23" spans="2:15" s="122" customFormat="1">
      <c r="B23" s="77" t="s">
        <v>1823</v>
      </c>
      <c r="C23" s="74" t="s">
        <v>1824</v>
      </c>
      <c r="D23" s="87" t="s">
        <v>28</v>
      </c>
      <c r="E23" s="74"/>
      <c r="F23" s="87" t="s">
        <v>1695</v>
      </c>
      <c r="G23" s="146" t="s">
        <v>1139</v>
      </c>
      <c r="H23" s="74" t="s">
        <v>959</v>
      </c>
      <c r="I23" s="87" t="s">
        <v>164</v>
      </c>
      <c r="J23" s="84">
        <v>34906.352025</v>
      </c>
      <c r="K23" s="86">
        <v>115651</v>
      </c>
      <c r="L23" s="84">
        <v>143917.42385080099</v>
      </c>
      <c r="M23" s="85">
        <v>7.9355633344853523E-3</v>
      </c>
      <c r="N23" s="85">
        <f t="shared" si="0"/>
        <v>7.2275211431627948E-2</v>
      </c>
      <c r="O23" s="85">
        <f>L23/'סכום נכסי הקרן'!$C$42</f>
        <v>2.7628046081961898E-3</v>
      </c>
    </row>
    <row r="24" spans="2:15" s="122" customFormat="1">
      <c r="B24" s="77" t="s">
        <v>1829</v>
      </c>
      <c r="C24" s="74" t="s">
        <v>1830</v>
      </c>
      <c r="D24" s="87" t="s">
        <v>28</v>
      </c>
      <c r="E24" s="74"/>
      <c r="F24" s="87" t="s">
        <v>1695</v>
      </c>
      <c r="G24" s="74" t="s">
        <v>1139</v>
      </c>
      <c r="H24" s="74" t="s">
        <v>959</v>
      </c>
      <c r="I24" s="87" t="s">
        <v>164</v>
      </c>
      <c r="J24" s="84">
        <v>74603.808474999998</v>
      </c>
      <c r="K24" s="86">
        <v>26861.81</v>
      </c>
      <c r="L24" s="84">
        <v>71442.362162589998</v>
      </c>
      <c r="M24" s="85">
        <v>7.2723731586986579E-3</v>
      </c>
      <c r="N24" s="85">
        <f t="shared" si="0"/>
        <v>3.5878295291257675E-2</v>
      </c>
      <c r="O24" s="85">
        <f>L24/'סכום נכסי הקרן'!$C$42</f>
        <v>1.371489859406111E-3</v>
      </c>
    </row>
    <row r="25" spans="2:15" s="122" customFormat="1">
      <c r="B25" s="77" t="s">
        <v>1831</v>
      </c>
      <c r="C25" s="74" t="s">
        <v>1832</v>
      </c>
      <c r="D25" s="87" t="s">
        <v>28</v>
      </c>
      <c r="E25" s="74"/>
      <c r="F25" s="87" t="s">
        <v>1695</v>
      </c>
      <c r="G25" s="74" t="s">
        <v>1139</v>
      </c>
      <c r="H25" s="74" t="s">
        <v>959</v>
      </c>
      <c r="I25" s="87" t="s">
        <v>166</v>
      </c>
      <c r="J25" s="84">
        <v>90360.813213999994</v>
      </c>
      <c r="K25" s="86">
        <v>12823</v>
      </c>
      <c r="L25" s="84">
        <v>45192.64781406799</v>
      </c>
      <c r="M25" s="85">
        <v>3.1028742462584722E-3</v>
      </c>
      <c r="N25" s="85">
        <f t="shared" si="0"/>
        <v>2.2695710418656746E-2</v>
      </c>
      <c r="O25" s="85">
        <f>L25/'סכום נכסי הקרן'!$C$42</f>
        <v>8.6757011275253996E-4</v>
      </c>
    </row>
    <row r="26" spans="2:15" s="122" customFormat="1">
      <c r="B26" s="77" t="s">
        <v>1833</v>
      </c>
      <c r="C26" s="74" t="s">
        <v>1834</v>
      </c>
      <c r="D26" s="87" t="s">
        <v>28</v>
      </c>
      <c r="E26" s="74"/>
      <c r="F26" s="87" t="s">
        <v>1695</v>
      </c>
      <c r="G26" s="74" t="s">
        <v>1139</v>
      </c>
      <c r="H26" s="74" t="s">
        <v>959</v>
      </c>
      <c r="I26" s="87" t="s">
        <v>164</v>
      </c>
      <c r="J26" s="84">
        <v>176954.325514</v>
      </c>
      <c r="K26" s="86">
        <v>13070.96</v>
      </c>
      <c r="L26" s="84">
        <v>82457.128084126991</v>
      </c>
      <c r="M26" s="85">
        <v>2.4523984476703595E-2</v>
      </c>
      <c r="N26" s="85">
        <f t="shared" si="0"/>
        <v>4.1409901642649058E-2</v>
      </c>
      <c r="O26" s="85">
        <f>L26/'סכום נכסי הקרן'!$C$42</f>
        <v>1.5829419909963291E-3</v>
      </c>
    </row>
    <row r="27" spans="2:15" s="122" customFormat="1">
      <c r="B27" s="77" t="s">
        <v>1837</v>
      </c>
      <c r="C27" s="74" t="s">
        <v>1838</v>
      </c>
      <c r="D27" s="87" t="s">
        <v>28</v>
      </c>
      <c r="E27" s="74"/>
      <c r="F27" s="87" t="s">
        <v>1695</v>
      </c>
      <c r="G27" s="74" t="s">
        <v>1139</v>
      </c>
      <c r="H27" s="74" t="s">
        <v>959</v>
      </c>
      <c r="I27" s="87" t="s">
        <v>166</v>
      </c>
      <c r="J27" s="84">
        <v>140030.42028699999</v>
      </c>
      <c r="K27" s="86">
        <v>8490</v>
      </c>
      <c r="L27" s="84">
        <v>46369.039341325995</v>
      </c>
      <c r="M27" s="85">
        <v>4.1225292254687077E-3</v>
      </c>
      <c r="N27" s="85">
        <f t="shared" si="0"/>
        <v>2.328649327235132E-2</v>
      </c>
      <c r="O27" s="85">
        <f>L27/'סכום נכסי הקרן'!$C$42</f>
        <v>8.9015347928028427E-4</v>
      </c>
    </row>
    <row r="28" spans="2:15" s="122" customFormat="1">
      <c r="B28" s="77" t="s">
        <v>1839</v>
      </c>
      <c r="C28" s="74" t="s">
        <v>1840</v>
      </c>
      <c r="D28" s="87" t="s">
        <v>28</v>
      </c>
      <c r="E28" s="74"/>
      <c r="F28" s="87" t="s">
        <v>1695</v>
      </c>
      <c r="G28" s="74" t="s">
        <v>725</v>
      </c>
      <c r="H28" s="74"/>
      <c r="I28" s="87" t="s">
        <v>167</v>
      </c>
      <c r="J28" s="84">
        <v>308069.893836</v>
      </c>
      <c r="K28" s="86">
        <v>16783.84</v>
      </c>
      <c r="L28" s="84">
        <v>227433.82705930297</v>
      </c>
      <c r="M28" s="85">
        <v>0.14849334515290841</v>
      </c>
      <c r="N28" s="85">
        <f t="shared" si="0"/>
        <v>0.11421708016714156</v>
      </c>
      <c r="O28" s="85">
        <f>L28/'סכום נכסי הקרן'!$C$42</f>
        <v>4.366081664375486E-3</v>
      </c>
    </row>
    <row r="29" spans="2:15" s="122" customFormat="1">
      <c r="B29" s="77" t="s">
        <v>1841</v>
      </c>
      <c r="C29" s="74" t="s">
        <v>1842</v>
      </c>
      <c r="D29" s="87" t="s">
        <v>28</v>
      </c>
      <c r="E29" s="74"/>
      <c r="F29" s="87" t="s">
        <v>1695</v>
      </c>
      <c r="G29" s="74" t="s">
        <v>725</v>
      </c>
      <c r="H29" s="74"/>
      <c r="I29" s="87" t="s">
        <v>164</v>
      </c>
      <c r="J29" s="84">
        <v>314193.266695</v>
      </c>
      <c r="K29" s="86">
        <v>12358</v>
      </c>
      <c r="L29" s="84">
        <v>138421.83369509398</v>
      </c>
      <c r="M29" s="85">
        <v>1.0902176600064718E-2</v>
      </c>
      <c r="N29" s="85">
        <f t="shared" si="0"/>
        <v>6.9515330592897343E-2</v>
      </c>
      <c r="O29" s="85">
        <f>L29/'סכום נכסי הקרן'!$C$42</f>
        <v>2.6573049306680163E-3</v>
      </c>
    </row>
    <row r="30" spans="2:15" s="122" customFormat="1">
      <c r="B30" s="73"/>
      <c r="C30" s="74"/>
      <c r="D30" s="74"/>
      <c r="E30" s="74"/>
      <c r="F30" s="74"/>
      <c r="G30" s="74"/>
      <c r="H30" s="74"/>
      <c r="I30" s="74"/>
      <c r="J30" s="84"/>
      <c r="K30" s="86"/>
      <c r="L30" s="74"/>
      <c r="M30" s="74"/>
      <c r="N30" s="85"/>
      <c r="O30" s="74"/>
    </row>
    <row r="31" spans="2:15" s="122" customFormat="1">
      <c r="B31" s="92" t="s">
        <v>256</v>
      </c>
      <c r="C31" s="72"/>
      <c r="D31" s="72"/>
      <c r="E31" s="72"/>
      <c r="F31" s="72"/>
      <c r="G31" s="72"/>
      <c r="H31" s="72"/>
      <c r="I31" s="72"/>
      <c r="J31" s="81"/>
      <c r="K31" s="83"/>
      <c r="L31" s="81">
        <v>29219.255251641003</v>
      </c>
      <c r="M31" s="72"/>
      <c r="N31" s="82">
        <f t="shared" ref="N31:N32" si="1">L31/$L$11</f>
        <v>1.4673885862328859E-2</v>
      </c>
      <c r="O31" s="82">
        <f>L31/'סכום נכסי הקרן'!$C$42</f>
        <v>5.6092647364911256E-4</v>
      </c>
    </row>
    <row r="32" spans="2:15" s="122" customFormat="1">
      <c r="B32" s="77" t="s">
        <v>1843</v>
      </c>
      <c r="C32" s="74" t="s">
        <v>1844</v>
      </c>
      <c r="D32" s="87" t="s">
        <v>28</v>
      </c>
      <c r="E32" s="74"/>
      <c r="F32" s="87" t="s">
        <v>1695</v>
      </c>
      <c r="G32" s="74" t="s">
        <v>1006</v>
      </c>
      <c r="H32" s="74" t="s">
        <v>349</v>
      </c>
      <c r="I32" s="87" t="s">
        <v>164</v>
      </c>
      <c r="J32" s="84">
        <v>983930.91719900002</v>
      </c>
      <c r="K32" s="86">
        <v>833</v>
      </c>
      <c r="L32" s="84">
        <v>29219.255251641003</v>
      </c>
      <c r="M32" s="85">
        <v>3.1621245161466073E-3</v>
      </c>
      <c r="N32" s="85">
        <f t="shared" si="1"/>
        <v>1.4673885862328859E-2</v>
      </c>
      <c r="O32" s="85">
        <f>L32/'סכום נכסי הקרן'!$C$42</f>
        <v>5.6092647364911256E-4</v>
      </c>
    </row>
    <row r="33" spans="2:51" s="122" customFormat="1">
      <c r="B33" s="73"/>
      <c r="C33" s="74"/>
      <c r="D33" s="74"/>
      <c r="E33" s="74"/>
      <c r="F33" s="74"/>
      <c r="G33" s="74"/>
      <c r="H33" s="74"/>
      <c r="I33" s="74"/>
      <c r="J33" s="84"/>
      <c r="K33" s="86"/>
      <c r="L33" s="74"/>
      <c r="M33" s="74"/>
      <c r="N33" s="85"/>
      <c r="O33" s="74"/>
    </row>
    <row r="34" spans="2:51" s="122" customFormat="1">
      <c r="B34" s="92" t="s">
        <v>30</v>
      </c>
      <c r="C34" s="72"/>
      <c r="D34" s="72"/>
      <c r="E34" s="72"/>
      <c r="F34" s="72"/>
      <c r="G34" s="72"/>
      <c r="H34" s="72"/>
      <c r="I34" s="72"/>
      <c r="J34" s="81"/>
      <c r="K34" s="83"/>
      <c r="L34" s="81">
        <v>544254.90040312998</v>
      </c>
      <c r="M34" s="72"/>
      <c r="N34" s="82">
        <f t="shared" ref="N34:N39" si="2">L34/$L$11</f>
        <v>0.27332436161527984</v>
      </c>
      <c r="O34" s="82">
        <f>L34/'סכום נכסי הקרן'!$C$42</f>
        <v>1.0448143849670201E-2</v>
      </c>
    </row>
    <row r="35" spans="2:51" s="122" customFormat="1">
      <c r="B35" s="77" t="s">
        <v>1845</v>
      </c>
      <c r="C35" s="74" t="s">
        <v>1846</v>
      </c>
      <c r="D35" s="87" t="s">
        <v>140</v>
      </c>
      <c r="E35" s="74"/>
      <c r="F35" s="87" t="s">
        <v>1671</v>
      </c>
      <c r="G35" s="74" t="s">
        <v>725</v>
      </c>
      <c r="H35" s="74"/>
      <c r="I35" s="87" t="s">
        <v>166</v>
      </c>
      <c r="J35" s="84">
        <v>229712.13003699997</v>
      </c>
      <c r="K35" s="86">
        <v>2688</v>
      </c>
      <c r="L35" s="84">
        <v>24083.034415253998</v>
      </c>
      <c r="M35" s="85">
        <v>1.9153347942005247E-3</v>
      </c>
      <c r="N35" s="85">
        <f t="shared" si="2"/>
        <v>1.2094479999045421E-2</v>
      </c>
      <c r="O35" s="85">
        <f>L35/'סכום נכסי הקרן'!$C$42</f>
        <v>4.623256634359277E-4</v>
      </c>
    </row>
    <row r="36" spans="2:51" s="122" customFormat="1">
      <c r="B36" s="77" t="s">
        <v>1847</v>
      </c>
      <c r="C36" s="74" t="s">
        <v>1848</v>
      </c>
      <c r="D36" s="87" t="s">
        <v>140</v>
      </c>
      <c r="E36" s="74"/>
      <c r="F36" s="87" t="s">
        <v>1671</v>
      </c>
      <c r="G36" s="74" t="s">
        <v>725</v>
      </c>
      <c r="H36" s="74"/>
      <c r="I36" s="87" t="s">
        <v>174</v>
      </c>
      <c r="J36" s="84">
        <v>887780.50679999997</v>
      </c>
      <c r="K36" s="86">
        <v>1232</v>
      </c>
      <c r="L36" s="84">
        <v>35861.730220573001</v>
      </c>
      <c r="M36" s="85">
        <v>4.8903876248777324E-3</v>
      </c>
      <c r="N36" s="85">
        <f t="shared" si="2"/>
        <v>1.8009731307329052E-2</v>
      </c>
      <c r="O36" s="85">
        <f>L36/'סכום נכסי הקרן'!$C$42</f>
        <v>6.8844307284156693E-4</v>
      </c>
    </row>
    <row r="37" spans="2:51" s="122" customFormat="1" ht="20.25">
      <c r="B37" s="77" t="s">
        <v>1849</v>
      </c>
      <c r="C37" s="74" t="s">
        <v>1850</v>
      </c>
      <c r="D37" s="87" t="s">
        <v>140</v>
      </c>
      <c r="E37" s="74"/>
      <c r="F37" s="87" t="s">
        <v>1671</v>
      </c>
      <c r="G37" s="74" t="s">
        <v>725</v>
      </c>
      <c r="H37" s="74"/>
      <c r="I37" s="87" t="s">
        <v>164</v>
      </c>
      <c r="J37" s="84">
        <v>4461962.2748639993</v>
      </c>
      <c r="K37" s="86">
        <v>1189.7</v>
      </c>
      <c r="L37" s="84">
        <v>189244.33587472697</v>
      </c>
      <c r="M37" s="85">
        <v>6.0064689389577207E-3</v>
      </c>
      <c r="N37" s="85">
        <f t="shared" si="2"/>
        <v>9.5038349225619365E-2</v>
      </c>
      <c r="O37" s="85">
        <f>L37/'סכום נכסי הקרן'!$C$42</f>
        <v>3.6329522113441666E-3</v>
      </c>
      <c r="AY37" s="123"/>
    </row>
    <row r="38" spans="2:51" s="122" customFormat="1">
      <c r="B38" s="77" t="s">
        <v>1851</v>
      </c>
      <c r="C38" s="74" t="s">
        <v>1852</v>
      </c>
      <c r="D38" s="87" t="s">
        <v>28</v>
      </c>
      <c r="E38" s="74"/>
      <c r="F38" s="87" t="s">
        <v>1671</v>
      </c>
      <c r="G38" s="74" t="s">
        <v>725</v>
      </c>
      <c r="H38" s="74"/>
      <c r="I38" s="87" t="s">
        <v>174</v>
      </c>
      <c r="J38" s="84">
        <v>115834.296908</v>
      </c>
      <c r="K38" s="86">
        <v>9457.5519999999997</v>
      </c>
      <c r="L38" s="84">
        <v>35919.545449133999</v>
      </c>
      <c r="M38" s="85">
        <v>3.0886070353119115E-2</v>
      </c>
      <c r="N38" s="85">
        <f t="shared" si="2"/>
        <v>1.8038766067376911E-2</v>
      </c>
      <c r="O38" s="85">
        <f>L38/'סכום נכסי הקרן'!$C$42</f>
        <v>6.8955296055090939E-4</v>
      </c>
      <c r="AY38" s="127"/>
    </row>
    <row r="39" spans="2:51" s="122" customFormat="1">
      <c r="B39" s="77" t="s">
        <v>1853</v>
      </c>
      <c r="C39" s="74" t="s">
        <v>1854</v>
      </c>
      <c r="D39" s="87" t="s">
        <v>140</v>
      </c>
      <c r="E39" s="74"/>
      <c r="F39" s="87" t="s">
        <v>1671</v>
      </c>
      <c r="G39" s="74" t="s">
        <v>725</v>
      </c>
      <c r="H39" s="74"/>
      <c r="I39" s="87" t="s">
        <v>164</v>
      </c>
      <c r="J39" s="84">
        <v>467608.48527599999</v>
      </c>
      <c r="K39" s="86">
        <v>15545.44</v>
      </c>
      <c r="L39" s="84">
        <v>259146.25444344198</v>
      </c>
      <c r="M39" s="85">
        <v>8.9199600897574213E-3</v>
      </c>
      <c r="N39" s="85">
        <f t="shared" si="2"/>
        <v>0.1301430350159091</v>
      </c>
      <c r="O39" s="85">
        <f>L39/'סכום נכסי הקרן'!$C$42</f>
        <v>4.9748699414976288E-3</v>
      </c>
    </row>
    <row r="40" spans="2:51" s="122" customFormat="1">
      <c r="B40" s="134"/>
    </row>
    <row r="41" spans="2:51" s="122" customFormat="1">
      <c r="B41" s="134"/>
    </row>
    <row r="42" spans="2:51" s="122" customFormat="1">
      <c r="B42" s="121"/>
    </row>
    <row r="43" spans="2:51" s="122" customFormat="1">
      <c r="B43" s="121"/>
    </row>
    <row r="44" spans="2:51" s="122" customFormat="1">
      <c r="B44" s="121"/>
    </row>
    <row r="45" spans="2:51" s="122" customFormat="1">
      <c r="B45" s="124" t="s">
        <v>261</v>
      </c>
    </row>
    <row r="46" spans="2:51" s="122" customFormat="1">
      <c r="B46" s="124" t="s">
        <v>115</v>
      </c>
    </row>
    <row r="47" spans="2:51" s="122" customFormat="1">
      <c r="B47" s="124" t="s">
        <v>243</v>
      </c>
    </row>
    <row r="48" spans="2:51" s="122" customFormat="1">
      <c r="B48" s="124" t="s">
        <v>251</v>
      </c>
    </row>
    <row r="49" spans="2:2" s="122" customFormat="1">
      <c r="B49" s="121"/>
    </row>
    <row r="50" spans="2:2" s="122" customFormat="1">
      <c r="B50" s="121"/>
    </row>
    <row r="51" spans="2:2" s="122" customFormat="1">
      <c r="B51" s="121"/>
    </row>
    <row r="52" spans="2:2" s="122" customFormat="1">
      <c r="B52" s="121"/>
    </row>
    <row r="53" spans="2:2" s="122" customFormat="1">
      <c r="B53" s="121"/>
    </row>
    <row r="54" spans="2:2" s="122" customFormat="1">
      <c r="B54" s="121"/>
    </row>
    <row r="55" spans="2:2" s="122" customFormat="1">
      <c r="B55" s="121"/>
    </row>
    <row r="56" spans="2:2" s="122" customFormat="1">
      <c r="B56" s="121"/>
    </row>
    <row r="57" spans="2:2" s="122" customFormat="1">
      <c r="B57" s="121"/>
    </row>
    <row r="58" spans="2:2" s="122" customFormat="1">
      <c r="B58" s="121"/>
    </row>
    <row r="59" spans="2:2" s="122" customFormat="1">
      <c r="B59" s="121"/>
    </row>
    <row r="60" spans="2:2" s="122" customFormat="1">
      <c r="B60" s="121"/>
    </row>
    <row r="61" spans="2:2" s="122" customFormat="1">
      <c r="B61" s="121"/>
    </row>
    <row r="62" spans="2:2" s="122" customFormat="1">
      <c r="B62" s="121"/>
    </row>
    <row r="63" spans="2:2" s="122" customFormat="1">
      <c r="B63" s="121"/>
    </row>
    <row r="64" spans="2:2" s="122" customFormat="1">
      <c r="B64" s="121"/>
    </row>
    <row r="65" spans="2:2" s="122" customFormat="1">
      <c r="B65" s="121"/>
    </row>
    <row r="66" spans="2:2" s="122" customFormat="1">
      <c r="B66" s="121"/>
    </row>
    <row r="67" spans="2:2" s="122" customFormat="1">
      <c r="B67" s="121"/>
    </row>
    <row r="68" spans="2:2" s="122" customFormat="1">
      <c r="B68" s="121"/>
    </row>
    <row r="69" spans="2:2" s="122" customFormat="1">
      <c r="B69" s="121"/>
    </row>
    <row r="70" spans="2:2" s="122" customFormat="1">
      <c r="B70" s="121"/>
    </row>
    <row r="71" spans="2:2" s="122" customFormat="1">
      <c r="B71" s="121"/>
    </row>
    <row r="72" spans="2:2" s="122" customFormat="1">
      <c r="B72" s="121"/>
    </row>
    <row r="73" spans="2:2" s="122" customFormat="1">
      <c r="B73" s="121"/>
    </row>
    <row r="74" spans="2:2" s="122" customFormat="1">
      <c r="B74" s="121"/>
    </row>
    <row r="75" spans="2:2" s="122" customFormat="1">
      <c r="B75" s="121"/>
    </row>
    <row r="76" spans="2:2" s="122" customFormat="1">
      <c r="B76" s="121"/>
    </row>
    <row r="77" spans="2:2" s="122" customFormat="1">
      <c r="B77" s="121"/>
    </row>
    <row r="78" spans="2:2" s="122" customFormat="1">
      <c r="B78" s="121"/>
    </row>
    <row r="79" spans="2:2" s="122" customFormat="1">
      <c r="B79" s="121"/>
    </row>
    <row r="80" spans="2:2" s="122" customFormat="1">
      <c r="B80" s="121"/>
    </row>
    <row r="81" spans="2:2" s="122" customFormat="1">
      <c r="B81" s="121"/>
    </row>
    <row r="82" spans="2:2" s="122" customFormat="1">
      <c r="B82" s="121"/>
    </row>
    <row r="83" spans="2:2" s="122" customFormat="1">
      <c r="B83" s="121"/>
    </row>
    <row r="84" spans="2:2" s="122" customFormat="1">
      <c r="B84" s="121"/>
    </row>
    <row r="85" spans="2:2" s="122" customFormat="1">
      <c r="B85" s="121"/>
    </row>
    <row r="86" spans="2:2" s="122" customFormat="1">
      <c r="B86" s="121"/>
    </row>
    <row r="87" spans="2:2" s="122" customFormat="1">
      <c r="B87" s="121"/>
    </row>
    <row r="88" spans="2:2" s="122" customFormat="1">
      <c r="B88" s="121"/>
    </row>
    <row r="89" spans="2:2" s="122" customFormat="1">
      <c r="B89" s="121"/>
    </row>
    <row r="90" spans="2:2" s="122" customFormat="1">
      <c r="B90" s="121"/>
    </row>
    <row r="91" spans="2:2" s="122" customFormat="1">
      <c r="B91" s="121"/>
    </row>
    <row r="92" spans="2:2" s="122" customFormat="1">
      <c r="B92" s="121"/>
    </row>
    <row r="93" spans="2:2" s="122" customFormat="1">
      <c r="B93" s="121"/>
    </row>
    <row r="94" spans="2:2" s="122" customFormat="1">
      <c r="B94" s="121"/>
    </row>
    <row r="95" spans="2:2" s="122" customFormat="1">
      <c r="B95" s="121"/>
    </row>
    <row r="96" spans="2:2" s="122" customFormat="1">
      <c r="B96" s="121"/>
    </row>
    <row r="97" spans="2:2" s="122" customFormat="1">
      <c r="B97" s="121"/>
    </row>
    <row r="98" spans="2:2" s="122" customFormat="1">
      <c r="B98" s="121"/>
    </row>
    <row r="99" spans="2:2" s="122" customFormat="1">
      <c r="B99" s="121"/>
    </row>
    <row r="100" spans="2:2" s="122" customFormat="1">
      <c r="B100" s="121"/>
    </row>
    <row r="101" spans="2:2" s="122" customFormat="1">
      <c r="B101" s="121"/>
    </row>
    <row r="102" spans="2:2" s="122" customFormat="1">
      <c r="B102" s="121"/>
    </row>
    <row r="103" spans="2:2" s="122" customFormat="1">
      <c r="B103" s="121"/>
    </row>
    <row r="104" spans="2:2" s="122" customFormat="1">
      <c r="B104" s="121"/>
    </row>
    <row r="105" spans="2:2" s="122" customFormat="1">
      <c r="B105" s="121"/>
    </row>
    <row r="106" spans="2:2" s="122" customFormat="1">
      <c r="B106" s="121"/>
    </row>
    <row r="107" spans="2:2" s="122" customFormat="1">
      <c r="B107" s="121"/>
    </row>
    <row r="108" spans="2:2" s="122" customFormat="1">
      <c r="B108" s="121"/>
    </row>
    <row r="109" spans="2:2" s="122" customFormat="1">
      <c r="B109" s="121"/>
    </row>
    <row r="110" spans="2:2" s="122" customFormat="1">
      <c r="B110" s="121"/>
    </row>
    <row r="111" spans="2:2" s="122" customFormat="1">
      <c r="B111" s="121"/>
    </row>
    <row r="112" spans="2:2" s="122" customFormat="1">
      <c r="B112" s="121"/>
    </row>
    <row r="113" spans="2:2" s="122" customFormat="1">
      <c r="B113" s="121"/>
    </row>
    <row r="114" spans="2:2" s="122" customFormat="1">
      <c r="B114" s="121"/>
    </row>
    <row r="115" spans="2:2" s="122" customFormat="1">
      <c r="B115" s="121"/>
    </row>
    <row r="116" spans="2:2" s="122" customFormat="1">
      <c r="B116" s="121"/>
    </row>
    <row r="117" spans="2:2" s="122" customFormat="1">
      <c r="B117" s="121"/>
    </row>
    <row r="118" spans="2:2" s="122" customFormat="1">
      <c r="B118" s="121"/>
    </row>
    <row r="119" spans="2:2" s="122" customFormat="1">
      <c r="B119" s="121"/>
    </row>
    <row r="120" spans="2:2" s="122" customFormat="1">
      <c r="B120" s="121"/>
    </row>
    <row r="121" spans="2:2" s="122" customFormat="1">
      <c r="B121" s="121"/>
    </row>
    <row r="122" spans="2:2" s="122" customFormat="1">
      <c r="B122" s="121"/>
    </row>
    <row r="123" spans="2:2" s="122" customFormat="1">
      <c r="B123" s="121"/>
    </row>
    <row r="124" spans="2:2" s="122" customFormat="1">
      <c r="B124" s="121"/>
    </row>
    <row r="125" spans="2:2" s="122" customFormat="1">
      <c r="B125" s="121"/>
    </row>
    <row r="126" spans="2:2" s="122" customFormat="1">
      <c r="B126" s="121"/>
    </row>
    <row r="127" spans="2:2" s="122" customFormat="1">
      <c r="B127" s="121"/>
    </row>
    <row r="128" spans="2:2" s="122" customFormat="1">
      <c r="B128" s="121"/>
    </row>
    <row r="129" spans="2:5" s="122" customFormat="1">
      <c r="B129" s="121"/>
    </row>
    <row r="130" spans="2:5" s="122" customFormat="1">
      <c r="B130" s="121"/>
    </row>
    <row r="131" spans="2:5" s="122" customFormat="1">
      <c r="B131" s="121"/>
    </row>
    <row r="132" spans="2:5" s="122" customFormat="1">
      <c r="B132" s="121"/>
    </row>
    <row r="133" spans="2:5" s="122" customFormat="1">
      <c r="B133" s="121"/>
    </row>
    <row r="134" spans="2:5" s="122" customFormat="1">
      <c r="B134" s="121"/>
    </row>
    <row r="135" spans="2:5" s="122" customFormat="1">
      <c r="B135" s="121"/>
    </row>
    <row r="136" spans="2:5">
      <c r="C136" s="1"/>
      <c r="D136" s="1"/>
      <c r="E136" s="1"/>
    </row>
    <row r="137" spans="2:5">
      <c r="C137" s="1"/>
      <c r="D137" s="1"/>
      <c r="E137" s="1"/>
    </row>
    <row r="138" spans="2:5">
      <c r="C138" s="1"/>
      <c r="D138" s="1"/>
      <c r="E138" s="1"/>
    </row>
    <row r="139" spans="2:5">
      <c r="C139" s="1"/>
      <c r="D139" s="1"/>
      <c r="E139" s="1"/>
    </row>
    <row r="140" spans="2:5">
      <c r="C140" s="1"/>
      <c r="D140" s="1"/>
      <c r="E140" s="1"/>
    </row>
    <row r="141" spans="2:5">
      <c r="C141" s="1"/>
      <c r="D141" s="1"/>
      <c r="E141" s="1"/>
    </row>
    <row r="142" spans="2:5">
      <c r="C142" s="1"/>
      <c r="D142" s="1"/>
      <c r="E142" s="1"/>
    </row>
    <row r="143" spans="2:5">
      <c r="C143" s="1"/>
      <c r="D143" s="1"/>
      <c r="E143" s="1"/>
    </row>
    <row r="144" spans="2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5" type="noConversion"/>
  <dataValidations count="1">
    <dataValidation allowBlank="1" showInputMessage="1" showErrorMessage="1" sqref="Y42:Y1048576 B39:B44 B46:B1048576 A27:A1048576 Y27:Y37 Z27:XFD1048576 B27:B37 C27:X1048576 C5:C21 A1:B21 A22:XFD26 D1:XFD21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C796"/>
  <sheetViews>
    <sheetView rightToLeft="1" workbookViewId="0">
      <selection activeCell="M1" sqref="M1:Q1048576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8.42578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1.28515625" style="1" bestFit="1" customWidth="1"/>
    <col min="8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3" width="6.28515625" style="1" customWidth="1"/>
    <col min="14" max="14" width="8" style="1" customWidth="1"/>
    <col min="15" max="15" width="8.7109375" style="1" customWidth="1"/>
    <col min="16" max="16" width="10" style="1" customWidth="1"/>
    <col min="17" max="17" width="9.5703125" style="1" customWidth="1"/>
    <col min="18" max="18" width="6.140625" style="1" customWidth="1"/>
    <col min="19" max="20" width="5.7109375" style="1" customWidth="1"/>
    <col min="21" max="21" width="6.85546875" style="1" customWidth="1"/>
    <col min="22" max="22" width="6.42578125" style="1" customWidth="1"/>
    <col min="23" max="23" width="6.7109375" style="1" customWidth="1"/>
    <col min="24" max="24" width="7.28515625" style="1" customWidth="1"/>
    <col min="25" max="36" width="5.7109375" style="1" customWidth="1"/>
    <col min="37" max="16384" width="9.140625" style="1"/>
  </cols>
  <sheetData>
    <row r="1" spans="2:55">
      <c r="B1" s="47" t="s">
        <v>180</v>
      </c>
      <c r="C1" s="68" t="s" vm="1">
        <v>270</v>
      </c>
    </row>
    <row r="2" spans="2:55">
      <c r="B2" s="47" t="s">
        <v>179</v>
      </c>
      <c r="C2" s="68" t="s">
        <v>271</v>
      </c>
    </row>
    <row r="3" spans="2:55">
      <c r="B3" s="47" t="s">
        <v>181</v>
      </c>
      <c r="C3" s="68" t="s">
        <v>272</v>
      </c>
    </row>
    <row r="4" spans="2:55">
      <c r="B4" s="47" t="s">
        <v>182</v>
      </c>
      <c r="C4" s="68">
        <v>2102</v>
      </c>
    </row>
    <row r="6" spans="2:55" ht="26.25" customHeight="1">
      <c r="B6" s="163" t="s">
        <v>210</v>
      </c>
      <c r="C6" s="164"/>
      <c r="D6" s="164"/>
      <c r="E6" s="164"/>
      <c r="F6" s="164"/>
      <c r="G6" s="164"/>
      <c r="H6" s="164"/>
      <c r="I6" s="164"/>
      <c r="J6" s="164"/>
      <c r="K6" s="164"/>
      <c r="L6" s="165"/>
    </row>
    <row r="7" spans="2:55" ht="26.25" customHeight="1">
      <c r="B7" s="163" t="s">
        <v>97</v>
      </c>
      <c r="C7" s="164"/>
      <c r="D7" s="164"/>
      <c r="E7" s="164"/>
      <c r="F7" s="164"/>
      <c r="G7" s="164"/>
      <c r="H7" s="164"/>
      <c r="I7" s="164"/>
      <c r="J7" s="164"/>
      <c r="K7" s="164"/>
      <c r="L7" s="165"/>
      <c r="BC7" s="3"/>
    </row>
    <row r="8" spans="2:55" s="3" customFormat="1" ht="78.75">
      <c r="B8" s="22" t="s">
        <v>119</v>
      </c>
      <c r="C8" s="30" t="s">
        <v>47</v>
      </c>
      <c r="D8" s="30" t="s">
        <v>122</v>
      </c>
      <c r="E8" s="30" t="s">
        <v>68</v>
      </c>
      <c r="F8" s="30" t="s">
        <v>106</v>
      </c>
      <c r="G8" s="30" t="s">
        <v>245</v>
      </c>
      <c r="H8" s="30" t="s">
        <v>244</v>
      </c>
      <c r="I8" s="30" t="s">
        <v>64</v>
      </c>
      <c r="J8" s="30" t="s">
        <v>61</v>
      </c>
      <c r="K8" s="30" t="s">
        <v>183</v>
      </c>
      <c r="L8" s="66" t="s">
        <v>185</v>
      </c>
      <c r="AY8" s="1"/>
      <c r="AZ8" s="1"/>
    </row>
    <row r="9" spans="2:55" s="3" customFormat="1" ht="25.5">
      <c r="B9" s="15"/>
      <c r="C9" s="16"/>
      <c r="D9" s="16"/>
      <c r="E9" s="16"/>
      <c r="F9" s="16"/>
      <c r="G9" s="16" t="s">
        <v>252</v>
      </c>
      <c r="H9" s="16"/>
      <c r="I9" s="16" t="s">
        <v>248</v>
      </c>
      <c r="J9" s="16" t="s">
        <v>19</v>
      </c>
      <c r="K9" s="32" t="s">
        <v>19</v>
      </c>
      <c r="L9" s="17" t="s">
        <v>19</v>
      </c>
      <c r="AX9" s="1"/>
      <c r="AY9" s="1"/>
      <c r="AZ9" s="1"/>
      <c r="BB9" s="4"/>
    </row>
    <row r="10" spans="2:5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AX10" s="1"/>
      <c r="AY10" s="3"/>
      <c r="AZ10" s="1"/>
    </row>
    <row r="11" spans="2:55" s="4" customFormat="1" ht="18" customHeight="1">
      <c r="B11" s="117" t="s">
        <v>50</v>
      </c>
      <c r="C11" s="113"/>
      <c r="D11" s="113"/>
      <c r="E11" s="113"/>
      <c r="F11" s="113"/>
      <c r="G11" s="114"/>
      <c r="H11" s="116"/>
      <c r="I11" s="114">
        <v>630.80755749100001</v>
      </c>
      <c r="J11" s="113"/>
      <c r="K11" s="115">
        <f>I11/$I$11</f>
        <v>1</v>
      </c>
      <c r="L11" s="115">
        <f>I11/'סכום נכסי הקרן'!$C$42</f>
        <v>1.2109708331965934E-5</v>
      </c>
      <c r="AX11" s="90"/>
      <c r="AY11" s="3"/>
      <c r="AZ11" s="90"/>
      <c r="BB11" s="90"/>
    </row>
    <row r="12" spans="2:55" s="4" customFormat="1" ht="18" customHeight="1">
      <c r="B12" s="118" t="s">
        <v>26</v>
      </c>
      <c r="C12" s="113"/>
      <c r="D12" s="113"/>
      <c r="E12" s="113"/>
      <c r="F12" s="113"/>
      <c r="G12" s="114"/>
      <c r="H12" s="116"/>
      <c r="I12" s="114">
        <v>630.80755749100001</v>
      </c>
      <c r="J12" s="113"/>
      <c r="K12" s="115">
        <f t="shared" ref="K12:K14" si="0">I12/$I$11</f>
        <v>1</v>
      </c>
      <c r="L12" s="115">
        <f>I12/'סכום נכסי הקרן'!$C$42</f>
        <v>1.2109708331965934E-5</v>
      </c>
      <c r="AX12" s="90"/>
      <c r="AY12" s="3"/>
      <c r="AZ12" s="90"/>
      <c r="BB12" s="90"/>
    </row>
    <row r="13" spans="2:55">
      <c r="B13" s="92" t="s">
        <v>1855</v>
      </c>
      <c r="C13" s="72"/>
      <c r="D13" s="72"/>
      <c r="E13" s="72"/>
      <c r="F13" s="72"/>
      <c r="G13" s="81"/>
      <c r="H13" s="83"/>
      <c r="I13" s="81">
        <v>630.80755749100001</v>
      </c>
      <c r="J13" s="72"/>
      <c r="K13" s="82">
        <f t="shared" si="0"/>
        <v>1</v>
      </c>
      <c r="L13" s="82">
        <f>I13/'סכום נכסי הקרן'!$C$42</f>
        <v>1.2109708331965934E-5</v>
      </c>
      <c r="AY13" s="3"/>
    </row>
    <row r="14" spans="2:55" ht="20.25">
      <c r="B14" s="77" t="s">
        <v>1856</v>
      </c>
      <c r="C14" s="74" t="s">
        <v>1857</v>
      </c>
      <c r="D14" s="87" t="s">
        <v>123</v>
      </c>
      <c r="E14" s="87" t="s">
        <v>191</v>
      </c>
      <c r="F14" s="87" t="s">
        <v>165</v>
      </c>
      <c r="G14" s="84">
        <v>334114.17239999998</v>
      </c>
      <c r="H14" s="86">
        <v>188.8</v>
      </c>
      <c r="I14" s="84">
        <v>630.80755749100001</v>
      </c>
      <c r="J14" s="85">
        <v>3.3917338435302501E-2</v>
      </c>
      <c r="K14" s="85">
        <f t="shared" si="0"/>
        <v>1</v>
      </c>
      <c r="L14" s="85">
        <f>I14/'סכום נכסי הקרן'!$C$42</f>
        <v>1.2109708331965934E-5</v>
      </c>
      <c r="AY14" s="4"/>
    </row>
    <row r="15" spans="2:55">
      <c r="B15" s="73"/>
      <c r="C15" s="74"/>
      <c r="D15" s="74"/>
      <c r="E15" s="74"/>
      <c r="F15" s="74"/>
      <c r="G15" s="84"/>
      <c r="H15" s="86"/>
      <c r="I15" s="74"/>
      <c r="J15" s="74"/>
      <c r="K15" s="85"/>
      <c r="L15" s="74"/>
    </row>
    <row r="16" spans="2:5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5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51">
      <c r="B18" s="89" t="s">
        <v>261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51" ht="20.25">
      <c r="B19" s="89" t="s">
        <v>115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AX19" s="4"/>
    </row>
    <row r="20" spans="2:51">
      <c r="B20" s="89" t="s">
        <v>243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AY20" s="3"/>
    </row>
    <row r="21" spans="2:51">
      <c r="B21" s="89" t="s">
        <v>251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1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1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1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1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1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1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1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1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1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A1:A1048576 B1:B17 C5:C1048576 AB24:AB1048576 AC1:XFD1048576 AB1:AB19 B19:B1048576 D1:A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sharepoint/v3"/>
    <ds:schemaRef ds:uri="http://www.w3.org/XML/1998/namespace"/>
    <ds:schemaRef ds:uri="http://purl.org/dc/elements/1.1/"/>
    <ds:schemaRef ds:uri="http://schemas.microsoft.com/office/infopath/2007/PartnerControls"/>
    <ds:schemaRef ds:uri="a46656d4-8850-49b3-aebd-68bd05f7f4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מניות</vt:lpstr>
      <vt:lpstr>אג"ח קונצרני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2020-06-04T06:59:15Z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