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קונצרני'!$B$6:$U$31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מזומנים!$B$6:$K$35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J20" i="58" l="1"/>
  <c r="C10" i="84" l="1"/>
  <c r="P129" i="78" l="1"/>
  <c r="R13" i="61" l="1"/>
  <c r="R274" i="61"/>
  <c r="P31" i="78" l="1"/>
  <c r="P27" i="78"/>
  <c r="P20" i="78"/>
  <c r="P33" i="78"/>
  <c r="P128" i="78"/>
  <c r="C43" i="88"/>
  <c r="P12" i="78" l="1"/>
  <c r="P11" i="78" s="1"/>
  <c r="P10" i="78" s="1"/>
  <c r="Q68" i="78" l="1"/>
  <c r="Q142" i="78"/>
  <c r="Q110" i="78"/>
  <c r="Q170" i="78"/>
  <c r="Q146" i="78"/>
  <c r="Q115" i="78"/>
  <c r="Q150" i="78"/>
  <c r="Q147" i="78"/>
  <c r="Q145" i="78"/>
  <c r="Q138" i="78"/>
  <c r="Q141" i="78"/>
  <c r="Q111" i="78"/>
  <c r="Q165" i="78"/>
  <c r="Q48" i="78"/>
  <c r="Q54" i="78"/>
  <c r="Q56" i="78"/>
  <c r="Q47" i="78"/>
  <c r="Q164" i="78"/>
  <c r="Q143" i="78"/>
  <c r="Q37" i="78"/>
  <c r="Q60" i="78"/>
  <c r="Q61" i="78"/>
  <c r="Q51" i="78"/>
  <c r="Q168" i="78"/>
  <c r="Q64" i="78"/>
  <c r="Q19" i="78"/>
  <c r="Q101" i="78"/>
  <c r="Q10" i="78"/>
  <c r="Q97" i="78"/>
  <c r="Q183" i="78"/>
  <c r="Q98" i="78"/>
  <c r="Q14" i="78"/>
  <c r="Q79" i="78"/>
  <c r="Q132" i="78"/>
  <c r="Q24" i="78"/>
  <c r="Q128" i="78"/>
  <c r="Q53" i="78"/>
  <c r="Q175" i="78"/>
  <c r="Q106" i="78"/>
  <c r="Q16" i="78"/>
  <c r="Q102" i="78"/>
  <c r="Q17" i="78"/>
  <c r="Q104" i="78"/>
  <c r="Q18" i="78"/>
  <c r="Q83" i="78"/>
  <c r="Q136" i="78"/>
  <c r="Q100" i="78"/>
  <c r="Q36" i="78"/>
  <c r="Q121" i="78"/>
  <c r="Q176" i="78"/>
  <c r="Q160" i="78"/>
  <c r="Q144" i="78"/>
  <c r="Q184" i="78"/>
  <c r="Q123" i="78"/>
  <c r="Q107" i="78"/>
  <c r="Q91" i="78"/>
  <c r="Q75" i="78"/>
  <c r="Q59" i="78"/>
  <c r="Q43" i="78"/>
  <c r="Q26" i="78"/>
  <c r="Q179" i="78"/>
  <c r="Q158" i="78"/>
  <c r="Q137" i="78"/>
  <c r="Q114" i="78"/>
  <c r="Q93" i="78"/>
  <c r="Q72" i="78"/>
  <c r="Q50" i="78"/>
  <c r="Q28" i="78"/>
  <c r="Q178" i="78"/>
  <c r="Q157" i="78"/>
  <c r="Q135" i="78"/>
  <c r="Q113" i="78"/>
  <c r="Q92" i="78"/>
  <c r="Q70" i="78"/>
  <c r="Q49" i="78"/>
  <c r="Q27" i="78"/>
  <c r="Q182" i="78"/>
  <c r="Q161" i="78"/>
  <c r="Q139" i="78"/>
  <c r="Q117" i="78"/>
  <c r="Q96" i="78"/>
  <c r="Q15" i="78"/>
  <c r="Q58" i="78"/>
  <c r="Q133" i="78"/>
  <c r="Q29" i="78"/>
  <c r="Q73" i="78"/>
  <c r="Q159" i="78"/>
  <c r="Q42" i="78"/>
  <c r="Q94" i="78"/>
  <c r="Q12" i="78"/>
  <c r="Q46" i="78"/>
  <c r="Q126" i="78"/>
  <c r="Q57" i="78"/>
  <c r="Q172" i="78"/>
  <c r="Q156" i="78"/>
  <c r="Q140" i="78"/>
  <c r="Q119" i="78"/>
  <c r="Q103" i="78"/>
  <c r="Q87" i="78"/>
  <c r="Q71" i="78"/>
  <c r="Q55" i="78"/>
  <c r="Q39" i="78"/>
  <c r="Q22" i="78"/>
  <c r="Q174" i="78"/>
  <c r="Q153" i="78"/>
  <c r="Q131" i="78"/>
  <c r="Q109" i="78"/>
  <c r="Q88" i="78"/>
  <c r="Q66" i="78"/>
  <c r="Q45" i="78"/>
  <c r="Q23" i="78"/>
  <c r="Q173" i="78"/>
  <c r="Q151" i="78"/>
  <c r="Q130" i="78"/>
  <c r="Q108" i="78"/>
  <c r="Q86" i="78"/>
  <c r="Q65" i="78"/>
  <c r="Q44" i="78"/>
  <c r="Q21" i="78"/>
  <c r="Q177" i="78"/>
  <c r="Q155" i="78"/>
  <c r="Q134" i="78"/>
  <c r="Q112" i="78"/>
  <c r="Q90" i="78"/>
  <c r="Q25" i="78"/>
  <c r="Q69" i="78"/>
  <c r="Q154" i="78"/>
  <c r="Q41" i="78"/>
  <c r="Q89" i="78"/>
  <c r="Q181" i="78"/>
  <c r="Q11" i="78"/>
  <c r="Q116" i="78"/>
  <c r="Q31" i="78"/>
  <c r="Q62" i="78"/>
  <c r="Q105" i="78"/>
  <c r="Q80" i="78"/>
  <c r="Q122" i="78"/>
  <c r="Q166" i="78"/>
  <c r="Q33" i="78"/>
  <c r="Q76" i="78"/>
  <c r="Q118" i="78"/>
  <c r="Q162" i="78"/>
  <c r="Q34" i="78"/>
  <c r="Q77" i="78"/>
  <c r="Q120" i="78"/>
  <c r="Q163" i="78"/>
  <c r="Q30" i="78"/>
  <c r="Q63" i="78"/>
  <c r="Q95" i="78"/>
  <c r="Q148" i="78"/>
  <c r="Q180" i="78"/>
  <c r="Q78" i="78"/>
  <c r="Q129" i="78"/>
  <c r="Q74" i="78"/>
  <c r="Q20" i="78"/>
  <c r="Q52" i="78"/>
  <c r="Q84" i="78"/>
  <c r="Q85" i="78"/>
  <c r="Q185" i="78"/>
  <c r="Q171" i="78"/>
  <c r="Q38" i="78"/>
  <c r="Q81" i="78"/>
  <c r="Q124" i="78"/>
  <c r="Q167" i="78"/>
  <c r="Q40" i="78"/>
  <c r="Q82" i="78"/>
  <c r="Q125" i="78"/>
  <c r="Q169" i="78"/>
  <c r="Q35" i="78"/>
  <c r="Q67" i="78"/>
  <c r="Q99" i="78"/>
  <c r="Q152" i="78"/>
  <c r="Q13" i="78"/>
  <c r="Q149" i="78"/>
  <c r="S313" i="61"/>
  <c r="S303" i="61"/>
  <c r="S287" i="61"/>
  <c r="S282" i="61"/>
  <c r="S280" i="61"/>
  <c r="S278" i="61"/>
  <c r="R257" i="61"/>
  <c r="R266" i="61"/>
  <c r="S197" i="61"/>
  <c r="O197" i="61"/>
  <c r="S190" i="61"/>
  <c r="O190" i="61"/>
  <c r="Q167" i="61"/>
  <c r="S133" i="61" l="1"/>
  <c r="S132" i="61"/>
  <c r="S131" i="61"/>
  <c r="O133" i="61"/>
  <c r="O132" i="61"/>
  <c r="O131" i="61"/>
  <c r="S122" i="61"/>
  <c r="S121" i="61"/>
  <c r="S120" i="61"/>
  <c r="O122" i="61"/>
  <c r="O121" i="61"/>
  <c r="O120" i="61"/>
  <c r="S108" i="61"/>
  <c r="O108" i="61"/>
  <c r="S104" i="61"/>
  <c r="S103" i="61"/>
  <c r="S102" i="61"/>
  <c r="O104" i="61"/>
  <c r="O103" i="61"/>
  <c r="O102" i="61"/>
  <c r="O77" i="61"/>
  <c r="O76" i="61"/>
  <c r="O75" i="61"/>
  <c r="O74" i="61"/>
  <c r="S77" i="61"/>
  <c r="S76" i="61"/>
  <c r="S75" i="61"/>
  <c r="S74" i="61"/>
  <c r="Q13" i="61"/>
  <c r="R265" i="61"/>
  <c r="R167" i="61"/>
  <c r="J12" i="58"/>
  <c r="C37" i="88"/>
  <c r="C33" i="88"/>
  <c r="C31" i="88"/>
  <c r="C26" i="88"/>
  <c r="C24" i="88"/>
  <c r="C18" i="88"/>
  <c r="C17" i="88"/>
  <c r="C13" i="88"/>
  <c r="J11" i="58" l="1"/>
  <c r="J10" i="58" s="1"/>
  <c r="C23" i="88"/>
  <c r="R12" i="61"/>
  <c r="R11" i="61" s="1"/>
  <c r="T44" i="61" s="1"/>
  <c r="Q12" i="61"/>
  <c r="Q11" i="61" s="1"/>
  <c r="K11" i="58" l="1"/>
  <c r="K31" i="58"/>
  <c r="T218" i="61"/>
  <c r="T67" i="61"/>
  <c r="T301" i="61"/>
  <c r="T12" i="61"/>
  <c r="T231" i="61"/>
  <c r="T124" i="61"/>
  <c r="T45" i="61"/>
  <c r="T279" i="61"/>
  <c r="T119" i="61"/>
  <c r="T181" i="61"/>
  <c r="T106" i="61"/>
  <c r="T259" i="61"/>
  <c r="T13" i="61"/>
  <c r="T240" i="61"/>
  <c r="T157" i="61"/>
  <c r="T275" i="61"/>
  <c r="T223" i="61"/>
  <c r="T95" i="61"/>
  <c r="T16" i="61"/>
  <c r="T75" i="61"/>
  <c r="T132" i="61"/>
  <c r="T189" i="61"/>
  <c r="T244" i="61"/>
  <c r="T313" i="61"/>
  <c r="T49" i="61"/>
  <c r="T110" i="61"/>
  <c r="T171" i="61"/>
  <c r="T222" i="61"/>
  <c r="T293" i="61"/>
  <c r="T15" i="61"/>
  <c r="T304" i="61"/>
  <c r="T176" i="61"/>
  <c r="T54" i="61"/>
  <c r="T35" i="61"/>
  <c r="T96" i="61"/>
  <c r="T155" i="61"/>
  <c r="T208" i="61"/>
  <c r="T269" i="61"/>
  <c r="T332" i="61"/>
  <c r="T73" i="61"/>
  <c r="T130" i="61"/>
  <c r="T191" i="61"/>
  <c r="T242" i="61"/>
  <c r="T311" i="61"/>
  <c r="T137" i="61"/>
  <c r="T286" i="61"/>
  <c r="T158" i="61"/>
  <c r="T46" i="61"/>
  <c r="T47" i="61"/>
  <c r="T100" i="61"/>
  <c r="T159" i="61"/>
  <c r="T220" i="61"/>
  <c r="T274" i="61"/>
  <c r="T341" i="61"/>
  <c r="T82" i="61"/>
  <c r="T140" i="61"/>
  <c r="T195" i="61"/>
  <c r="T270" i="61"/>
  <c r="T326" i="61"/>
  <c r="T278" i="61"/>
  <c r="T333" i="61"/>
  <c r="T83" i="61"/>
  <c r="T284" i="61"/>
  <c r="T221" i="61"/>
  <c r="T172" i="61"/>
  <c r="T14" i="61"/>
  <c r="T225" i="61"/>
  <c r="T178" i="61"/>
  <c r="T249" i="61"/>
  <c r="T76" i="61"/>
  <c r="T237" i="61"/>
  <c r="T21" i="61"/>
  <c r="T99" i="61"/>
  <c r="T180" i="61"/>
  <c r="T268" i="61"/>
  <c r="T347" i="61"/>
  <c r="T307" i="61"/>
  <c r="T267" i="61"/>
  <c r="T238" i="61"/>
  <c r="T210" i="61"/>
  <c r="T179" i="61"/>
  <c r="T153" i="61"/>
  <c r="T126" i="61"/>
  <c r="T94" i="61"/>
  <c r="T65" i="61"/>
  <c r="T41" i="61"/>
  <c r="T325" i="61"/>
  <c r="T298" i="61"/>
  <c r="T260" i="61"/>
  <c r="T228" i="61"/>
  <c r="T204" i="61"/>
  <c r="T177" i="61"/>
  <c r="T146" i="61"/>
  <c r="T116" i="61"/>
  <c r="T92" i="61"/>
  <c r="T59" i="61"/>
  <c r="T31" i="61"/>
  <c r="T23" i="61"/>
  <c r="T78" i="61"/>
  <c r="T127" i="61"/>
  <c r="T192" i="61"/>
  <c r="T254" i="61"/>
  <c r="T320" i="61"/>
  <c r="T117" i="61"/>
  <c r="T37" i="61"/>
  <c r="T30" i="61"/>
  <c r="T266" i="61"/>
  <c r="T143" i="61"/>
  <c r="T310" i="61"/>
  <c r="T42" i="61"/>
  <c r="T131" i="61"/>
  <c r="T211" i="61"/>
  <c r="T308" i="61"/>
  <c r="T330" i="61"/>
  <c r="T296" i="61"/>
  <c r="T258" i="61"/>
  <c r="T234" i="61"/>
  <c r="T202" i="61"/>
  <c r="T175" i="61"/>
  <c r="T80" i="61"/>
  <c r="T114" i="61"/>
  <c r="T90" i="61"/>
  <c r="T61" i="61"/>
  <c r="T345" i="61"/>
  <c r="T317" i="61"/>
  <c r="T295" i="61"/>
  <c r="T252" i="61"/>
  <c r="T224" i="61"/>
  <c r="T187" i="61"/>
  <c r="T163" i="61"/>
  <c r="T142" i="61"/>
  <c r="T112" i="61"/>
  <c r="T79" i="61"/>
  <c r="T51" i="61"/>
  <c r="T28" i="61"/>
  <c r="T33" i="61"/>
  <c r="T87" i="61"/>
  <c r="T145" i="61"/>
  <c r="T215" i="61"/>
  <c r="T263" i="61"/>
  <c r="T327" i="61"/>
  <c r="T213" i="61"/>
  <c r="T261" i="61"/>
  <c r="T56" i="61"/>
  <c r="T342" i="61"/>
  <c r="T156" i="61"/>
  <c r="T287" i="61"/>
  <c r="T50" i="61"/>
  <c r="T141" i="61"/>
  <c r="T227" i="61"/>
  <c r="T316" i="61"/>
  <c r="T160" i="61"/>
  <c r="C15" i="88"/>
  <c r="T185" i="61"/>
  <c r="T209" i="61"/>
  <c r="T68" i="61"/>
  <c r="T85" i="61"/>
  <c r="T182" i="61"/>
  <c r="T34" i="61"/>
  <c r="T257" i="61"/>
  <c r="T164" i="61"/>
  <c r="T48" i="61"/>
  <c r="T241" i="61"/>
  <c r="T89" i="61"/>
  <c r="T201" i="61"/>
  <c r="T292" i="61"/>
  <c r="T22" i="61"/>
  <c r="T93" i="61"/>
  <c r="T174" i="61"/>
  <c r="T271" i="61"/>
  <c r="T338" i="61"/>
  <c r="T26" i="61"/>
  <c r="T66" i="61"/>
  <c r="T107" i="61"/>
  <c r="T139" i="61"/>
  <c r="T196" i="61"/>
  <c r="T235" i="61"/>
  <c r="T281" i="61"/>
  <c r="T331" i="61"/>
  <c r="T343" i="61"/>
  <c r="T323" i="61"/>
  <c r="T282" i="61"/>
  <c r="T272" i="61"/>
  <c r="T250" i="61"/>
  <c r="T226" i="61"/>
  <c r="T206" i="61"/>
  <c r="T186" i="61"/>
  <c r="T161" i="61"/>
  <c r="T144" i="61"/>
  <c r="T122" i="61"/>
  <c r="T98" i="61"/>
  <c r="T77" i="61"/>
  <c r="T57" i="61"/>
  <c r="T280" i="61"/>
  <c r="T328" i="61"/>
  <c r="T309" i="61"/>
  <c r="T283" i="61"/>
  <c r="T255" i="61"/>
  <c r="T236" i="61"/>
  <c r="T212" i="61"/>
  <c r="T193" i="61"/>
  <c r="T173" i="61"/>
  <c r="T147" i="61"/>
  <c r="T128" i="61"/>
  <c r="T108" i="61"/>
  <c r="T84" i="61"/>
  <c r="T63" i="61"/>
  <c r="T43" i="61"/>
  <c r="T20" i="61"/>
  <c r="T29" i="61"/>
  <c r="T62" i="61"/>
  <c r="T111" i="61"/>
  <c r="T150" i="61"/>
  <c r="T199" i="61"/>
  <c r="T247" i="61"/>
  <c r="T297" i="61"/>
  <c r="T335" i="61"/>
  <c r="T348" i="61"/>
  <c r="T52" i="61"/>
  <c r="T97" i="61"/>
  <c r="T17" i="61"/>
  <c r="T197" i="61"/>
  <c r="T81" i="61"/>
  <c r="T19" i="61"/>
  <c r="T121" i="61"/>
  <c r="T217" i="61"/>
  <c r="T322" i="61"/>
  <c r="T32" i="61"/>
  <c r="T109" i="61"/>
  <c r="T205" i="61"/>
  <c r="T288" i="61"/>
  <c r="T346" i="61"/>
  <c r="T36" i="61"/>
  <c r="T74" i="61"/>
  <c r="T115" i="61"/>
  <c r="T162" i="61"/>
  <c r="T203" i="61"/>
  <c r="T243" i="61"/>
  <c r="T300" i="61"/>
  <c r="T340" i="61"/>
  <c r="T339" i="61"/>
  <c r="T315" i="61"/>
  <c r="T152" i="61"/>
  <c r="T72" i="61"/>
  <c r="T314" i="61"/>
  <c r="T113" i="61"/>
  <c r="T302" i="61"/>
  <c r="T133" i="61"/>
  <c r="T299" i="61"/>
  <c r="T129" i="61"/>
  <c r="T27" i="61"/>
  <c r="T245" i="61"/>
  <c r="T318" i="61"/>
  <c r="T148" i="61"/>
  <c r="T64" i="61"/>
  <c r="T194" i="61"/>
  <c r="T329" i="61"/>
  <c r="T101" i="61"/>
  <c r="T229" i="61"/>
  <c r="T25" i="61"/>
  <c r="T138" i="61"/>
  <c r="T277" i="61"/>
  <c r="T40" i="61"/>
  <c r="T105" i="61"/>
  <c r="T170" i="61"/>
  <c r="T233" i="61"/>
  <c r="T306" i="61"/>
  <c r="T11" i="61"/>
  <c r="T60" i="61"/>
  <c r="T125" i="61"/>
  <c r="T190" i="61"/>
  <c r="T253" i="61"/>
  <c r="T336" i="61"/>
  <c r="T290" i="61"/>
  <c r="T165" i="61"/>
  <c r="T58" i="61"/>
  <c r="T91" i="61"/>
  <c r="T123" i="61"/>
  <c r="T154" i="61"/>
  <c r="T188" i="61"/>
  <c r="T219" i="61"/>
  <c r="T251" i="61"/>
  <c r="T294" i="61"/>
  <c r="T324" i="61"/>
  <c r="T349" i="61"/>
  <c r="T334" i="61"/>
  <c r="T319" i="61"/>
  <c r="T303" i="61"/>
  <c r="T285" i="61"/>
  <c r="T262" i="61"/>
  <c r="T246" i="61"/>
  <c r="T230" i="61"/>
  <c r="T214" i="61"/>
  <c r="T198" i="61"/>
  <c r="T183" i="61"/>
  <c r="T167" i="61"/>
  <c r="T149" i="61"/>
  <c r="T134" i="61"/>
  <c r="T118" i="61"/>
  <c r="T102" i="61"/>
  <c r="T86" i="61"/>
  <c r="T69" i="61"/>
  <c r="T53" i="61"/>
  <c r="T289" i="61"/>
  <c r="T337" i="61"/>
  <c r="T321" i="61"/>
  <c r="T305" i="61"/>
  <c r="T291" i="61"/>
  <c r="T265" i="61"/>
  <c r="T248" i="61"/>
  <c r="T232" i="61"/>
  <c r="T216" i="61"/>
  <c r="T200" i="61"/>
  <c r="T184" i="61"/>
  <c r="T169" i="61"/>
  <c r="T151" i="61"/>
  <c r="T136" i="61"/>
  <c r="T120" i="61"/>
  <c r="T104" i="61"/>
  <c r="T88" i="61"/>
  <c r="T71" i="61"/>
  <c r="T55" i="61"/>
  <c r="T39" i="61"/>
  <c r="T24" i="61"/>
  <c r="T18" i="61"/>
  <c r="T38" i="61"/>
  <c r="T70" i="61"/>
  <c r="T103" i="61"/>
  <c r="T135" i="61"/>
  <c r="T168" i="61"/>
  <c r="T207" i="61"/>
  <c r="T239" i="61"/>
  <c r="T276" i="61"/>
  <c r="T312" i="61"/>
  <c r="T344" i="61"/>
  <c r="K20" i="58"/>
  <c r="K30" i="58"/>
  <c r="K26" i="58"/>
  <c r="K22" i="58"/>
  <c r="K17" i="58"/>
  <c r="K13" i="58"/>
  <c r="K29" i="58"/>
  <c r="K25" i="58"/>
  <c r="K21" i="58"/>
  <c r="K16" i="58"/>
  <c r="K12" i="58"/>
  <c r="C11" i="88"/>
  <c r="K28" i="58"/>
  <c r="K24" i="58"/>
  <c r="K15" i="58"/>
  <c r="K10" i="58"/>
  <c r="K27" i="58"/>
  <c r="K23" i="58"/>
  <c r="K18" i="58"/>
  <c r="K14" i="58"/>
  <c r="C12" i="88" l="1"/>
  <c r="C10" i="88" l="1"/>
  <c r="C42" i="88" l="1"/>
  <c r="L31" i="58" s="1"/>
  <c r="K11" i="81" l="1"/>
  <c r="K62" i="76"/>
  <c r="K57" i="76"/>
  <c r="K53" i="76"/>
  <c r="K49" i="76"/>
  <c r="K45" i="76"/>
  <c r="K41" i="76"/>
  <c r="K36" i="76"/>
  <c r="K32" i="76"/>
  <c r="K28" i="76"/>
  <c r="K24" i="76"/>
  <c r="K20" i="76"/>
  <c r="K16" i="76"/>
  <c r="K12" i="76"/>
  <c r="S28" i="71"/>
  <c r="S23" i="71"/>
  <c r="S18" i="71"/>
  <c r="S14" i="71"/>
  <c r="P92" i="69"/>
  <c r="P88" i="69"/>
  <c r="P84" i="69"/>
  <c r="P80" i="69"/>
  <c r="P76" i="69"/>
  <c r="P72" i="69"/>
  <c r="P68" i="69"/>
  <c r="P64" i="69"/>
  <c r="P60" i="69"/>
  <c r="P56" i="69"/>
  <c r="P52" i="69"/>
  <c r="P48" i="69"/>
  <c r="P44" i="69"/>
  <c r="P40" i="69"/>
  <c r="P36" i="69"/>
  <c r="P32" i="69"/>
  <c r="P28" i="69"/>
  <c r="P24" i="69"/>
  <c r="P20" i="69"/>
  <c r="P16" i="69"/>
  <c r="P12" i="69"/>
  <c r="O29" i="64"/>
  <c r="O25" i="64"/>
  <c r="O19" i="64"/>
  <c r="O17" i="64"/>
  <c r="O13" i="64"/>
  <c r="N35" i="63"/>
  <c r="N31" i="63"/>
  <c r="N26" i="63"/>
  <c r="N22" i="63"/>
  <c r="N18" i="63"/>
  <c r="N14" i="63"/>
  <c r="R59" i="59"/>
  <c r="R54" i="59"/>
  <c r="R50" i="59"/>
  <c r="R46" i="59"/>
  <c r="R42" i="59"/>
  <c r="R37" i="59"/>
  <c r="R33" i="59"/>
  <c r="R29" i="59"/>
  <c r="R24" i="59"/>
  <c r="R20" i="59"/>
  <c r="R16" i="59"/>
  <c r="R12" i="59"/>
  <c r="K13" i="76"/>
  <c r="S15" i="71"/>
  <c r="P81" i="69"/>
  <c r="K10" i="81"/>
  <c r="K61" i="76"/>
  <c r="K56" i="76"/>
  <c r="K52" i="76"/>
  <c r="K48" i="76"/>
  <c r="K44" i="76"/>
  <c r="K40" i="76"/>
  <c r="K35" i="76"/>
  <c r="K31" i="76"/>
  <c r="K27" i="76"/>
  <c r="K23" i="76"/>
  <c r="K19" i="76"/>
  <c r="K15" i="76"/>
  <c r="K11" i="76"/>
  <c r="S26" i="71"/>
  <c r="S22" i="71"/>
  <c r="S17" i="71"/>
  <c r="S13" i="71"/>
  <c r="P91" i="69"/>
  <c r="P87" i="69"/>
  <c r="P83" i="69"/>
  <c r="P79" i="69"/>
  <c r="P75" i="69"/>
  <c r="P71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O28" i="64"/>
  <c r="O23" i="64"/>
  <c r="O24" i="64"/>
  <c r="O16" i="64"/>
  <c r="O12" i="64"/>
  <c r="N34" i="63"/>
  <c r="N29" i="63"/>
  <c r="N25" i="63"/>
  <c r="N21" i="63"/>
  <c r="N17" i="63"/>
  <c r="N13" i="63"/>
  <c r="R58" i="59"/>
  <c r="R53" i="59"/>
  <c r="R49" i="59"/>
  <c r="R45" i="59"/>
  <c r="R41" i="59"/>
  <c r="R36" i="59"/>
  <c r="R32" i="59"/>
  <c r="R28" i="59"/>
  <c r="R23" i="59"/>
  <c r="R19" i="59"/>
  <c r="R15" i="59"/>
  <c r="R11" i="59"/>
  <c r="N12" i="63"/>
  <c r="R57" i="59"/>
  <c r="R52" i="59"/>
  <c r="R44" i="59"/>
  <c r="R40" i="59"/>
  <c r="R35" i="59"/>
  <c r="R31" i="59"/>
  <c r="R22" i="59"/>
  <c r="R18" i="59"/>
  <c r="K12" i="81"/>
  <c r="K63" i="76"/>
  <c r="K58" i="76"/>
  <c r="K50" i="76"/>
  <c r="K46" i="76"/>
  <c r="K42" i="76"/>
  <c r="K37" i="76"/>
  <c r="K29" i="76"/>
  <c r="K25" i="76"/>
  <c r="K21" i="76"/>
  <c r="S29" i="71"/>
  <c r="S20" i="71"/>
  <c r="S11" i="71"/>
  <c r="P85" i="69"/>
  <c r="K64" i="76"/>
  <c r="K60" i="76"/>
  <c r="K55" i="76"/>
  <c r="K51" i="76"/>
  <c r="K47" i="76"/>
  <c r="K43" i="76"/>
  <c r="K39" i="76"/>
  <c r="K34" i="76"/>
  <c r="K30" i="76"/>
  <c r="K26" i="76"/>
  <c r="K22" i="76"/>
  <c r="K18" i="76"/>
  <c r="K14" i="76"/>
  <c r="S30" i="71"/>
  <c r="S25" i="71"/>
  <c r="S21" i="71"/>
  <c r="S16" i="71"/>
  <c r="S12" i="71"/>
  <c r="P90" i="69"/>
  <c r="P86" i="69"/>
  <c r="P82" i="69"/>
  <c r="P78" i="69"/>
  <c r="P74" i="69"/>
  <c r="P70" i="69"/>
  <c r="P66" i="69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O32" i="64"/>
  <c r="O27" i="64"/>
  <c r="O26" i="64"/>
  <c r="O21" i="64"/>
  <c r="O15" i="64"/>
  <c r="O11" i="64"/>
  <c r="N33" i="63"/>
  <c r="N28" i="63"/>
  <c r="N24" i="63"/>
  <c r="N20" i="63"/>
  <c r="N16" i="63"/>
  <c r="R48" i="59"/>
  <c r="R27" i="59"/>
  <c r="R14" i="59"/>
  <c r="K54" i="76"/>
  <c r="K33" i="76"/>
  <c r="K17" i="76"/>
  <c r="S24" i="71"/>
  <c r="P89" i="69"/>
  <c r="P73" i="69"/>
  <c r="P57" i="69"/>
  <c r="P41" i="69"/>
  <c r="P25" i="69"/>
  <c r="O31" i="64"/>
  <c r="O14" i="64"/>
  <c r="N23" i="63"/>
  <c r="R55" i="59"/>
  <c r="R38" i="59"/>
  <c r="R21" i="59"/>
  <c r="N19" i="63"/>
  <c r="R34" i="59"/>
  <c r="R17" i="59"/>
  <c r="P33" i="69"/>
  <c r="N32" i="63"/>
  <c r="R47" i="59"/>
  <c r="P77" i="69"/>
  <c r="P45" i="69"/>
  <c r="P29" i="69"/>
  <c r="O20" i="64"/>
  <c r="N11" i="63"/>
  <c r="P69" i="69"/>
  <c r="P53" i="69"/>
  <c r="P37" i="69"/>
  <c r="P21" i="69"/>
  <c r="O18" i="64"/>
  <c r="N36" i="63"/>
  <c r="R51" i="59"/>
  <c r="P49" i="69"/>
  <c r="O22" i="64"/>
  <c r="N15" i="63"/>
  <c r="R30" i="59"/>
  <c r="P61" i="69"/>
  <c r="P13" i="69"/>
  <c r="N27" i="63"/>
  <c r="R25" i="59"/>
  <c r="P65" i="69"/>
  <c r="P17" i="69"/>
  <c r="R13" i="59"/>
  <c r="R43" i="59"/>
  <c r="U221" i="61"/>
  <c r="R183" i="78"/>
  <c r="R179" i="78"/>
  <c r="R175" i="78"/>
  <c r="R171" i="78"/>
  <c r="R167" i="78"/>
  <c r="R163" i="78"/>
  <c r="R159" i="78"/>
  <c r="R155" i="78"/>
  <c r="R151" i="78"/>
  <c r="R147" i="78"/>
  <c r="R143" i="78"/>
  <c r="R139" i="78"/>
  <c r="R135" i="78"/>
  <c r="R131" i="78"/>
  <c r="R129" i="78"/>
  <c r="R123" i="78"/>
  <c r="R119" i="78"/>
  <c r="R115" i="78"/>
  <c r="R111" i="78"/>
  <c r="R107" i="78"/>
  <c r="R103" i="78"/>
  <c r="R99" i="78"/>
  <c r="R95" i="78"/>
  <c r="R91" i="78"/>
  <c r="R87" i="78"/>
  <c r="R83" i="78"/>
  <c r="R79" i="78"/>
  <c r="R75" i="78"/>
  <c r="R71" i="78"/>
  <c r="R67" i="78"/>
  <c r="R63" i="78"/>
  <c r="R59" i="78"/>
  <c r="R55" i="78"/>
  <c r="R180" i="78"/>
  <c r="R174" i="78"/>
  <c r="R169" i="78"/>
  <c r="R164" i="78"/>
  <c r="R158" i="78"/>
  <c r="R153" i="78"/>
  <c r="R148" i="78"/>
  <c r="R142" i="78"/>
  <c r="R137" i="78"/>
  <c r="R132" i="78"/>
  <c r="R126" i="78"/>
  <c r="R121" i="78"/>
  <c r="R116" i="78"/>
  <c r="R110" i="78"/>
  <c r="R105" i="78"/>
  <c r="R100" i="78"/>
  <c r="R94" i="78"/>
  <c r="R89" i="78"/>
  <c r="R84" i="78"/>
  <c r="R78" i="78"/>
  <c r="R73" i="78"/>
  <c r="R68" i="78"/>
  <c r="R62" i="78"/>
  <c r="R57" i="78"/>
  <c r="R52" i="78"/>
  <c r="R48" i="78"/>
  <c r="R44" i="78"/>
  <c r="R40" i="78"/>
  <c r="R36" i="78"/>
  <c r="R30" i="78"/>
  <c r="R26" i="78"/>
  <c r="R22" i="78"/>
  <c r="R18" i="78"/>
  <c r="R14" i="78"/>
  <c r="R178" i="78"/>
  <c r="R173" i="78"/>
  <c r="R168" i="78"/>
  <c r="R162" i="78"/>
  <c r="R157" i="78"/>
  <c r="R152" i="78"/>
  <c r="R146" i="78"/>
  <c r="R141" i="78"/>
  <c r="R136" i="78"/>
  <c r="R130" i="78"/>
  <c r="R125" i="78"/>
  <c r="R120" i="78"/>
  <c r="R114" i="78"/>
  <c r="R109" i="78"/>
  <c r="R104" i="78"/>
  <c r="R98" i="78"/>
  <c r="R93" i="78"/>
  <c r="R88" i="78"/>
  <c r="R82" i="78"/>
  <c r="R77" i="78"/>
  <c r="R72" i="78"/>
  <c r="R66" i="78"/>
  <c r="R61" i="78"/>
  <c r="R56" i="78"/>
  <c r="R51" i="78"/>
  <c r="R47" i="78"/>
  <c r="R43" i="78"/>
  <c r="R39" i="78"/>
  <c r="R35" i="78"/>
  <c r="R29" i="78"/>
  <c r="R25" i="78"/>
  <c r="R21" i="78"/>
  <c r="R17" i="78"/>
  <c r="R13" i="78"/>
  <c r="R182" i="78"/>
  <c r="R172" i="78"/>
  <c r="R161" i="78"/>
  <c r="R150" i="78"/>
  <c r="R140" i="78"/>
  <c r="R185" i="78"/>
  <c r="R124" i="78"/>
  <c r="R113" i="78"/>
  <c r="R102" i="78"/>
  <c r="R92" i="78"/>
  <c r="R81" i="78"/>
  <c r="R70" i="78"/>
  <c r="R60" i="78"/>
  <c r="R50" i="78"/>
  <c r="R42" i="78"/>
  <c r="R34" i="78"/>
  <c r="R24" i="78"/>
  <c r="R16" i="78"/>
  <c r="R181" i="78"/>
  <c r="R170" i="78"/>
  <c r="R160" i="78"/>
  <c r="R149" i="78"/>
  <c r="R138" i="78"/>
  <c r="R184" i="78"/>
  <c r="R122" i="78"/>
  <c r="R112" i="78"/>
  <c r="R101" i="78"/>
  <c r="R90" i="78"/>
  <c r="R80" i="78"/>
  <c r="R69" i="78"/>
  <c r="R58" i="78"/>
  <c r="R49" i="78"/>
  <c r="R41" i="78"/>
  <c r="R31" i="78"/>
  <c r="R23" i="78"/>
  <c r="R15" i="78"/>
  <c r="R177" i="78"/>
  <c r="R166" i="78"/>
  <c r="R156" i="78"/>
  <c r="R145" i="78"/>
  <c r="R134" i="78"/>
  <c r="R118" i="78"/>
  <c r="R108" i="78"/>
  <c r="R97" i="78"/>
  <c r="R86" i="78"/>
  <c r="R76" i="78"/>
  <c r="R65" i="78"/>
  <c r="R54" i="78"/>
  <c r="R46" i="78"/>
  <c r="R38" i="78"/>
  <c r="R28" i="78"/>
  <c r="R20" i="78"/>
  <c r="R176" i="78"/>
  <c r="R165" i="78"/>
  <c r="R154" i="78"/>
  <c r="R144" i="78"/>
  <c r="R133" i="78"/>
  <c r="R117" i="78"/>
  <c r="R106" i="78"/>
  <c r="R96" i="78"/>
  <c r="R85" i="78"/>
  <c r="R74" i="78"/>
  <c r="R64" i="78"/>
  <c r="R53" i="78"/>
  <c r="R45" i="78"/>
  <c r="R37" i="78"/>
  <c r="R27" i="78"/>
  <c r="R19" i="78"/>
  <c r="R10" i="78"/>
  <c r="R12" i="78"/>
  <c r="R11" i="78"/>
  <c r="R128" i="78"/>
  <c r="R33" i="78"/>
  <c r="U181" i="61"/>
  <c r="U226" i="61"/>
  <c r="U115" i="61"/>
  <c r="U219" i="61"/>
  <c r="D15" i="88"/>
  <c r="U114" i="61"/>
  <c r="U250" i="61"/>
  <c r="U238" i="61"/>
  <c r="U146" i="61"/>
  <c r="U174" i="61"/>
  <c r="L13" i="58"/>
  <c r="U99" i="61"/>
  <c r="U41" i="61"/>
  <c r="U339" i="61"/>
  <c r="U308" i="61"/>
  <c r="U347" i="61"/>
  <c r="D13" i="88"/>
  <c r="U26" i="61"/>
  <c r="U300" i="61"/>
  <c r="U69" i="61"/>
  <c r="U33" i="61"/>
  <c r="U89" i="61"/>
  <c r="D23" i="88"/>
  <c r="L18" i="58"/>
  <c r="D18" i="88"/>
  <c r="L28" i="58"/>
  <c r="U126" i="61"/>
  <c r="U46" i="61"/>
  <c r="U291" i="61"/>
  <c r="U136" i="61"/>
  <c r="U73" i="61"/>
  <c r="U321" i="61"/>
  <c r="U186" i="61"/>
  <c r="U267" i="61"/>
  <c r="U344" i="61"/>
  <c r="U79" i="61"/>
  <c r="U154" i="61"/>
  <c r="U230" i="61"/>
  <c r="U313" i="61"/>
  <c r="U49" i="61"/>
  <c r="U119" i="61"/>
  <c r="U231" i="61"/>
  <c r="U289" i="61"/>
  <c r="U93" i="61"/>
  <c r="U178" i="61"/>
  <c r="D17" i="88"/>
  <c r="D42" i="88"/>
  <c r="L27" i="58"/>
  <c r="D31" i="88"/>
  <c r="U14" i="61"/>
  <c r="U232" i="61"/>
  <c r="U111" i="61"/>
  <c r="U30" i="61"/>
  <c r="U265" i="61"/>
  <c r="U144" i="61"/>
  <c r="U140" i="61"/>
  <c r="U212" i="61"/>
  <c r="U301" i="61"/>
  <c r="U27" i="61"/>
  <c r="U107" i="61"/>
  <c r="U188" i="61"/>
  <c r="U255" i="61"/>
  <c r="U345" i="61"/>
  <c r="U75" i="61"/>
  <c r="U161" i="61"/>
  <c r="U295" i="61"/>
  <c r="U44" i="61"/>
  <c r="U129" i="61"/>
  <c r="U217" i="61"/>
  <c r="D38" i="88"/>
  <c r="D33" i="88"/>
  <c r="D11" i="88"/>
  <c r="L23" i="58"/>
  <c r="U45" i="61"/>
  <c r="U270" i="61"/>
  <c r="U131" i="61"/>
  <c r="U61" i="61"/>
  <c r="U296" i="61"/>
  <c r="U184" i="61"/>
  <c r="U147" i="61"/>
  <c r="U223" i="61"/>
  <c r="U307" i="61"/>
  <c r="U42" i="61"/>
  <c r="U112" i="61"/>
  <c r="U193" i="61"/>
  <c r="U276" i="61"/>
  <c r="U349" i="61"/>
  <c r="U87" i="61"/>
  <c r="U173" i="61"/>
  <c r="U282" i="61"/>
  <c r="U48" i="61"/>
  <c r="U137" i="61"/>
  <c r="U257" i="61"/>
  <c r="U201" i="61"/>
  <c r="U156" i="61"/>
  <c r="U113" i="61"/>
  <c r="U72" i="61"/>
  <c r="U29" i="61"/>
  <c r="U325" i="61"/>
  <c r="U263" i="61"/>
  <c r="U204" i="61"/>
  <c r="U142" i="61"/>
  <c r="U108" i="61"/>
  <c r="U65" i="61"/>
  <c r="U28" i="61"/>
  <c r="U334" i="61"/>
  <c r="U294" i="61"/>
  <c r="U251" i="61"/>
  <c r="U214" i="61"/>
  <c r="U172" i="61"/>
  <c r="U134" i="61"/>
  <c r="U102" i="61"/>
  <c r="U58" i="61"/>
  <c r="U22" i="61"/>
  <c r="U327" i="61"/>
  <c r="U283" i="61"/>
  <c r="U244" i="61"/>
  <c r="U207" i="61"/>
  <c r="U163" i="61"/>
  <c r="U127" i="61"/>
  <c r="U272" i="61"/>
  <c r="U106" i="61"/>
  <c r="U165" i="61"/>
  <c r="U222" i="61"/>
  <c r="U83" i="61"/>
  <c r="U19" i="61"/>
  <c r="U216" i="61"/>
  <c r="U78" i="61"/>
  <c r="U348" i="61"/>
  <c r="U211" i="61"/>
  <c r="U77" i="61"/>
  <c r="D12" i="88"/>
  <c r="D26" i="88"/>
  <c r="L26" i="58"/>
  <c r="L11" i="58"/>
  <c r="D37" i="88"/>
  <c r="L10" i="58"/>
  <c r="U249" i="61"/>
  <c r="U194" i="61"/>
  <c r="U152" i="61"/>
  <c r="U109" i="61"/>
  <c r="U64" i="61"/>
  <c r="U25" i="61"/>
  <c r="U320" i="61"/>
  <c r="U252" i="61"/>
  <c r="U199" i="61"/>
  <c r="U135" i="61"/>
  <c r="U92" i="61"/>
  <c r="U54" i="61"/>
  <c r="U23" i="61"/>
  <c r="U324" i="61"/>
  <c r="U285" i="61"/>
  <c r="U240" i="61"/>
  <c r="U198" i="61"/>
  <c r="U167" i="61"/>
  <c r="U128" i="61"/>
  <c r="U86" i="61"/>
  <c r="U47" i="61"/>
  <c r="U16" i="61"/>
  <c r="U317" i="61"/>
  <c r="U274" i="61"/>
  <c r="U234" i="61"/>
  <c r="U192" i="61"/>
  <c r="U158" i="61"/>
  <c r="U122" i="61"/>
  <c r="U206" i="61"/>
  <c r="U84" i="61"/>
  <c r="U20" i="61"/>
  <c r="U180" i="61"/>
  <c r="U71" i="61"/>
  <c r="U331" i="61"/>
  <c r="U151" i="61"/>
  <c r="U67" i="61"/>
  <c r="U326" i="61"/>
  <c r="U139" i="61"/>
  <c r="U55" i="61"/>
  <c r="L25" i="58"/>
  <c r="U318" i="61"/>
  <c r="U302" i="61"/>
  <c r="U241" i="61"/>
  <c r="U209" i="61"/>
  <c r="U190" i="61"/>
  <c r="U170" i="61"/>
  <c r="U138" i="61"/>
  <c r="U125" i="61"/>
  <c r="U105" i="61"/>
  <c r="U81" i="61"/>
  <c r="U60" i="61"/>
  <c r="U40" i="61"/>
  <c r="U17" i="61"/>
  <c r="U341" i="61"/>
  <c r="U315" i="61"/>
  <c r="U279" i="61"/>
  <c r="U247" i="61"/>
  <c r="U220" i="61"/>
  <c r="U189" i="61"/>
  <c r="U155" i="61"/>
  <c r="U130" i="61"/>
  <c r="U98" i="61"/>
  <c r="U70" i="61"/>
  <c r="U43" i="61"/>
  <c r="U12" i="61"/>
  <c r="U328" i="61"/>
  <c r="U303" i="61"/>
  <c r="U262" i="61"/>
  <c r="U235" i="61"/>
  <c r="U208" i="61"/>
  <c r="U177" i="61"/>
  <c r="U149" i="61"/>
  <c r="U123" i="61"/>
  <c r="U91" i="61"/>
  <c r="U63" i="61"/>
  <c r="U37" i="61"/>
  <c r="U280" i="61"/>
  <c r="U323" i="61"/>
  <c r="U297" i="61"/>
  <c r="U254" i="61"/>
  <c r="U228" i="61"/>
  <c r="U202" i="61"/>
  <c r="U171" i="61"/>
  <c r="U145" i="61"/>
  <c r="U116" i="61"/>
  <c r="U227" i="61"/>
  <c r="U120" i="61"/>
  <c r="U62" i="61"/>
  <c r="U316" i="61"/>
  <c r="U200" i="61"/>
  <c r="U104" i="61"/>
  <c r="U39" i="61"/>
  <c r="U311" i="61"/>
  <c r="U196" i="61"/>
  <c r="U90" i="61"/>
  <c r="U35" i="61"/>
  <c r="U305" i="61"/>
  <c r="U169" i="61"/>
  <c r="U88" i="61"/>
  <c r="U34" i="61"/>
  <c r="L22" i="58"/>
  <c r="L17" i="58"/>
  <c r="L29" i="58"/>
  <c r="L24" i="58"/>
  <c r="L16" i="58"/>
  <c r="L30" i="58"/>
  <c r="L20" i="58"/>
  <c r="U271" i="61"/>
  <c r="U225" i="61"/>
  <c r="U205" i="61"/>
  <c r="U185" i="61"/>
  <c r="U160" i="61"/>
  <c r="U143" i="61"/>
  <c r="U121" i="61"/>
  <c r="U97" i="61"/>
  <c r="U76" i="61"/>
  <c r="U56" i="61"/>
  <c r="U32" i="61"/>
  <c r="U13" i="61"/>
  <c r="U335" i="61"/>
  <c r="U304" i="61"/>
  <c r="U269" i="61"/>
  <c r="U242" i="61"/>
  <c r="U210" i="61"/>
  <c r="U179" i="61"/>
  <c r="U150" i="61"/>
  <c r="U306" i="61"/>
  <c r="U237" i="61"/>
  <c r="U266" i="61"/>
  <c r="D10" i="88"/>
  <c r="U329" i="61"/>
  <c r="U284" i="61"/>
  <c r="U253" i="61"/>
  <c r="U233" i="61"/>
  <c r="U213" i="61"/>
  <c r="U197" i="61"/>
  <c r="U182" i="61"/>
  <c r="U164" i="61"/>
  <c r="U148" i="61"/>
  <c r="U133" i="61"/>
  <c r="U117" i="61"/>
  <c r="U101" i="61"/>
  <c r="U85" i="61"/>
  <c r="U68" i="61"/>
  <c r="U52" i="61"/>
  <c r="U36" i="61"/>
  <c r="U21" i="61"/>
  <c r="U275" i="61"/>
  <c r="U330" i="61"/>
  <c r="U309" i="61"/>
  <c r="U286" i="61"/>
  <c r="U258" i="61"/>
  <c r="U236" i="61"/>
  <c r="U215" i="61"/>
  <c r="U195" i="61"/>
  <c r="U168" i="61"/>
  <c r="U80" i="61"/>
  <c r="U124" i="61"/>
  <c r="U103" i="61"/>
  <c r="U82" i="61"/>
  <c r="U59" i="61"/>
  <c r="U38" i="61"/>
  <c r="U18" i="61"/>
  <c r="U340" i="61"/>
  <c r="U319" i="61"/>
  <c r="U298" i="61"/>
  <c r="U268" i="61"/>
  <c r="U246" i="61"/>
  <c r="U224" i="61"/>
  <c r="U203" i="61"/>
  <c r="U183" i="61"/>
  <c r="U159" i="61"/>
  <c r="U141" i="61"/>
  <c r="U118" i="61"/>
  <c r="U96" i="61"/>
  <c r="U74" i="61"/>
  <c r="U53" i="61"/>
  <c r="U31" i="61"/>
  <c r="U11" i="61"/>
  <c r="U332" i="61"/>
  <c r="U312" i="61"/>
  <c r="U293" i="61"/>
  <c r="U260" i="61"/>
  <c r="U239" i="61"/>
  <c r="U218" i="61"/>
  <c r="U187" i="61"/>
  <c r="U176" i="61"/>
  <c r="U153" i="61"/>
  <c r="U132" i="61"/>
  <c r="U343" i="61"/>
  <c r="U248" i="61"/>
  <c r="U162" i="61"/>
  <c r="U95" i="61"/>
  <c r="U51" i="61"/>
  <c r="U337" i="61"/>
  <c r="U243" i="61"/>
  <c r="U157" i="61"/>
  <c r="U94" i="61"/>
  <c r="U50" i="61"/>
  <c r="U278" i="61"/>
  <c r="U259" i="61"/>
  <c r="U175" i="61"/>
  <c r="U100" i="61"/>
  <c r="U57" i="61"/>
  <c r="U15" i="61"/>
  <c r="U281" i="61"/>
  <c r="U191" i="61"/>
  <c r="U110" i="61"/>
  <c r="U66" i="61"/>
  <c r="U24" i="61"/>
  <c r="L15" i="58"/>
  <c r="D24" i="88"/>
  <c r="L14" i="58"/>
  <c r="L12" i="58"/>
  <c r="L21" i="58"/>
  <c r="U288" i="61"/>
  <c r="U322" i="61"/>
  <c r="U229" i="61"/>
  <c r="U245" i="61"/>
  <c r="U261" i="61"/>
  <c r="U292" i="61"/>
  <c r="U310" i="61"/>
  <c r="U338" i="61"/>
  <c r="U287" i="61"/>
  <c r="U346" i="61"/>
  <c r="U277" i="61"/>
  <c r="U299" i="61"/>
  <c r="U314" i="61"/>
  <c r="U333" i="61"/>
  <c r="U290" i="61"/>
  <c r="U336" i="61"/>
  <c r="U342" i="6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9">
    <s v="Migdal Hashkaot Neches Boded"/>
    <s v="{[Time].[Hie Time].[Yom].&amp;[20200331]}"/>
    <s v="{[Medida].[Medida].&amp;[2]}"/>
    <s v="{[Keren].[Keren].[All]}"/>
    <s v="{[Cheshbon KM].[Hie Peilut].[Peilut 7].&amp;[Kod_Peilut_L7_625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7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8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3" si="28">
        <n x="1" s="1"/>
        <n x="26"/>
        <n x="27"/>
      </t>
    </mdx>
    <mdx n="0" f="v">
      <t c="3" si="28">
        <n x="1" s="1"/>
        <n x="29"/>
        <n x="27"/>
      </t>
    </mdx>
    <mdx n="0" f="v">
      <t c="3" si="28">
        <n x="1" s="1"/>
        <n x="30"/>
        <n x="27"/>
      </t>
    </mdx>
    <mdx n="0" f="v">
      <t c="3" si="28">
        <n x="1" s="1"/>
        <n x="31"/>
        <n x="27"/>
      </t>
    </mdx>
    <mdx n="0" f="v">
      <t c="3" si="28">
        <n x="1" s="1"/>
        <n x="32"/>
        <n x="27"/>
      </t>
    </mdx>
    <mdx n="0" f="v">
      <t c="3" si="28">
        <n x="1" s="1"/>
        <n x="33"/>
        <n x="27"/>
      </t>
    </mdx>
    <mdx n="0" f="v">
      <t c="3" si="28">
        <n x="1" s="1"/>
        <n x="34"/>
        <n x="27"/>
      </t>
    </mdx>
    <mdx n="0" f="v">
      <t c="3" si="28">
        <n x="1" s="1"/>
        <n x="35"/>
        <n x="27"/>
      </t>
    </mdx>
    <mdx n="0" f="v">
      <t c="3" si="28">
        <n x="1" s="1"/>
        <n x="36"/>
        <n x="27"/>
      </t>
    </mdx>
    <mdx n="0" f="v">
      <t c="3" si="28">
        <n x="1" s="1"/>
        <n x="37"/>
        <n x="27"/>
      </t>
    </mdx>
    <mdx n="0" f="v">
      <t c="3" si="28">
        <n x="1" s="1"/>
        <n x="38"/>
        <n x="27"/>
      </t>
    </mdx>
  </mdxMetadata>
  <valueMetadata count="4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</valueMetadata>
</metadata>
</file>

<file path=xl/sharedStrings.xml><?xml version="1.0" encoding="utf-8"?>
<sst xmlns="http://schemas.openxmlformats.org/spreadsheetml/2006/main" count="6216" uniqueCount="1338">
  <si>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</si>
  <si>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</si>
  <si>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</si>
  <si>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</si>
  <si>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</si>
  <si>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</si>
  <si>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</si>
  <si>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</si>
  <si>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</si>
  <si>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</si>
  <si>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</si>
  <si>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</si>
  <si>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</si>
  <si>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</si>
  <si>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</si>
  <si>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</si>
  <si>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</si>
  <si>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</si>
  <si>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</si>
  <si>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</si>
  <si>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</si>
  <si>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</si>
  <si>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</si>
  <si>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</si>
  <si>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</si>
  <si>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</si>
  <si>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תעודות התחייבות ממשלתיות</t>
  </si>
  <si>
    <t>אחר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</si>
  <si>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</si>
  <si>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</si>
  <si>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</si>
  <si>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</si>
  <si>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</si>
  <si>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</si>
  <si>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</si>
  <si>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</si>
  <si>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</si>
  <si>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</si>
  <si>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</si>
  <si>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</si>
  <si>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</si>
  <si>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</si>
  <si>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</si>
  <si>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</si>
  <si>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</si>
  <si>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</si>
  <si>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</si>
  <si>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</si>
  <si>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</si>
  <si>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</si>
  <si>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</si>
  <si>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</si>
  <si>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</si>
  <si>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</si>
  <si>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</si>
  <si>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</si>
  <si>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</si>
  <si>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</si>
  <si>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</si>
  <si>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</si>
  <si>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</si>
  <si>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</si>
  <si>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</si>
  <si>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</si>
  <si>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</si>
  <si>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</si>
  <si>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</si>
  <si>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</si>
  <si>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</si>
  <si>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</si>
  <si>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</si>
  <si>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</si>
  <si>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</si>
  <si>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</si>
  <si>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</si>
  <si>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</si>
  <si>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</si>
  <si>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</si>
  <si>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</si>
  <si>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</si>
  <si>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</si>
  <si>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</si>
  <si>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</si>
  <si>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</si>
  <si>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</si>
  <si>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</si>
  <si>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</si>
  <si>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</si>
  <si>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</si>
  <si>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</si>
  <si>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</si>
  <si>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</si>
  <si>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</si>
  <si>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</si>
  <si>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</si>
  <si>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</si>
  <si>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</si>
  <si>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</si>
  <si>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</si>
  <si>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</si>
  <si>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</si>
  <si>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</si>
  <si>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</si>
  <si>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</si>
  <si>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</si>
  <si>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</si>
  <si>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</si>
  <si>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</si>
  <si>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</si>
  <si>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</si>
  <si>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</si>
  <si>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</si>
  <si>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</si>
  <si>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</si>
  <si>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</si>
  <si>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</si>
  <si>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</si>
  <si>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</si>
  <si>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</si>
  <si>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</si>
  <si>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</si>
  <si>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</si>
  <si>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</si>
  <si>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</si>
  <si>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</si>
  <si>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</si>
  <si>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</si>
  <si>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</si>
  <si>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</si>
  <si>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</si>
  <si>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</si>
  <si>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</si>
  <si>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</si>
  <si>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</si>
  <si>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</si>
  <si>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</si>
  <si>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</si>
  <si>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</si>
  <si>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</si>
  <si>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</si>
  <si>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</si>
  <si>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</si>
  <si>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</si>
  <si>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</si>
  <si>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</si>
  <si>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</si>
  <si>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</si>
  <si>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</si>
  <si>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</si>
  <si>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</si>
  <si>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</si>
  <si>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</si>
  <si>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</si>
  <si>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</si>
  <si>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</si>
  <si>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</si>
  <si>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</si>
  <si>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</si>
  <si>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</si>
  <si>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</si>
  <si>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</si>
  <si>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</si>
  <si>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</si>
  <si>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</si>
  <si>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</si>
  <si>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</si>
  <si>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</si>
  <si>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</si>
  <si>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</si>
  <si>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</si>
  <si>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</si>
  <si>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</si>
  <si>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</si>
  <si>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</si>
  <si>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</si>
  <si>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</si>
  <si>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</si>
  <si>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</si>
  <si>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</si>
  <si>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</si>
  <si>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</si>
  <si>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</si>
  <si>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</si>
  <si>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</si>
  <si>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</si>
  <si>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</si>
  <si>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</si>
  <si>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</si>
  <si>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</si>
  <si>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</si>
  <si>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</si>
  <si>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</si>
  <si>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</si>
  <si>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</si>
  <si>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</si>
  <si>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</si>
  <si>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</si>
  <si>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</si>
  <si>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</si>
  <si>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</si>
  <si>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</si>
  <si>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</si>
  <si>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</si>
  <si>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</si>
  <si>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</si>
  <si>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</si>
  <si>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</si>
  <si>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</si>
  <si>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</si>
  <si>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</si>
  <si>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</si>
  <si>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</si>
  <si>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</si>
  <si>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</si>
  <si>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</si>
  <si>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</si>
  <si>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</si>
  <si>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</si>
  <si>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</si>
  <si>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</si>
  <si>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</si>
  <si>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</si>
  <si>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</si>
  <si>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</si>
  <si>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</si>
  <si>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</si>
  <si>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</si>
  <si>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</si>
  <si>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</si>
  <si>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</si>
  <si>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</si>
  <si>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</si>
  <si>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</si>
  <si>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</si>
  <si>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</si>
  <si>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</si>
  <si>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</si>
  <si>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</si>
  <si>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</si>
  <si>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</si>
  <si>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</si>
  <si>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</si>
  <si>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</si>
  <si>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מדדים אחרים בישראל</t>
  </si>
  <si>
    <t>סה"כ שעוקבות אחר מדדים אחרים</t>
  </si>
  <si>
    <t>5. קרנות סל</t>
  </si>
  <si>
    <t>ענף משק</t>
  </si>
  <si>
    <t>31/03/2020</t>
  </si>
  <si>
    <t>מגדל מקפת קרנות פנסיה וקופות גמל בע"מ</t>
  </si>
  <si>
    <t>מגדל מקפת אישית (מספר אוצר 162) - מסלול אג"ח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</si>
  <si>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</si>
  <si>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</si>
  <si>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</si>
  <si>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</si>
  <si>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</si>
  <si>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</si>
  <si>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</si>
  <si>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</si>
  <si>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</si>
  <si>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</si>
  <si>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</si>
  <si>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</si>
  <si>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</si>
  <si>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</si>
  <si>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</si>
  <si>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</si>
  <si>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</si>
  <si>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</si>
  <si>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</si>
  <si>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</si>
  <si>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</si>
  <si>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</si>
  <si>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</si>
  <si>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</si>
  <si>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</si>
  <si>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</si>
  <si>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</si>
  <si>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</si>
  <si>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</si>
  <si>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</si>
  <si>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</si>
  <si>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</si>
  <si>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</si>
  <si>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420</t>
  </si>
  <si>
    <t>8200420</t>
  </si>
  <si>
    <t>מקמ 510</t>
  </si>
  <si>
    <t>8200511</t>
  </si>
  <si>
    <t>מקמ 610</t>
  </si>
  <si>
    <t>8200610</t>
  </si>
  <si>
    <t>מקמ 810</t>
  </si>
  <si>
    <t>8200818</t>
  </si>
  <si>
    <t>מקמ 910</t>
  </si>
  <si>
    <t>8200917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</si>
  <si>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</si>
  <si>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</si>
  <si>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</si>
  <si>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</si>
  <si>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</si>
  <si>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</si>
  <si>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</si>
  <si>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</si>
  <si>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</si>
  <si>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</si>
  <si>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</si>
  <si>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</si>
  <si>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</si>
  <si>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</si>
  <si>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</si>
  <si>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</si>
  <si>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</si>
  <si>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</si>
  <si>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</si>
  <si>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</si>
  <si>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</si>
  <si>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</si>
  <si>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</si>
  <si>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</si>
  <si>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</si>
  <si>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</si>
  <si>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</si>
  <si>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</si>
  <si>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</si>
  <si>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</si>
  <si>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</si>
  <si>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</si>
  <si>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</si>
  <si>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</si>
  <si>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אלה פקדונות אגח ב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</si>
  <si>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</si>
  <si>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</si>
  <si>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</si>
  <si>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</si>
  <si>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</si>
  <si>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</si>
  <si>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דקאהנ.ק7</t>
  </si>
  <si>
    <t>520019753</t>
  </si>
  <si>
    <t>בנקים</t>
  </si>
  <si>
    <t>דקסיה ישראל אגח ב</t>
  </si>
  <si>
    <t>דקסיה ישראל הנפקות סד י</t>
  </si>
  <si>
    <t>הבינלאומי אגח י</t>
  </si>
  <si>
    <t>513141879</t>
  </si>
  <si>
    <t>Aaa.il</t>
  </si>
  <si>
    <t>הבינלאומי סדרה ט</t>
  </si>
  <si>
    <t>לאומי אגח 177</t>
  </si>
  <si>
    <t>520018078</t>
  </si>
  <si>
    <t>לאומי אגח 179</t>
  </si>
  <si>
    <t>מזרחי הנפקות 38</t>
  </si>
  <si>
    <t>520000522</t>
  </si>
  <si>
    <t>מזרחי הנפקות 43</t>
  </si>
  <si>
    <t>מזרחי הנפקות 44</t>
  </si>
  <si>
    <t>מזרחי הנפקות 45</t>
  </si>
  <si>
    <t>מזרחי הנפקות 46</t>
  </si>
  <si>
    <t>מזרחי הנפקות 49</t>
  </si>
  <si>
    <t>מזרחי הנפקות 51</t>
  </si>
  <si>
    <t>מזרחי הנפקות אגח 42</t>
  </si>
  <si>
    <t>מניבים ריט אגח ב</t>
  </si>
  <si>
    <t>515327120</t>
  </si>
  <si>
    <t>מקורות אגח 10</t>
  </si>
  <si>
    <t>520010869</t>
  </si>
  <si>
    <t>מקורות אגח 11</t>
  </si>
  <si>
    <t>פועלים הנפקות אגח 32</t>
  </si>
  <si>
    <t>520000118</t>
  </si>
  <si>
    <t>פועלים הנפקות אגח 33</t>
  </si>
  <si>
    <t>פועלים הנפקות אגח 34</t>
  </si>
  <si>
    <t>פועלים הנפקות אגח 35</t>
  </si>
  <si>
    <t>פועלים הנפקות אגח 36</t>
  </si>
  <si>
    <t>בינל הנפק התח כ</t>
  </si>
  <si>
    <t>Aa1.il</t>
  </si>
  <si>
    <t>בינלאומי הנפקות התחייבות אגח ד</t>
  </si>
  <si>
    <t>דיסק התחייבות י</t>
  </si>
  <si>
    <t>520007030</t>
  </si>
  <si>
    <t>דסקמנ.ק4</t>
  </si>
  <si>
    <t>וילאר אג 6</t>
  </si>
  <si>
    <t>520038910</t>
  </si>
  <si>
    <t>ilAA+</t>
  </si>
  <si>
    <t>לאומי מימון הת יד</t>
  </si>
  <si>
    <t>נמלי ישראל אגח א</t>
  </si>
  <si>
    <t>513569780</t>
  </si>
  <si>
    <t>נמלי ישראל אגח ב</t>
  </si>
  <si>
    <t>נתיבי גז אגח ד</t>
  </si>
  <si>
    <t>513436394</t>
  </si>
  <si>
    <t>עזריאלי אגח ב</t>
  </si>
  <si>
    <t>510960719</t>
  </si>
  <si>
    <t>עזריאלי אגח ד</t>
  </si>
  <si>
    <t>עזריאלי אגח ה</t>
  </si>
  <si>
    <t>עזריאלי אגח ו</t>
  </si>
  <si>
    <t>פועלים הנפקות אגח י</t>
  </si>
  <si>
    <t>פועלים הנפקות התח אגח טו</t>
  </si>
  <si>
    <t>פועלים הנפקות התח אגח יד</t>
  </si>
  <si>
    <t>אירפורט אגח ה</t>
  </si>
  <si>
    <t>511659401</t>
  </si>
  <si>
    <t>ilAA</t>
  </si>
  <si>
    <t>אירפורט אגח ז</t>
  </si>
  <si>
    <t>אירפורט אגח ט</t>
  </si>
  <si>
    <t>אמות אגח ב</t>
  </si>
  <si>
    <t>520026683</t>
  </si>
  <si>
    <t>Aa2.il</t>
  </si>
  <si>
    <t>אמות אגח ג</t>
  </si>
  <si>
    <t>אמות אגח ד</t>
  </si>
  <si>
    <t>אמות אגח ו</t>
  </si>
  <si>
    <t>ביג אגח יא</t>
  </si>
  <si>
    <t>513623314</t>
  </si>
  <si>
    <t>ביג אגח יג</t>
  </si>
  <si>
    <t>ביג אגח יד</t>
  </si>
  <si>
    <t>בנק לאומי שה סדרה 200</t>
  </si>
  <si>
    <t>גב ים     ו*</t>
  </si>
  <si>
    <t>520001736</t>
  </si>
  <si>
    <t>גב ים אגח ט*</t>
  </si>
  <si>
    <t>הראל הנפקות אגח א</t>
  </si>
  <si>
    <t>520033986</t>
  </si>
  <si>
    <t>ביטוח</t>
  </si>
  <si>
    <t>חשמל אגח 27</t>
  </si>
  <si>
    <t>520000472</t>
  </si>
  <si>
    <t>אנרגיה</t>
  </si>
  <si>
    <t>חשמל אגח 29</t>
  </si>
  <si>
    <t>חשמל אגח 31</t>
  </si>
  <si>
    <t>ישרס אגח טו</t>
  </si>
  <si>
    <t>520017807</t>
  </si>
  <si>
    <t>ישרס יח</t>
  </si>
  <si>
    <t>כללביט אגח א</t>
  </si>
  <si>
    <t>513754069</t>
  </si>
  <si>
    <t>לאומי COCO סדרה 401</t>
  </si>
  <si>
    <t>לאומי COCO סדרה 402</t>
  </si>
  <si>
    <t>לאומי COCO סדרה 403</t>
  </si>
  <si>
    <t>לאומי COCO סדרה 404</t>
  </si>
  <si>
    <t>למן.ק300</t>
  </si>
  <si>
    <t>מבני תעשיה אגח יח</t>
  </si>
  <si>
    <t>520024126</t>
  </si>
  <si>
    <t>מליסרון   אגח ה*</t>
  </si>
  <si>
    <t>520037789</t>
  </si>
  <si>
    <t>מליסרון 8*</t>
  </si>
  <si>
    <t>מליסרון אגח טז*</t>
  </si>
  <si>
    <t>מליסרון אגח י*</t>
  </si>
  <si>
    <t>מליסרון אגח יד*</t>
  </si>
  <si>
    <t>מליסרון אגח יח*</t>
  </si>
  <si>
    <t>פועלים הנפקות שה 1</t>
  </si>
  <si>
    <t>ריט 1 אגח 6*</t>
  </si>
  <si>
    <t>513821488</t>
  </si>
  <si>
    <t>ריט1 אגח ד*</t>
  </si>
  <si>
    <t>ריט1 אגח ה*</t>
  </si>
  <si>
    <t>שופרסל אגח ד*</t>
  </si>
  <si>
    <t>520022732</t>
  </si>
  <si>
    <t>שופרסל אגח ו*</t>
  </si>
  <si>
    <t>אדמה לשעבר מכתשים אגן ב</t>
  </si>
  <si>
    <t>520043605</t>
  </si>
  <si>
    <t>כימיה גומי ופלסטיק</t>
  </si>
  <si>
    <t>ilAA-</t>
  </si>
  <si>
    <t>בזק סדרה ו</t>
  </si>
  <si>
    <t>520031931</t>
  </si>
  <si>
    <t>בזק סדרה י</t>
  </si>
  <si>
    <t>ביג 5</t>
  </si>
  <si>
    <t>Aa3.il</t>
  </si>
  <si>
    <t>ביג אגח ז</t>
  </si>
  <si>
    <t>ביג אגח ח</t>
  </si>
  <si>
    <t>ביג אגח ט</t>
  </si>
  <si>
    <t>ביג אגח טו</t>
  </si>
  <si>
    <t>ביג אגח יב</t>
  </si>
  <si>
    <t>בינל הנפק התח כב (COCO)</t>
  </si>
  <si>
    <t>בינלאומי הנפ התח כג (coco)</t>
  </si>
  <si>
    <t>בינלאומי הנפ התח כד (coco)</t>
  </si>
  <si>
    <t>גזית גלוב אגח יב</t>
  </si>
  <si>
    <t>520033234</t>
  </si>
  <si>
    <t>גזית גלוב אגח יג</t>
  </si>
  <si>
    <t>דיסקונט מנ שה</t>
  </si>
  <si>
    <t>דיסקונט מנפיקים ו COCO</t>
  </si>
  <si>
    <t>הראל הנפקות 6</t>
  </si>
  <si>
    <t>הראל הנפקות אגח ד</t>
  </si>
  <si>
    <t>הראל הנפקות אגח ה</t>
  </si>
  <si>
    <t>הראל הנפקות ז</t>
  </si>
  <si>
    <t>ירושלים הנפקות אגח ט</t>
  </si>
  <si>
    <t>520025636</t>
  </si>
  <si>
    <t>ישרס אגח טז</t>
  </si>
  <si>
    <t>ישרס אגח יג</t>
  </si>
  <si>
    <t>כללביט אגח ט</t>
  </si>
  <si>
    <t>מבני תעש אגח כ</t>
  </si>
  <si>
    <t>מבני תעשיה אגח יז</t>
  </si>
  <si>
    <t>מגה אור אגח ח</t>
  </si>
  <si>
    <t>513257873</t>
  </si>
  <si>
    <t>מזרחי 48 COCO</t>
  </si>
  <si>
    <t>מזרחי COCO 47</t>
  </si>
  <si>
    <t>מזרחי הנפקות Coco 50</t>
  </si>
  <si>
    <t>מזרחי טפחות שטר הון 1</t>
  </si>
  <si>
    <t>מליסרון אגח ו*</t>
  </si>
  <si>
    <t>מליסרון אגח יא*</t>
  </si>
  <si>
    <t>מליסרון אגח יג*</t>
  </si>
  <si>
    <t>מליסרון אגח יז*</t>
  </si>
  <si>
    <t>מנורה הון אגח 1</t>
  </si>
  <si>
    <t>520007469</t>
  </si>
  <si>
    <t>סלע קפיטל נדלן אגח ג</t>
  </si>
  <si>
    <t>513992529</t>
  </si>
  <si>
    <t>סלע קפיטל נדלן ב</t>
  </si>
  <si>
    <t>פועלים הנפקות יח COCO</t>
  </si>
  <si>
    <t>פועלים הנפקות כ COCO</t>
  </si>
  <si>
    <t>פועלים הנפקות סדרה יט COCO</t>
  </si>
  <si>
    <t>פז נפט סדרה ו*</t>
  </si>
  <si>
    <t>510216054</t>
  </si>
  <si>
    <t>פז נפט סדרה ז*</t>
  </si>
  <si>
    <t>פניקס הון אגח ה</t>
  </si>
  <si>
    <t>520017450</t>
  </si>
  <si>
    <t>ריבוע נדלן ז</t>
  </si>
  <si>
    <t>513765859</t>
  </si>
  <si>
    <t>שלמה אחזקות אגח טז</t>
  </si>
  <si>
    <t>520034372</t>
  </si>
  <si>
    <t>שלמה אחזקות אגח יח</t>
  </si>
  <si>
    <t>אגוד הנפקות  יט*</t>
  </si>
  <si>
    <t>520018649</t>
  </si>
  <si>
    <t>A1.il</t>
  </si>
  <si>
    <t>אלדן אגח ה</t>
  </si>
  <si>
    <t>510454333</t>
  </si>
  <si>
    <t>ilA+</t>
  </si>
  <si>
    <t>אלדן סדרה ד</t>
  </si>
  <si>
    <t>גירון אגח 6</t>
  </si>
  <si>
    <t>520044520</t>
  </si>
  <si>
    <t>גירון אגח ז</t>
  </si>
  <si>
    <t>מבני תעשיה אגח כא</t>
  </si>
  <si>
    <t>מבני תעשיה אגח כג</t>
  </si>
  <si>
    <t>מבני תעשיה אגח כד</t>
  </si>
  <si>
    <t>רבוע נדלן 4</t>
  </si>
  <si>
    <t>אגוד הנפקות שה נד 1*</t>
  </si>
  <si>
    <t>A2.il</t>
  </si>
  <si>
    <t>אזורים סדרה 9*</t>
  </si>
  <si>
    <t>520025990</t>
  </si>
  <si>
    <t>בנייה</t>
  </si>
  <si>
    <t>אשדר אגח א</t>
  </si>
  <si>
    <t>510609761</t>
  </si>
  <si>
    <t>ilA</t>
  </si>
  <si>
    <t>דיסקונט שטר הון 1</t>
  </si>
  <si>
    <t>ירושלים הנפקות נדחה אגח י</t>
  </si>
  <si>
    <t>מגה אור אגח ד</t>
  </si>
  <si>
    <t>מגה אור אגח ו</t>
  </si>
  <si>
    <t>מגה אור אגח ז</t>
  </si>
  <si>
    <t>מגה אור אגח ט</t>
  </si>
  <si>
    <t>סלקום אגח ח</t>
  </si>
  <si>
    <t>511930125</t>
  </si>
  <si>
    <t>אדגר אגח ט</t>
  </si>
  <si>
    <t>520035171</t>
  </si>
  <si>
    <t>A3.il</t>
  </si>
  <si>
    <t>אפריקה נכסים 6</t>
  </si>
  <si>
    <t>510560188</t>
  </si>
  <si>
    <t>בזן.ק1</t>
  </si>
  <si>
    <t>520036658</t>
  </si>
  <si>
    <t>ilA-</t>
  </si>
  <si>
    <t>דה לסר אגח 3</t>
  </si>
  <si>
    <t>1427976</t>
  </si>
  <si>
    <t>דה לסר אגח ד</t>
  </si>
  <si>
    <t>קרדן אןוי אגח ב</t>
  </si>
  <si>
    <t>NV1239114</t>
  </si>
  <si>
    <t>השקעה ואחזקות</t>
  </si>
  <si>
    <t>ilD</t>
  </si>
  <si>
    <t>מניבים ריט אגח א</t>
  </si>
  <si>
    <t>NR</t>
  </si>
  <si>
    <t>דיסקונט מנפיקים אגח יג</t>
  </si>
  <si>
    <t>דיסקונט מנפיקים אגח יד</t>
  </si>
  <si>
    <t>דקסיה ישראל הנפקות אגח יא</t>
  </si>
  <si>
    <t>מזרחי הנפקות 40</t>
  </si>
  <si>
    <t>מזרחי הנפקות 41</t>
  </si>
  <si>
    <t>מרכנתיל אגח ב</t>
  </si>
  <si>
    <t>513686154</t>
  </si>
  <si>
    <t>עמידר אגח א</t>
  </si>
  <si>
    <t>520017393</t>
  </si>
  <si>
    <t>אלביט א</t>
  </si>
  <si>
    <t>520043027</t>
  </si>
  <si>
    <t>ביטחוניות</t>
  </si>
  <si>
    <t>דיסקונט התחייבות יא</t>
  </si>
  <si>
    <t>נמלי ישראל אגח ג</t>
  </si>
  <si>
    <t>פועלים הנפקות התח אגח יא</t>
  </si>
  <si>
    <t>שטראוס אגח ה</t>
  </si>
  <si>
    <t>520003781</t>
  </si>
  <si>
    <t>מזון</t>
  </si>
  <si>
    <t>אמות אגח ה</t>
  </si>
  <si>
    <t>אמות אגח ז</t>
  </si>
  <si>
    <t>בנק לאומי שה סדרה 201</t>
  </si>
  <si>
    <t>גב ים ח*</t>
  </si>
  <si>
    <t>1744984</t>
  </si>
  <si>
    <t>חשמל אגח 26</t>
  </si>
  <si>
    <t>חשמל אגח 28</t>
  </si>
  <si>
    <t>ישראכרט א*</t>
  </si>
  <si>
    <t>510706153</t>
  </si>
  <si>
    <t>כיל אגח ז</t>
  </si>
  <si>
    <t>520027830</t>
  </si>
  <si>
    <t>כיל ה</t>
  </si>
  <si>
    <t>לאומי כ.התחייבות 400  COCO</t>
  </si>
  <si>
    <t>סילברסטין אגח א*</t>
  </si>
  <si>
    <t>1970336</t>
  </si>
  <si>
    <t>שופרסל אגח ה*</t>
  </si>
  <si>
    <t>תעשיה אוירית אגח ג</t>
  </si>
  <si>
    <t>520027194</t>
  </si>
  <si>
    <t>תעשיה אוירית אגח ד</t>
  </si>
  <si>
    <t>בזק סדרה ט</t>
  </si>
  <si>
    <t>ביג אג"ח סדרה ו</t>
  </si>
  <si>
    <t>דה זראסאי אגח ג</t>
  </si>
  <si>
    <t>דיסקונט התח יב  COCO</t>
  </si>
  <si>
    <t>הראל הנפקות אגח טו</t>
  </si>
  <si>
    <t>הראל הנפקות אגח יד</t>
  </si>
  <si>
    <t>הראל הנפקות טז</t>
  </si>
  <si>
    <t>הראל הנפקות יב</t>
  </si>
  <si>
    <t>הראל הנפקות יג</t>
  </si>
  <si>
    <t>ישרס אגח יד</t>
  </si>
  <si>
    <t>כללביט אגח י</t>
  </si>
  <si>
    <t>כללביט אגח יא</t>
  </si>
  <si>
    <t>מבני תעשייה אגח טו</t>
  </si>
  <si>
    <t>מבני תעשייה אגח טז</t>
  </si>
  <si>
    <t>מנורה הון הת 4</t>
  </si>
  <si>
    <t>פז נפט אגח ח*</t>
  </si>
  <si>
    <t>פז נפט ד*</t>
  </si>
  <si>
    <t>פז נפט ה*</t>
  </si>
  <si>
    <t>פניקס הון אגח ד</t>
  </si>
  <si>
    <t>פניקס הון אגח ח</t>
  </si>
  <si>
    <t>פניקס הון אגח ט</t>
  </si>
  <si>
    <t>פניקס הון אגח יא</t>
  </si>
  <si>
    <t>קרסו אגח א</t>
  </si>
  <si>
    <t>514065283</t>
  </si>
  <si>
    <t>קרסו אגח ג</t>
  </si>
  <si>
    <t>שלמה אחזקות אגח יז</t>
  </si>
  <si>
    <t>אלבר 14</t>
  </si>
  <si>
    <t>512025891</t>
  </si>
  <si>
    <t>אלדן אגח ו</t>
  </si>
  <si>
    <t>אלדן סדרה א</t>
  </si>
  <si>
    <t>אלדן סדרה ב</t>
  </si>
  <si>
    <t>אלדן סדרה ג</t>
  </si>
  <si>
    <t>אלקטרה אגח ד*</t>
  </si>
  <si>
    <t>520028911</t>
  </si>
  <si>
    <t>אלקטרה אגח ה*</t>
  </si>
  <si>
    <t>יוניברסל אגח ב</t>
  </si>
  <si>
    <t>511809071</t>
  </si>
  <si>
    <t>לייטסטון אגח א</t>
  </si>
  <si>
    <t>1838682</t>
  </si>
  <si>
    <t>ממן אגח ב</t>
  </si>
  <si>
    <t>520036435</t>
  </si>
  <si>
    <t>מנורה הון הת 5</t>
  </si>
  <si>
    <t>ספנסר ג</t>
  </si>
  <si>
    <t>1838863</t>
  </si>
  <si>
    <t>פרטנר     ד</t>
  </si>
  <si>
    <t>520044314</t>
  </si>
  <si>
    <t>פרטנר ו</t>
  </si>
  <si>
    <t>פתאל אגח ב*</t>
  </si>
  <si>
    <t>512607888</t>
  </si>
  <si>
    <t>מלונאות ותיירות</t>
  </si>
  <si>
    <t>פתאל אגח ג*</t>
  </si>
  <si>
    <t>קרסו אגח ב</t>
  </si>
  <si>
    <t>שפיר אגח ב*</t>
  </si>
  <si>
    <t>514892801</t>
  </si>
  <si>
    <t>מתכת ומוצרי בניה</t>
  </si>
  <si>
    <t>שפיר הנדסה אגח א*</t>
  </si>
  <si>
    <t>אגוד הנפקות שה נד 2*</t>
  </si>
  <si>
    <t>אול יר אגח 3</t>
  </si>
  <si>
    <t>1841580</t>
  </si>
  <si>
    <t>אול יר אגח ה</t>
  </si>
  <si>
    <t>איי די איי הנפקות 4</t>
  </si>
  <si>
    <t>513910703</t>
  </si>
  <si>
    <t>איי די איי הנפקות 5</t>
  </si>
  <si>
    <t>אנרג'יקס אגח א*</t>
  </si>
  <si>
    <t>513901371</t>
  </si>
  <si>
    <t>סלקום אגח ט</t>
  </si>
  <si>
    <t>סלקום אגח יב</t>
  </si>
  <si>
    <t>סלקום יא</t>
  </si>
  <si>
    <t>או.פי.סי אגח א*</t>
  </si>
  <si>
    <t>514401702</t>
  </si>
  <si>
    <t>אנלייט אגח ו*</t>
  </si>
  <si>
    <t>520041146</t>
  </si>
  <si>
    <t>בזן אגח 4</t>
  </si>
  <si>
    <t>בזן אגח ה</t>
  </si>
  <si>
    <t>בזן אגח י</t>
  </si>
  <si>
    <t>דלשה קפיטל אגח ב</t>
  </si>
  <si>
    <t>1888119</t>
  </si>
  <si>
    <t>טן דלק ג</t>
  </si>
  <si>
    <t>511540809</t>
  </si>
  <si>
    <t>ilBBB+</t>
  </si>
  <si>
    <t>LUMIIT 3.275 01/31 01/26</t>
  </si>
  <si>
    <t>Baa2</t>
  </si>
  <si>
    <t>Moodys</t>
  </si>
  <si>
    <t>רילייטד אגח א</t>
  </si>
  <si>
    <t>1849766</t>
  </si>
  <si>
    <t>ilBBB</t>
  </si>
  <si>
    <t>אנלייט אגח ה*</t>
  </si>
  <si>
    <t>ישראמקו א*</t>
  </si>
  <si>
    <t>550010003</t>
  </si>
  <si>
    <t>דלק קידוחים אגח א*</t>
  </si>
  <si>
    <t>550013098</t>
  </si>
  <si>
    <t>תמר פטרוליום אגח א*</t>
  </si>
  <si>
    <t>515334662</t>
  </si>
  <si>
    <t>תמר פטרוליום אגח ב*</t>
  </si>
  <si>
    <t>בזן אגח ו</t>
  </si>
  <si>
    <t>בזן אגח ט</t>
  </si>
  <si>
    <t>DELEK &amp; AVNER TAMAR 5.082 2023</t>
  </si>
  <si>
    <t>IL0011321747</t>
  </si>
  <si>
    <t>בלומברג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</si>
  <si>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</si>
  <si>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</si>
  <si>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</si>
  <si>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</si>
  <si>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</si>
  <si>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</si>
  <si>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</t>
  </si>
  <si>
    <t>IL0028103310</t>
  </si>
  <si>
    <t>TEVA 6 01/25 10/24</t>
  </si>
  <si>
    <t>XS2083962691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</si>
  <si>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</si>
  <si>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</si>
  <si>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</si>
  <si>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</si>
  <si>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</si>
  <si>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</si>
  <si>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</si>
  <si>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INTEL 4.75 03/50</t>
  </si>
  <si>
    <t>US458140BM12</t>
  </si>
  <si>
    <t>Semiconductors &amp; Semiconductor Equipment</t>
  </si>
  <si>
    <t>INTEL 4.95 03/60</t>
  </si>
  <si>
    <t>US458140BN94</t>
  </si>
  <si>
    <t>Coca Cola 4.2 03/50</t>
  </si>
  <si>
    <t>US191216CQ13</t>
  </si>
  <si>
    <t>Food Beverage &amp; Tobacco</t>
  </si>
  <si>
    <t>A</t>
  </si>
  <si>
    <t>Walt Disney 4.7 03/2050</t>
  </si>
  <si>
    <t>US254687FS06</t>
  </si>
  <si>
    <t>Media</t>
  </si>
  <si>
    <t>BAXTER INTER 3.95 04/30</t>
  </si>
  <si>
    <t>US071813BW82</t>
  </si>
  <si>
    <t>Health Care Equipment &amp; Services</t>
  </si>
  <si>
    <t>A-</t>
  </si>
  <si>
    <t>COSCAST 3.75 04/40</t>
  </si>
  <si>
    <t>US20030NDH17</t>
  </si>
  <si>
    <t>SRENVX 4.5 24/44</t>
  </si>
  <si>
    <t>XS1108784510</t>
  </si>
  <si>
    <t>Insurance</t>
  </si>
  <si>
    <t>ZURNVX 5.125 06/48</t>
  </si>
  <si>
    <t>XS1795323952</t>
  </si>
  <si>
    <t>NAB 3.933 08/2034 08/29</t>
  </si>
  <si>
    <t>USG6S94TAB96</t>
  </si>
  <si>
    <t>Banks</t>
  </si>
  <si>
    <t>BBB+</t>
  </si>
  <si>
    <t>WESTPAC BANKING 4.11 07/34 07/29</t>
  </si>
  <si>
    <t>US961214EF61</t>
  </si>
  <si>
    <t>ABBVIE 4.45 05/46 06/46</t>
  </si>
  <si>
    <t>US00287YAW93</t>
  </si>
  <si>
    <t>ABIBB 5.55 01/49</t>
  </si>
  <si>
    <t>US03523TBV98</t>
  </si>
  <si>
    <t>BBB</t>
  </si>
  <si>
    <t>AT&amp;T 4.55 03/49 09/48</t>
  </si>
  <si>
    <t>US00206RDK59</t>
  </si>
  <si>
    <t>TELECOMMUNICATION SERVICES</t>
  </si>
  <si>
    <t>COMMONWEALTH BANK 3.61 9/34</t>
  </si>
  <si>
    <t>USQ2704MAA64</t>
  </si>
  <si>
    <t>CREDIT SUISSE 6.5 08/23</t>
  </si>
  <si>
    <t>XS0957135212</t>
  </si>
  <si>
    <t>FEDEX 5.1 01/44</t>
  </si>
  <si>
    <t>US31428XAW65</t>
  </si>
  <si>
    <t>Transportation</t>
  </si>
  <si>
    <t>PRU 4.5 PRUDENTIAL 09/47</t>
  </si>
  <si>
    <t>US744320AW24</t>
  </si>
  <si>
    <t>SRENVX 5.75 08/15/50 08/25</t>
  </si>
  <si>
    <t>XS1261170515</t>
  </si>
  <si>
    <t>AFLAC 3.6 04/30</t>
  </si>
  <si>
    <t>US001055BJ00</t>
  </si>
  <si>
    <t>ASHTEAD CAPITAL 4.25 11/29 11/27</t>
  </si>
  <si>
    <t>US045054AL70</t>
  </si>
  <si>
    <t>Other</t>
  </si>
  <si>
    <t>ASHTEAD CAPITAL 5.25 08/26 08/24</t>
  </si>
  <si>
    <t>US045054AH68</t>
  </si>
  <si>
    <t>AVGO 4.75 04/29</t>
  </si>
  <si>
    <t>US11135FAB76</t>
  </si>
  <si>
    <t>CROWN CASTLE 3.3 07/30</t>
  </si>
  <si>
    <t>US22822VAR24</t>
  </si>
  <si>
    <t>Real Estate</t>
  </si>
  <si>
    <t>DELL 5.3 01/29</t>
  </si>
  <si>
    <t>US24703DBA81</t>
  </si>
  <si>
    <t>Technology Hardware &amp; Equipment</t>
  </si>
  <si>
    <t>ETP 5.25 04/29</t>
  </si>
  <si>
    <t>US29278NAG88</t>
  </si>
  <si>
    <t>FSK 4.125 02/25</t>
  </si>
  <si>
    <t>US302635AE72</t>
  </si>
  <si>
    <t>Diversified Financials</t>
  </si>
  <si>
    <t>GOLDMAN SACHS 3.75 02/25 01/25</t>
  </si>
  <si>
    <t>US38147UAC18</t>
  </si>
  <si>
    <t>MERCK 2.875 06/29 06/79</t>
  </si>
  <si>
    <t>XS2011260705</t>
  </si>
  <si>
    <t>Pharmaceuticals &amp; Biotechnology</t>
  </si>
  <si>
    <t>Baa3</t>
  </si>
  <si>
    <t>MOLSON COORS 4.2 07/46 01/46</t>
  </si>
  <si>
    <t>US60871RAH30</t>
  </si>
  <si>
    <t>MOTOROLA SOLUTIONS 4.6 05/29 02/29</t>
  </si>
  <si>
    <t>US620076BN89</t>
  </si>
  <si>
    <t>NXP SEMICON 4.3 06/29</t>
  </si>
  <si>
    <t>US62954HAB42</t>
  </si>
  <si>
    <t>OWL ROCK 3.75 07/25</t>
  </si>
  <si>
    <t>US69121KAC80</t>
  </si>
  <si>
    <t>SYSCO CORP 5.95 04/30</t>
  </si>
  <si>
    <t>US871829BL07</t>
  </si>
  <si>
    <t>Food &amp; Staples Retailing</t>
  </si>
  <si>
    <t>TRPCN 5.3 03/77</t>
  </si>
  <si>
    <t>US89356BAC28</t>
  </si>
  <si>
    <t>UTILITIES</t>
  </si>
  <si>
    <t>TRPCN 5.875 08/76</t>
  </si>
  <si>
    <t>US89356BAB45</t>
  </si>
  <si>
    <t>VW 4.625 PERP 06/28</t>
  </si>
  <si>
    <t>XS1799939027</t>
  </si>
  <si>
    <t>Automobiles &amp; Components</t>
  </si>
  <si>
    <t>BAYNGR 3.125 11/79 11/27</t>
  </si>
  <si>
    <t>XS2077670342</t>
  </si>
  <si>
    <t>BB+</t>
  </si>
  <si>
    <t>CHCOCH 3.7 11/29</t>
  </si>
  <si>
    <t>US16412XAH89</t>
  </si>
  <si>
    <t>Ba1</t>
  </si>
  <si>
    <t>CHCOCH 7 6/30/24</t>
  </si>
  <si>
    <t>US16412XAD75</t>
  </si>
  <si>
    <t>CHENIERE CORPUS 5.125 06/27</t>
  </si>
  <si>
    <t>US16412XAG07</t>
  </si>
  <si>
    <t>CNC 4.625 12/29</t>
  </si>
  <si>
    <t>US15135BAS07</t>
  </si>
  <si>
    <t>CTXS 4.5 12/27</t>
  </si>
  <si>
    <t>US177376AE06</t>
  </si>
  <si>
    <t>ENBCN 6 01/27 01/77</t>
  </si>
  <si>
    <t>US29250NAN57</t>
  </si>
  <si>
    <t>HESM 5.125 06/28</t>
  </si>
  <si>
    <t>US428104AA14</t>
  </si>
  <si>
    <t>HOLCIM FIN 3 07/24</t>
  </si>
  <si>
    <t>XS1713466495</t>
  </si>
  <si>
    <t>MATERIALS</t>
  </si>
  <si>
    <t>PETROLEOS MEXICANOS 6.49 1/27 11/26</t>
  </si>
  <si>
    <t>USP78625DW03</t>
  </si>
  <si>
    <t>RBS 3.754 11/01/29 11/24</t>
  </si>
  <si>
    <t>US780097BM20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</si>
  <si>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</si>
  <si>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</si>
  <si>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</si>
  <si>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</si>
  <si>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</si>
  <si>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</si>
  <si>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</si>
  <si>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</si>
  <si>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</si>
  <si>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</si>
  <si>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</si>
  <si>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</si>
  <si>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</si>
  <si>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EDF 3  PERP</t>
  </si>
  <si>
    <t>FR0013464922</t>
  </si>
  <si>
    <t>EDF 6 PREP 01/26</t>
  </si>
  <si>
    <t>FR0011401728</t>
  </si>
  <si>
    <t>Electricite De Franc 5 01/26</t>
  </si>
  <si>
    <t>FR0011697028</t>
  </si>
  <si>
    <t>MSCI 3.625 09/30 03/28</t>
  </si>
  <si>
    <t>US55354GAK67</t>
  </si>
  <si>
    <t>Ba2</t>
  </si>
  <si>
    <t>ALLISON TRANSM 5 10/24 10/21</t>
  </si>
  <si>
    <t>US019736AD97</t>
  </si>
  <si>
    <t>Ba3</t>
  </si>
  <si>
    <t>Century Link 4 02/27 02/25</t>
  </si>
  <si>
    <t>US156700BC99</t>
  </si>
  <si>
    <t>HCA 5.875 02/29</t>
  </si>
  <si>
    <t>US404119BW86</t>
  </si>
  <si>
    <t>NGLS 6.5 07/27</t>
  </si>
  <si>
    <t>US87612BBL53</t>
  </si>
  <si>
    <t>NGLS 6.875 01/29</t>
  </si>
  <si>
    <t>US87612BBN10</t>
  </si>
  <si>
    <t>SIRIUS 4.625 07/24</t>
  </si>
  <si>
    <t>US82967NBE76</t>
  </si>
  <si>
    <t>Commercial &amp; Professional Services</t>
  </si>
  <si>
    <t>SIRIUS XM 4.625 05/23 05/18</t>
  </si>
  <si>
    <t>US82967NAL29</t>
  </si>
  <si>
    <t>UNITED RENTALS NORTH 4 07/30</t>
  </si>
  <si>
    <t>US911365BN33</t>
  </si>
  <si>
    <t>Capital Goods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</si>
  <si>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</si>
  <si>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</si>
  <si>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</si>
  <si>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</si>
  <si>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</si>
  <si>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</si>
  <si>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</si>
  <si>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B</t>
  </si>
  <si>
    <t>AIA GROUP 3.375 04/30</t>
  </si>
  <si>
    <t>US00131LAJ44</t>
  </si>
  <si>
    <t>ANHEUSER BUSCH 3.7 04/40</t>
  </si>
  <si>
    <t>BE6320936287</t>
  </si>
  <si>
    <t>FS KKR CAPITAL 4.25 2/25 01/25</t>
  </si>
  <si>
    <t>US30313RAA77</t>
  </si>
  <si>
    <t>GENERAL DYNAMICS 4.25 04/50</t>
  </si>
  <si>
    <t>US369550BJ68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</si>
  <si>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</si>
  <si>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</si>
  <si>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</si>
  <si>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</si>
  <si>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</si>
  <si>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</si>
  <si>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Oracle 3.85 04/60</t>
  </si>
  <si>
    <t>US68389XBY04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</si>
  <si>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</si>
  <si>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</si>
  <si>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</si>
  <si>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</si>
  <si>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</si>
  <si>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</si>
  <si>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</si>
  <si>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</si>
  <si>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</si>
  <si>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</si>
  <si>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</si>
  <si>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</si>
  <si>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513464289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</si>
  <si>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</si>
  <si>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</si>
  <si>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</si>
  <si>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</si>
  <si>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</si>
  <si>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</si>
  <si>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</si>
  <si>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</si>
  <si>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520041989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</si>
  <si>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</si>
  <si>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</si>
  <si>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</si>
  <si>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</si>
  <si>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</si>
  <si>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</si>
  <si>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</si>
  <si>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</si>
  <si>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513540310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</si>
  <si>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</si>
  <si>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</si>
  <si>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</si>
  <si>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</si>
  <si>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</si>
  <si>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</si>
  <si>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</si>
  <si>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</si>
  <si>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</si>
  <si>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</si>
  <si>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</si>
  <si>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</si>
  <si>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</si>
  <si>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</si>
  <si>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</si>
  <si>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</si>
  <si>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AA-</t>
  </si>
  <si>
    <t>MONEDA LATAM CORP DEBT D</t>
  </si>
  <si>
    <t>KYG620101306</t>
  </si>
  <si>
    <t>AMUNDI PLANET</t>
  </si>
  <si>
    <t>LU1688575437</t>
  </si>
  <si>
    <t>LION 7 S1</t>
  </si>
  <si>
    <t>IE00B62G6V03</t>
  </si>
  <si>
    <t>SICAV Santander LatAm Corp Fund</t>
  </si>
  <si>
    <t>LU0363170191</t>
  </si>
  <si>
    <t>Amundi Funds Pioneer US High</t>
  </si>
  <si>
    <t>LU1883863851</t>
  </si>
  <si>
    <t>B+</t>
  </si>
  <si>
    <t>CS NL GL SEN LO MC</t>
  </si>
  <si>
    <t>LU0635707705</t>
  </si>
  <si>
    <t>FIDELITY US HIGH YD I ACC</t>
  </si>
  <si>
    <t>LU0891474172</t>
  </si>
  <si>
    <t>ING US Senior Loans</t>
  </si>
  <si>
    <t>LU0426533492</t>
  </si>
  <si>
    <t>NOMURA US HIGH YLD BD I USD</t>
  </si>
  <si>
    <t>IE00B3RW8498</t>
  </si>
  <si>
    <t>Babson European Bank Loan Fund</t>
  </si>
  <si>
    <t>IE00B6YX4R11</t>
  </si>
  <si>
    <t>Guggenheim US Loan Fund</t>
  </si>
  <si>
    <t>IE00BCFKMH92</t>
  </si>
  <si>
    <t>LION III EUR C3 ACC</t>
  </si>
  <si>
    <t>IE00B804LV55</t>
  </si>
  <si>
    <t>Specialist M&amp;G European Class R</t>
  </si>
  <si>
    <t>IE00B95WZM02</t>
  </si>
  <si>
    <t>Cheyne Real Estate Debt Fund Class X</t>
  </si>
  <si>
    <t>KYG210181668</t>
  </si>
  <si>
    <t>INVESCO US SENIOR LOAN G</t>
  </si>
  <si>
    <t>LU0564079282</t>
  </si>
  <si>
    <t>Neuberger EM LC</t>
  </si>
  <si>
    <t>IE00B9Z1CN71</t>
  </si>
  <si>
    <t>ערד 2024 סדרה 8761</t>
  </si>
  <si>
    <t>ערד 2025 סדרה 8771</t>
  </si>
  <si>
    <t>ערד 8786_1/2027</t>
  </si>
  <si>
    <t>ערד 8790 2027 4.8%</t>
  </si>
  <si>
    <t>ערד 8792</t>
  </si>
  <si>
    <t>ערד 8793</t>
  </si>
  <si>
    <t>ערד 8794</t>
  </si>
  <si>
    <t>ערד 8795</t>
  </si>
  <si>
    <t>ערד 8796</t>
  </si>
  <si>
    <t>ערד 8797</t>
  </si>
  <si>
    <t>ערד 8798</t>
  </si>
  <si>
    <t>ערד 8800</t>
  </si>
  <si>
    <t>ערד 8802</t>
  </si>
  <si>
    <t>ערד 8803</t>
  </si>
  <si>
    <t>ערד 8806</t>
  </si>
  <si>
    <t>ערד 8807</t>
  </si>
  <si>
    <t>ערד 8808</t>
  </si>
  <si>
    <t>ערד 8809</t>
  </si>
  <si>
    <t>ערד 8811</t>
  </si>
  <si>
    <t>ערד 8812</t>
  </si>
  <si>
    <t>ערד 8813</t>
  </si>
  <si>
    <t>ערד 8814</t>
  </si>
  <si>
    <t>ערד 8815</t>
  </si>
  <si>
    <t>ערד 8816</t>
  </si>
  <si>
    <t>ערד 8817</t>
  </si>
  <si>
    <t>ערד 8818</t>
  </si>
  <si>
    <t>ערד 8819</t>
  </si>
  <si>
    <t>ערד 8820</t>
  </si>
  <si>
    <t>ערד 8821</t>
  </si>
  <si>
    <t>ערד 8822</t>
  </si>
  <si>
    <t>ערד 8823</t>
  </si>
  <si>
    <t>ערד 8824</t>
  </si>
  <si>
    <t>ערד 8825</t>
  </si>
  <si>
    <t>ערד 8827</t>
  </si>
  <si>
    <t>ערד 8829</t>
  </si>
  <si>
    <t>ערד 8832</t>
  </si>
  <si>
    <t>ערד 8833</t>
  </si>
  <si>
    <t>ערד 8834</t>
  </si>
  <si>
    <t>ערד 8837</t>
  </si>
  <si>
    <t>ערד 8838</t>
  </si>
  <si>
    <t>ערד 8839</t>
  </si>
  <si>
    <t>ערד 8840</t>
  </si>
  <si>
    <t>ערד 8841</t>
  </si>
  <si>
    <t>ערד 8842</t>
  </si>
  <si>
    <t>ערד 8843</t>
  </si>
  <si>
    <t>ערד 8844</t>
  </si>
  <si>
    <t>ערד 8845</t>
  </si>
  <si>
    <t>ערד 8846</t>
  </si>
  <si>
    <t>ערד 8847</t>
  </si>
  <si>
    <t>ערד 8848</t>
  </si>
  <si>
    <t>ערד 8850</t>
  </si>
  <si>
    <t>ערד 8851</t>
  </si>
  <si>
    <t>ערד 8853</t>
  </si>
  <si>
    <t>ערד 8854</t>
  </si>
  <si>
    <t>ערד 8855</t>
  </si>
  <si>
    <t>ערד 8856</t>
  </si>
  <si>
    <t>ערד 8857</t>
  </si>
  <si>
    <t>ערד 8858</t>
  </si>
  <si>
    <t>ערד 8860</t>
  </si>
  <si>
    <t>ערד 8863</t>
  </si>
  <si>
    <t>ערד 8865</t>
  </si>
  <si>
    <t>ערד 8866</t>
  </si>
  <si>
    <t>ערד 8871</t>
  </si>
  <si>
    <t>ערד 8872</t>
  </si>
  <si>
    <t>ערד 8873</t>
  </si>
  <si>
    <t>ערד 8874</t>
  </si>
  <si>
    <t>ערד 8876</t>
  </si>
  <si>
    <t>ערד 8877</t>
  </si>
  <si>
    <t>ערד 8880</t>
  </si>
  <si>
    <t>ערד 8881</t>
  </si>
  <si>
    <t>ערד 8883</t>
  </si>
  <si>
    <t>ערד סדרה 2024  8758  4.8%</t>
  </si>
  <si>
    <t>ערד סדרה 8756 2024 4.8%</t>
  </si>
  <si>
    <t>ערד סדרה 8781 2026 4.8%</t>
  </si>
  <si>
    <t>ערד סדרה 8784  4.8%  2026</t>
  </si>
  <si>
    <t>ערד סדרה 8787 4.8% 2027</t>
  </si>
  <si>
    <t>ערד סדרה 8788 4.8% 2027</t>
  </si>
  <si>
    <t>ערד סדרה 8789 2027 4.8%</t>
  </si>
  <si>
    <t>ערד סדרה 8810 2029 4.8%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</si>
  <si>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</si>
  <si>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</si>
  <si>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</si>
  <si>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</si>
  <si>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</si>
  <si>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</si>
  <si>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</si>
  <si>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</si>
  <si>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חשמל</t>
  </si>
  <si>
    <t>נתיבי גז  סדרה א ל.ס 5.6%</t>
  </si>
  <si>
    <t>1103084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</si>
  <si>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</si>
  <si>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</si>
  <si>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</si>
  <si>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</si>
  <si>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</si>
  <si>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</si>
  <si>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</si>
  <si>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</si>
  <si>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</si>
  <si>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</si>
  <si>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</si>
  <si>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</si>
  <si>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</si>
  <si>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</si>
  <si>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</si>
  <si>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</si>
  <si>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</si>
  <si>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</si>
  <si>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2*</t>
  </si>
  <si>
    <t>1139161</t>
  </si>
  <si>
    <t>520036716</t>
  </si>
  <si>
    <t>אורמת אגח 3*</t>
  </si>
  <si>
    <t>1139179</t>
  </si>
  <si>
    <t>ל.ר.</t>
  </si>
  <si>
    <t>₪ / מט"ח</t>
  </si>
  <si>
    <t>+ILS/-USD 3.3967 10-03-21 (10) -428</t>
  </si>
  <si>
    <t>10000077</t>
  </si>
  <si>
    <t>+ILS/-USD 3.399 30-11-20 (10) -410</t>
  </si>
  <si>
    <t>10000073</t>
  </si>
  <si>
    <t>+ILS/-USD 3.4045 03-03-21 (12) -505</t>
  </si>
  <si>
    <t>10000006</t>
  </si>
  <si>
    <t>+ILS/-USD 3.4066 12-05-20 (20) -129</t>
  </si>
  <si>
    <t>10000004</t>
  </si>
  <si>
    <t>+ILS/-USD 3.4084 12-05-20 (10) -131</t>
  </si>
  <si>
    <t>10000003</t>
  </si>
  <si>
    <t>+ILS/-USD 3.414 17-03-21 (10) -440</t>
  </si>
  <si>
    <t>10000079</t>
  </si>
  <si>
    <t>+ILS/-USD 3.4169 14-05-20 (20) -146</t>
  </si>
  <si>
    <t>10000002</t>
  </si>
  <si>
    <t>+ILS/-USD 3.4172 15-03-21 (10) -453</t>
  </si>
  <si>
    <t>10000083</t>
  </si>
  <si>
    <t>+ILS/-USD 3.418 08-03-21 (10) -445</t>
  </si>
  <si>
    <t>10000081</t>
  </si>
  <si>
    <t>+ILS/-USD 3.4272 11-06-20 (10) -368</t>
  </si>
  <si>
    <t>10000212</t>
  </si>
  <si>
    <t>+ILS/-USD 3.429 11-06-20 (10) -575</t>
  </si>
  <si>
    <t>10000199</t>
  </si>
  <si>
    <t>+ILS/-USD 3.4332 20-05-20 (20) -163</t>
  </si>
  <si>
    <t>10000001</t>
  </si>
  <si>
    <t>+ILS/-USD 3.452 10-11-20 (10) -800</t>
  </si>
  <si>
    <t>10000195</t>
  </si>
  <si>
    <t>+ILS/-USD 3.477 11-06-20 (10) -550</t>
  </si>
  <si>
    <t>10000197</t>
  </si>
  <si>
    <t>+ILS/-USD 3.484 11-06-20 (10) -605</t>
  </si>
  <si>
    <t>10000200</t>
  </si>
  <si>
    <t>+ILS/-USD 3.5021 10-11-20 (10) -904</t>
  </si>
  <si>
    <t>10000188</t>
  </si>
  <si>
    <t>+ILS/-USD 3.5055 11-06-20 (10) -690</t>
  </si>
  <si>
    <t>10000187</t>
  </si>
  <si>
    <t>+ILS/-USD 3.5185 25-03-21 (10) -535</t>
  </si>
  <si>
    <t>10000231</t>
  </si>
  <si>
    <t>+ILS/-USD 3.531 11-06-20 (10) -780</t>
  </si>
  <si>
    <t>10000185</t>
  </si>
  <si>
    <t>+ILS/-USD 3.605 11-06-20 (10) -130</t>
  </si>
  <si>
    <t>10000230</t>
  </si>
  <si>
    <t>+ILS/-USD 3.65 11-06-20 (10) -175</t>
  </si>
  <si>
    <t>10000227</t>
  </si>
  <si>
    <t>+ILS/-USD 3.82 02-07-20 (20) -450</t>
  </si>
  <si>
    <t>10000011</t>
  </si>
  <si>
    <t>+USD/-ILS 3.4057 11-06-20 (10) -173</t>
  </si>
  <si>
    <t>10000224</t>
  </si>
  <si>
    <t>+USD/-ILS 3.4079 11-06-20 (10) -171</t>
  </si>
  <si>
    <t>10000223</t>
  </si>
  <si>
    <t>+EUR/-USD 1.10965 04-05-20 (20) +18.5</t>
  </si>
  <si>
    <t>10000089</t>
  </si>
  <si>
    <t>+EUR/-USD 1.1152 22-09-20 (20) +74</t>
  </si>
  <si>
    <t>10000090</t>
  </si>
  <si>
    <t>+EUR/-USD 1.127 09-04-20 (10) +186</t>
  </si>
  <si>
    <t>10000201</t>
  </si>
  <si>
    <t>+EUR/-USD 1.1318 04-05-20 (12) +202</t>
  </si>
  <si>
    <t>10000035</t>
  </si>
  <si>
    <t>+GBP/-USD 1.30424 11-05-20 (10) +46.4</t>
  </si>
  <si>
    <t>10000215</t>
  </si>
  <si>
    <t>+USD/-EUR 1.09197 27-07-20 (10) +55.7</t>
  </si>
  <si>
    <t>10000229</t>
  </si>
  <si>
    <t>+USD/-EUR 1.0943 09-04-20 (10) +37</t>
  </si>
  <si>
    <t>10000221</t>
  </si>
  <si>
    <t>+USD/-EUR 1.1158 04-05-20 (20) +144</t>
  </si>
  <si>
    <t>10000046</t>
  </si>
  <si>
    <t>+USD/-EUR 1.11595 09-04-20 (10) +88.5</t>
  </si>
  <si>
    <t>10000213</t>
  </si>
  <si>
    <t>+USD/-EUR 1.1171 04-05-20 (20) +95</t>
  </si>
  <si>
    <t>10000061</t>
  </si>
  <si>
    <t>+USD/-EUR 1.1256 22-09-20 (20) +91</t>
  </si>
  <si>
    <t>10000075</t>
  </si>
  <si>
    <t>+USD/-EUR 1.1282 04-05-20 (12) +239</t>
  </si>
  <si>
    <t>10000022</t>
  </si>
  <si>
    <t>+USD/-EUR 1.15192 09-04-20 (10) +234.2</t>
  </si>
  <si>
    <t>10000192</t>
  </si>
  <si>
    <t>+USD/-GBP 1.1791 06-07-20 (20) +18</t>
  </si>
  <si>
    <t>10000087</t>
  </si>
  <si>
    <t>+USD/-GBP 1.24427 11-05-20 (10) +102.7</t>
  </si>
  <si>
    <t>10000204</t>
  </si>
  <si>
    <t>+USD/-GBP 1.30278 11-05-20 (10) +64.8</t>
  </si>
  <si>
    <t>10000208</t>
  </si>
  <si>
    <t>+USD/-GBP 1.3061 11-05-20 (10) +28</t>
  </si>
  <si>
    <t>10000222</t>
  </si>
  <si>
    <t>+USD/-GBP 1.3073 06-07-20 (12) +68</t>
  </si>
  <si>
    <t>10000065</t>
  </si>
  <si>
    <t>+USD/-GBP 1.3078 06-07-20 (20) +68</t>
  </si>
  <si>
    <t>10000067</t>
  </si>
  <si>
    <t>IRS</t>
  </si>
  <si>
    <t>10000000</t>
  </si>
  <si>
    <t>10000005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</si>
  <si>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</si>
  <si>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</si>
  <si>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</si>
  <si>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</si>
  <si>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</si>
  <si>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</si>
  <si>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</si>
  <si>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</si>
  <si>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</si>
  <si>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</si>
  <si>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</si>
  <si>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</si>
  <si>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</si>
  <si>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</si>
  <si>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</si>
  <si>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יו בנק</t>
  </si>
  <si>
    <t>30026000</t>
  </si>
  <si>
    <t>32012000</t>
  </si>
  <si>
    <t>30312000</t>
  </si>
  <si>
    <t>30210000</t>
  </si>
  <si>
    <t>33810000</t>
  </si>
  <si>
    <t>34010000</t>
  </si>
  <si>
    <t>32010000</t>
  </si>
  <si>
    <t>34510000</t>
  </si>
  <si>
    <t>32020000</t>
  </si>
  <si>
    <t>34020000</t>
  </si>
  <si>
    <t>30326000</t>
  </si>
  <si>
    <t>דירוג פנימי</t>
  </si>
  <si>
    <t>לא</t>
  </si>
  <si>
    <t>AA</t>
  </si>
  <si>
    <t>כן</t>
  </si>
  <si>
    <t>11898602</t>
  </si>
  <si>
    <t>תשתיות</t>
  </si>
  <si>
    <t>11898601</t>
  </si>
  <si>
    <t>11898600</t>
  </si>
  <si>
    <t>11898603</t>
  </si>
  <si>
    <t>11898604</t>
  </si>
  <si>
    <t>11898606</t>
  </si>
  <si>
    <t>11898607</t>
  </si>
  <si>
    <t>11898608</t>
  </si>
  <si>
    <t>11898609</t>
  </si>
  <si>
    <t>11898610</t>
  </si>
  <si>
    <t>458870</t>
  </si>
  <si>
    <t>458869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</si>
  <si>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</si>
  <si>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</si>
  <si>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</si>
  <si>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</si>
  <si>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</si>
  <si>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</si>
  <si>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</si>
  <si>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</si>
  <si>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</si>
  <si>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90136004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</si>
  <si>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</si>
  <si>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</si>
  <si>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</si>
  <si>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</si>
  <si>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</si>
  <si>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</si>
  <si>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</si>
  <si>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</si>
  <si>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</si>
  <si>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</si>
  <si>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</si>
  <si>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</si>
  <si>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545876</t>
  </si>
  <si>
    <t>91102700</t>
  </si>
  <si>
    <t>91102701</t>
  </si>
  <si>
    <t>84666730</t>
  </si>
  <si>
    <t>91040003</t>
  </si>
  <si>
    <t>91040006</t>
  </si>
  <si>
    <t>91040009</t>
  </si>
  <si>
    <t>66679</t>
  </si>
  <si>
    <t>91050039</t>
  </si>
  <si>
    <t>91050040</t>
  </si>
  <si>
    <t>91040012</t>
  </si>
  <si>
    <t>455954</t>
  </si>
  <si>
    <t>482154</t>
  </si>
  <si>
    <t>482153</t>
  </si>
  <si>
    <t>90145362</t>
  </si>
  <si>
    <t>84666732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</si>
  <si>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</si>
  <si>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</si>
  <si>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</si>
  <si>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</si>
  <si>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</si>
  <si>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</si>
  <si>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</si>
  <si>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</si>
  <si>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</si>
  <si>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</si>
  <si>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</si>
  <si>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9912270</t>
  </si>
  <si>
    <t>508506</t>
  </si>
  <si>
    <t>67859</t>
  </si>
  <si>
    <t>72808</t>
  </si>
  <si>
    <t>קרדן אן.וי אגח ב חש 2/18</t>
  </si>
  <si>
    <t>1143270</t>
  </si>
  <si>
    <t>סה"כ יתרות התחייבות להשקעה</t>
  </si>
  <si>
    <t>סה"כ בישראל</t>
  </si>
  <si>
    <t>סה"כ בחו"ל</t>
  </si>
  <si>
    <t>נדל"ן מניב בישראל</t>
  </si>
  <si>
    <t>נדל"ן מניב בחו"ל</t>
  </si>
  <si>
    <t>IL0060404899</t>
  </si>
  <si>
    <t>Baa1</t>
  </si>
  <si>
    <t>מובטחות משכנתא - גורם 01</t>
  </si>
  <si>
    <t>בבטחונות אחרים - גורם 94</t>
  </si>
  <si>
    <t>בבטחונות אחרים - גורם 111</t>
  </si>
  <si>
    <t>בבטחונות אחרים - גורם 147</t>
  </si>
  <si>
    <t>בבטחונות אחרים - גורם 156</t>
  </si>
  <si>
    <t>בבטחונות אחרים - גורם 41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</si>
  <si>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</si>
  <si>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</si>
  <si>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</si>
  <si>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</si>
  <si>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</si>
  <si>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38</t>
  </si>
  <si>
    <t>בבטחונות אחרים - גורם 129</t>
  </si>
  <si>
    <t>בבטחונות אחרים - גורם 98*</t>
  </si>
  <si>
    <t>בבטחונות אחרים - גורם 89</t>
  </si>
  <si>
    <t>בבטחונות אחרים - גורם 103</t>
  </si>
  <si>
    <t>בבטחונות אחרים - גורם 90</t>
  </si>
  <si>
    <t>בבטחונות אחרים - גורם 130</t>
  </si>
  <si>
    <t>בבטחונות אחרים - גורם 104</t>
  </si>
  <si>
    <t>בבטחונות אחרים - גורם 155</t>
  </si>
  <si>
    <t>בבטחונות אחרים - גורם 152</t>
  </si>
  <si>
    <t>בבטחונות אחרים - גורם 144</t>
  </si>
  <si>
    <t>בבטחונות אחרים - גורם 61</t>
  </si>
  <si>
    <t>בבטחונות אחרים - גורם 115*</t>
  </si>
  <si>
    <t>בבטחונות אחרים - גורם 102</t>
  </si>
  <si>
    <t>בבטחונות אחרים - גורם 131</t>
  </si>
  <si>
    <t>בבטחונות אחרים - גורם 133</t>
  </si>
  <si>
    <t>בבטחונות אחרים - גורם 137</t>
  </si>
  <si>
    <t>בבטחונות אחרים - גורם 118</t>
  </si>
  <si>
    <t>בבטחונות אחרים - גורם 148</t>
  </si>
  <si>
    <t>בבטחונות אחרים - גורם 143</t>
  </si>
  <si>
    <t>בבטחונות אחרים - גורם 138</t>
  </si>
  <si>
    <t>בבטחונות אחרים - גורם 112</t>
  </si>
  <si>
    <t>בבטחונות אחרים - גורם 153</t>
  </si>
  <si>
    <t>בבטחונות אחרים - גורם 149</t>
  </si>
  <si>
    <t>בבטחונות אחרים - גורם 142</t>
  </si>
  <si>
    <t>בבטחונות אחרים - גורם 123</t>
  </si>
  <si>
    <t>בבטחונות אחרים - גורם 139</t>
  </si>
  <si>
    <t>בבטחונות אחרים - גורם 160</t>
  </si>
  <si>
    <t>בבטחונות אחרים - גורם 146</t>
  </si>
  <si>
    <t>גורם 111</t>
  </si>
  <si>
    <t>גורם 105</t>
  </si>
  <si>
    <t>גורם 155</t>
  </si>
  <si>
    <t>גורם 154</t>
  </si>
  <si>
    <t>גורם 98</t>
  </si>
  <si>
    <t>גורם 158</t>
  </si>
  <si>
    <t>גורם 144</t>
  </si>
  <si>
    <t>גורם 156</t>
  </si>
  <si>
    <t>גורם 104</t>
  </si>
  <si>
    <t>גורם 137</t>
  </si>
  <si>
    <t>גורם 148</t>
  </si>
  <si>
    <t>גורם 143</t>
  </si>
  <si>
    <t>גורם 138</t>
  </si>
  <si>
    <t>גורם 112</t>
  </si>
  <si>
    <t>גורם 149</t>
  </si>
  <si>
    <t>גורם 142</t>
  </si>
  <si>
    <t>גורם 139</t>
  </si>
  <si>
    <t>גורם 153</t>
  </si>
  <si>
    <t>גורם 146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</si>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</sst>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7" fontId="25" fillId="0" borderId="23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 indent="2"/>
    </xf>
    <xf numFmtId="0" fontId="26" fillId="0" borderId="24" xfId="0" applyFont="1" applyFill="1" applyBorder="1" applyAlignment="1">
      <alignment horizontal="right" indent="3"/>
    </xf>
    <xf numFmtId="0" fontId="26" fillId="0" borderId="24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2"/>
    </xf>
    <xf numFmtId="0" fontId="26" fillId="0" borderId="26" xfId="0" applyNumberFormat="1" applyFont="1" applyFill="1" applyBorder="1" applyAlignment="1">
      <alignment horizontal="right"/>
    </xf>
    <xf numFmtId="2" fontId="26" fillId="0" borderId="26" xfId="0" applyNumberFormat="1" applyFont="1" applyFill="1" applyBorder="1" applyAlignment="1">
      <alignment horizontal="right"/>
    </xf>
    <xf numFmtId="10" fontId="26" fillId="0" borderId="26" xfId="0" applyNumberFormat="1" applyFont="1" applyFill="1" applyBorder="1" applyAlignment="1">
      <alignment horizontal="right"/>
    </xf>
    <xf numFmtId="4" fontId="26" fillId="0" borderId="26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7" xfId="13" applyFont="1" applyBorder="1" applyAlignment="1">
      <alignment horizontal="right"/>
    </xf>
    <xf numFmtId="10" fontId="5" fillId="0" borderId="27" xfId="14" applyNumberFormat="1" applyFont="1" applyBorder="1" applyAlignment="1">
      <alignment horizontal="center"/>
    </xf>
    <xf numFmtId="2" fontId="5" fillId="0" borderId="27" xfId="7" applyNumberFormat="1" applyFont="1" applyBorder="1" applyAlignment="1">
      <alignment horizontal="right"/>
    </xf>
    <xf numFmtId="168" fontId="5" fillId="0" borderId="27" xfId="7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10" fontId="28" fillId="0" borderId="0" xfId="0" applyNumberFormat="1" applyFont="1" applyFill="1"/>
    <xf numFmtId="10" fontId="26" fillId="0" borderId="0" xfId="14" applyNumberFormat="1" applyFont="1" applyFill="1" applyBorder="1" applyAlignment="1">
      <alignment horizontal="right"/>
    </xf>
    <xf numFmtId="0" fontId="28" fillId="0" borderId="0" xfId="0" applyFont="1" applyFill="1"/>
    <xf numFmtId="0" fontId="4" fillId="0" borderId="0" xfId="0" applyFont="1" applyFill="1" applyAlignment="1">
      <alignment horizontal="center"/>
    </xf>
    <xf numFmtId="2" fontId="28" fillId="0" borderId="0" xfId="0" applyNumberFormat="1" applyFont="1" applyFill="1"/>
    <xf numFmtId="0" fontId="27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64" fontId="5" fillId="0" borderId="27" xfId="13" applyFont="1" applyFill="1" applyBorder="1" applyAlignment="1">
      <alignment horizontal="right"/>
    </xf>
    <xf numFmtId="164" fontId="8" fillId="0" borderId="0" xfId="13" applyFont="1" applyAlignment="1">
      <alignment horizontal="center" wrapText="1"/>
    </xf>
    <xf numFmtId="164" fontId="4" fillId="0" borderId="0" xfId="13" applyFont="1" applyAlignment="1">
      <alignment horizontal="center"/>
    </xf>
    <xf numFmtId="164" fontId="26" fillId="0" borderId="0" xfId="13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10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198120</xdr:colOff>
      <xdr:row>50</xdr:row>
      <xdr:rowOff>0</xdr:rowOff>
    </xdr:from>
    <xdr:to>
      <xdr:col>26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U66"/>
  <sheetViews>
    <sheetView rightToLeft="1" tabSelected="1" workbookViewId="0">
      <selection activeCell="C10" sqref="C10:C4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1" width="6.7109375" style="9" customWidth="1"/>
    <col min="22" max="24" width="7.7109375" style="9" customWidth="1"/>
    <col min="25" max="25" width="7.140625" style="9" customWidth="1"/>
    <col min="26" max="26" width="6" style="9" customWidth="1"/>
    <col min="27" max="27" width="8.140625" style="9" customWidth="1"/>
    <col min="28" max="28" width="6.28515625" style="9" customWidth="1"/>
    <col min="29" max="29" width="8" style="9" customWidth="1"/>
    <col min="30" max="30" width="8.7109375" style="9" customWidth="1"/>
    <col min="31" max="31" width="10" style="9" customWidth="1"/>
    <col min="32" max="32" width="9.5703125" style="9" customWidth="1"/>
    <col min="33" max="33" width="6.140625" style="9" customWidth="1"/>
    <col min="34" max="35" width="5.7109375" style="9" customWidth="1"/>
    <col min="36" max="36" width="6.85546875" style="9" customWidth="1"/>
    <col min="37" max="37" width="6.42578125" style="9" customWidth="1"/>
    <col min="38" max="38" width="6.7109375" style="9" customWidth="1"/>
    <col min="39" max="39" width="7.28515625" style="9" customWidth="1"/>
    <col min="40" max="51" width="5.7109375" style="9" customWidth="1"/>
    <col min="52" max="16384" width="9.140625" style="9"/>
  </cols>
  <sheetData>
    <row r="1" spans="1:21">
      <c r="B1" s="47" t="s">
        <v>170</v>
      </c>
      <c r="C1" s="68" t="s" vm="1">
        <v>247</v>
      </c>
    </row>
    <row r="2" spans="1:21">
      <c r="B2" s="47" t="s">
        <v>169</v>
      </c>
      <c r="C2" s="68" t="s">
        <v>248</v>
      </c>
    </row>
    <row r="3" spans="1:21">
      <c r="B3" s="47" t="s">
        <v>171</v>
      </c>
      <c r="C3" s="68" t="s">
        <v>249</v>
      </c>
    </row>
    <row r="4" spans="1:21">
      <c r="B4" s="47" t="s">
        <v>172</v>
      </c>
      <c r="C4" s="68">
        <v>2144</v>
      </c>
    </row>
    <row r="6" spans="1:21" ht="26.25" customHeight="1">
      <c r="B6" s="131" t="s">
        <v>186</v>
      </c>
      <c r="C6" s="132"/>
      <c r="D6" s="133"/>
    </row>
    <row r="7" spans="1:21" s="10" customFormat="1">
      <c r="B7" s="22"/>
      <c r="C7" s="23" t="s">
        <v>102</v>
      </c>
      <c r="D7" s="24" t="s">
        <v>100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1" s="10" customFormat="1">
      <c r="B8" s="22"/>
      <c r="C8" s="25" t="s">
        <v>227</v>
      </c>
      <c r="D8" s="26" t="s">
        <v>19</v>
      </c>
    </row>
    <row r="9" spans="1:21" s="11" customFormat="1" ht="18" customHeight="1">
      <c r="B9" s="36"/>
      <c r="C9" s="19" t="s">
        <v>0</v>
      </c>
      <c r="D9" s="27" t="s">
        <v>1</v>
      </c>
    </row>
    <row r="10" spans="1:21" s="11" customFormat="1" ht="18" customHeight="1">
      <c r="B10" s="55" t="s">
        <v>185</v>
      </c>
      <c r="C10" s="106">
        <f>C11+C12+C23+C33+C37</f>
        <v>290958.49761279108</v>
      </c>
      <c r="D10" s="107">
        <f>C10/$C$42</f>
        <v>1</v>
      </c>
    </row>
    <row r="11" spans="1:21">
      <c r="A11" s="43" t="s">
        <v>132</v>
      </c>
      <c r="B11" s="28" t="s">
        <v>187</v>
      </c>
      <c r="C11" s="106">
        <f>מזומנים!J10</f>
        <v>17348.725540238003</v>
      </c>
      <c r="D11" s="107">
        <f>C11/$C$42</f>
        <v>5.9626117410482946E-2</v>
      </c>
    </row>
    <row r="12" spans="1:21">
      <c r="B12" s="28" t="s">
        <v>188</v>
      </c>
      <c r="C12" s="106">
        <f>C13+C15+C17+C18</f>
        <v>182999.68270502504</v>
      </c>
      <c r="D12" s="107">
        <f>C12/$C$42</f>
        <v>0.62895459045352187</v>
      </c>
    </row>
    <row r="13" spans="1:21">
      <c r="A13" s="45" t="s">
        <v>132</v>
      </c>
      <c r="B13" s="29" t="s">
        <v>63</v>
      </c>
      <c r="C13" s="106">
        <f>'תעודות התחייבות ממשלתיות'!O11</f>
        <v>80557.584329414996</v>
      </c>
      <c r="D13" s="107">
        <f>C13/$C$42</f>
        <v>0.2768696738207021</v>
      </c>
    </row>
    <row r="14" spans="1:21">
      <c r="A14" s="45" t="s">
        <v>132</v>
      </c>
      <c r="B14" s="29" t="s">
        <v>64</v>
      </c>
      <c r="C14" s="106" t="s" vm="2">
        <v>1172</v>
      </c>
      <c r="D14" s="107" t="s" vm="3">
        <v>1172</v>
      </c>
    </row>
    <row r="15" spans="1:21">
      <c r="A15" s="45" t="s">
        <v>132</v>
      </c>
      <c r="B15" s="29" t="s">
        <v>65</v>
      </c>
      <c r="C15" s="106">
        <f>'אג"ח קונצרני'!R11</f>
        <v>83398.58600143902</v>
      </c>
      <c r="D15" s="107">
        <f>C15/$C$42</f>
        <v>0.28663395874564296</v>
      </c>
    </row>
    <row r="16" spans="1:21">
      <c r="A16" s="45" t="s">
        <v>132</v>
      </c>
      <c r="B16" s="29" t="s">
        <v>66</v>
      </c>
      <c r="C16" s="106" t="s" vm="4">
        <v>1172</v>
      </c>
      <c r="D16" s="107" t="s" vm="5">
        <v>1172</v>
      </c>
    </row>
    <row r="17" spans="1:4">
      <c r="A17" s="45" t="s">
        <v>132</v>
      </c>
      <c r="B17" s="29" t="s">
        <v>241</v>
      </c>
      <c r="C17" s="106">
        <f>'קרנות סל'!K11</f>
        <v>6340.8959662220022</v>
      </c>
      <c r="D17" s="107">
        <f>C17/$C$42</f>
        <v>2.1793128636031438E-2</v>
      </c>
    </row>
    <row r="18" spans="1:4">
      <c r="A18" s="45" t="s">
        <v>132</v>
      </c>
      <c r="B18" s="29" t="s">
        <v>67</v>
      </c>
      <c r="C18" s="106">
        <f>'קרנות נאמנות'!L11</f>
        <v>12702.616407948999</v>
      </c>
      <c r="D18" s="107">
        <f>C18/$C$42</f>
        <v>4.3657829251145294E-2</v>
      </c>
    </row>
    <row r="19" spans="1:4">
      <c r="A19" s="45" t="s">
        <v>132</v>
      </c>
      <c r="B19" s="29" t="s">
        <v>68</v>
      </c>
      <c r="C19" s="106" t="s" vm="6">
        <v>1172</v>
      </c>
      <c r="D19" s="107" t="s" vm="7">
        <v>1172</v>
      </c>
    </row>
    <row r="20" spans="1:4">
      <c r="A20" s="45" t="s">
        <v>132</v>
      </c>
      <c r="B20" s="29" t="s">
        <v>69</v>
      </c>
      <c r="C20" s="106" t="s" vm="8">
        <v>1172</v>
      </c>
      <c r="D20" s="107" t="s" vm="9">
        <v>1172</v>
      </c>
    </row>
    <row r="21" spans="1:4">
      <c r="A21" s="45" t="s">
        <v>132</v>
      </c>
      <c r="B21" s="29" t="s">
        <v>70</v>
      </c>
      <c r="C21" s="106" t="s" vm="10">
        <v>1172</v>
      </c>
      <c r="D21" s="107" t="s" vm="11">
        <v>1172</v>
      </c>
    </row>
    <row r="22" spans="1:4">
      <c r="A22" s="45" t="s">
        <v>132</v>
      </c>
      <c r="B22" s="29" t="s">
        <v>71</v>
      </c>
      <c r="C22" s="106" t="s" vm="12">
        <v>1172</v>
      </c>
      <c r="D22" s="107" t="s" vm="13">
        <v>1172</v>
      </c>
    </row>
    <row r="23" spans="1:4">
      <c r="B23" s="28" t="s">
        <v>189</v>
      </c>
      <c r="C23" s="106">
        <f>C24+C26+C31</f>
        <v>80763.446663531024</v>
      </c>
      <c r="D23" s="107">
        <f>C23/$C$42</f>
        <v>0.27757720543021019</v>
      </c>
    </row>
    <row r="24" spans="1:4">
      <c r="A24" s="45" t="s">
        <v>132</v>
      </c>
      <c r="B24" s="29" t="s">
        <v>72</v>
      </c>
      <c r="C24" s="106">
        <f>'לא סחיר- תעודות התחייבות ממשלתי'!M11</f>
        <v>78295.083780000015</v>
      </c>
      <c r="D24" s="107">
        <f>C24/$C$42</f>
        <v>0.26909364882752274</v>
      </c>
    </row>
    <row r="25" spans="1:4">
      <c r="A25" s="45" t="s">
        <v>132</v>
      </c>
      <c r="B25" s="29" t="s">
        <v>73</v>
      </c>
      <c r="C25" s="106" t="s" vm="14">
        <v>1172</v>
      </c>
      <c r="D25" s="107" t="s" vm="15">
        <v>1172</v>
      </c>
    </row>
    <row r="26" spans="1:4">
      <c r="A26" s="45" t="s">
        <v>132</v>
      </c>
      <c r="B26" s="29" t="s">
        <v>65</v>
      </c>
      <c r="C26" s="106">
        <f>'לא סחיר - אג"ח קונצרני'!P11</f>
        <v>2710.6380299999996</v>
      </c>
      <c r="D26" s="107">
        <f>C26/$C$42</f>
        <v>9.316236000116173E-3</v>
      </c>
    </row>
    <row r="27" spans="1:4">
      <c r="A27" s="45" t="s">
        <v>132</v>
      </c>
      <c r="B27" s="29" t="s">
        <v>74</v>
      </c>
      <c r="C27" s="106" t="s" vm="16">
        <v>1172</v>
      </c>
      <c r="D27" s="107" t="s" vm="17">
        <v>1172</v>
      </c>
    </row>
    <row r="28" spans="1:4">
      <c r="A28" s="45" t="s">
        <v>132</v>
      </c>
      <c r="B28" s="29" t="s">
        <v>75</v>
      </c>
      <c r="C28" s="106" t="s" vm="18">
        <v>1172</v>
      </c>
      <c r="D28" s="107" t="s" vm="19">
        <v>1172</v>
      </c>
    </row>
    <row r="29" spans="1:4">
      <c r="A29" s="45" t="s">
        <v>132</v>
      </c>
      <c r="B29" s="29" t="s">
        <v>76</v>
      </c>
      <c r="C29" s="106" t="s" vm="20">
        <v>1172</v>
      </c>
      <c r="D29" s="107" t="s" vm="21">
        <v>1172</v>
      </c>
    </row>
    <row r="30" spans="1:4">
      <c r="A30" s="45" t="s">
        <v>132</v>
      </c>
      <c r="B30" s="29" t="s">
        <v>212</v>
      </c>
      <c r="C30" s="106" t="s" vm="22">
        <v>1172</v>
      </c>
      <c r="D30" s="107" t="s" vm="23">
        <v>1172</v>
      </c>
    </row>
    <row r="31" spans="1:4">
      <c r="A31" s="45" t="s">
        <v>132</v>
      </c>
      <c r="B31" s="29" t="s">
        <v>97</v>
      </c>
      <c r="C31" s="106">
        <f>'לא סחיר - חוזים עתידיים'!I11</f>
        <v>-242.27514646899996</v>
      </c>
      <c r="D31" s="107">
        <f>C31/$C$42</f>
        <v>-8.3267939742877296E-4</v>
      </c>
    </row>
    <row r="32" spans="1:4">
      <c r="A32" s="45" t="s">
        <v>132</v>
      </c>
      <c r="B32" s="29" t="s">
        <v>77</v>
      </c>
      <c r="C32" s="106" t="s" vm="24">
        <v>1172</v>
      </c>
      <c r="D32" s="107" t="s" vm="25">
        <v>1172</v>
      </c>
    </row>
    <row r="33" spans="1:4">
      <c r="A33" s="45" t="s">
        <v>132</v>
      </c>
      <c r="B33" s="28" t="s">
        <v>190</v>
      </c>
      <c r="C33" s="106">
        <f>הלוואות!P10</f>
        <v>9841.6869200000001</v>
      </c>
      <c r="D33" s="107">
        <f>C33/$C$42</f>
        <v>3.3825054091038656E-2</v>
      </c>
    </row>
    <row r="34" spans="1:4">
      <c r="A34" s="45" t="s">
        <v>132</v>
      </c>
      <c r="B34" s="28" t="s">
        <v>191</v>
      </c>
      <c r="C34" s="106" t="s" vm="26">
        <v>1172</v>
      </c>
      <c r="D34" s="107" t="s" vm="27">
        <v>1172</v>
      </c>
    </row>
    <row r="35" spans="1:4">
      <c r="A35" s="45" t="s">
        <v>132</v>
      </c>
      <c r="B35" s="28" t="s">
        <v>192</v>
      </c>
      <c r="C35" s="106" t="s" vm="28">
        <v>1172</v>
      </c>
      <c r="D35" s="107" t="s" vm="29">
        <v>1172</v>
      </c>
    </row>
    <row r="36" spans="1:4">
      <c r="A36" s="45" t="s">
        <v>132</v>
      </c>
      <c r="B36" s="46" t="s">
        <v>193</v>
      </c>
      <c r="C36" s="106" t="s" vm="30">
        <v>1172</v>
      </c>
      <c r="D36" s="107" t="s" vm="31">
        <v>1172</v>
      </c>
    </row>
    <row r="37" spans="1:4">
      <c r="A37" s="45" t="s">
        <v>132</v>
      </c>
      <c r="B37" s="28" t="s">
        <v>194</v>
      </c>
      <c r="C37" s="106">
        <f>'השקעות אחרות '!I10</f>
        <v>4.9557839970000002</v>
      </c>
      <c r="D37" s="107">
        <f>C37/$C$42</f>
        <v>1.7032614746296842E-5</v>
      </c>
    </row>
    <row r="38" spans="1:4">
      <c r="A38" s="45"/>
      <c r="B38" s="56" t="s">
        <v>196</v>
      </c>
      <c r="C38" s="106">
        <v>0</v>
      </c>
      <c r="D38" s="107">
        <f>C38/$C$42</f>
        <v>0</v>
      </c>
    </row>
    <row r="39" spans="1:4">
      <c r="A39" s="45" t="s">
        <v>132</v>
      </c>
      <c r="B39" s="57" t="s">
        <v>197</v>
      </c>
      <c r="C39" s="106" t="s" vm="32">
        <v>1172</v>
      </c>
      <c r="D39" s="107" t="s" vm="33">
        <v>1172</v>
      </c>
    </row>
    <row r="40" spans="1:4">
      <c r="A40" s="45" t="s">
        <v>132</v>
      </c>
      <c r="B40" s="57" t="s">
        <v>225</v>
      </c>
      <c r="C40" s="106" t="s" vm="34">
        <v>1172</v>
      </c>
      <c r="D40" s="107" t="s" vm="35">
        <v>1172</v>
      </c>
    </row>
    <row r="41" spans="1:4">
      <c r="A41" s="45" t="s">
        <v>132</v>
      </c>
      <c r="B41" s="57" t="s">
        <v>198</v>
      </c>
      <c r="C41" s="106" t="s" vm="36">
        <v>1172</v>
      </c>
      <c r="D41" s="107" t="s" vm="37">
        <v>1172</v>
      </c>
    </row>
    <row r="42" spans="1:4">
      <c r="B42" s="57" t="s">
        <v>78</v>
      </c>
      <c r="C42" s="106">
        <f>C38+C10</f>
        <v>290958.49761279108</v>
      </c>
      <c r="D42" s="107">
        <f>C42/$C$42</f>
        <v>1</v>
      </c>
    </row>
    <row r="43" spans="1:4">
      <c r="A43" s="45" t="s">
        <v>132</v>
      </c>
      <c r="B43" s="57" t="s">
        <v>195</v>
      </c>
      <c r="C43" s="127">
        <f>'יתרת התחייבות להשקעה'!C10</f>
        <v>4118.3762138712664</v>
      </c>
      <c r="D43" s="107"/>
    </row>
    <row r="44" spans="1:4">
      <c r="B44" s="6" t="s">
        <v>101</v>
      </c>
    </row>
    <row r="45" spans="1:4">
      <c r="C45" s="63" t="s">
        <v>177</v>
      </c>
      <c r="D45" s="35" t="s">
        <v>96</v>
      </c>
    </row>
    <row r="46" spans="1:4">
      <c r="C46" s="64" t="s">
        <v>0</v>
      </c>
      <c r="D46" s="24" t="s">
        <v>1</v>
      </c>
    </row>
    <row r="47" spans="1:4">
      <c r="C47" s="108" t="s">
        <v>158</v>
      </c>
      <c r="D47" s="109" vm="38">
        <v>2.1722000000000001</v>
      </c>
    </row>
    <row r="48" spans="1:4">
      <c r="C48" s="108" t="s">
        <v>167</v>
      </c>
      <c r="D48" s="109">
        <v>0.6860650847718569</v>
      </c>
    </row>
    <row r="49" spans="2:4">
      <c r="C49" s="108" t="s">
        <v>163</v>
      </c>
      <c r="D49" s="109" vm="39">
        <v>2.5002</v>
      </c>
    </row>
    <row r="50" spans="2:4">
      <c r="B50" s="12"/>
      <c r="C50" s="108" t="s">
        <v>1173</v>
      </c>
      <c r="D50" s="109" vm="40">
        <v>3.6854</v>
      </c>
    </row>
    <row r="51" spans="2:4">
      <c r="C51" s="108" t="s">
        <v>156</v>
      </c>
      <c r="D51" s="109" vm="41">
        <v>3.9003000000000001</v>
      </c>
    </row>
    <row r="52" spans="2:4">
      <c r="C52" s="108" t="s">
        <v>157</v>
      </c>
      <c r="D52" s="109" vm="42">
        <v>4.3986000000000001</v>
      </c>
    </row>
    <row r="53" spans="2:4">
      <c r="C53" s="108" t="s">
        <v>159</v>
      </c>
      <c r="D53" s="109">
        <v>0.45987538860437815</v>
      </c>
    </row>
    <row r="54" spans="2:4">
      <c r="C54" s="108" t="s">
        <v>164</v>
      </c>
      <c r="D54" s="109" vm="43">
        <v>3.2787999999999999</v>
      </c>
    </row>
    <row r="55" spans="2:4">
      <c r="C55" s="108" t="s">
        <v>165</v>
      </c>
      <c r="D55" s="109">
        <v>0.14994931586939056</v>
      </c>
    </row>
    <row r="56" spans="2:4">
      <c r="C56" s="108" t="s">
        <v>162</v>
      </c>
      <c r="D56" s="109" vm="44">
        <v>0.52229999999999999</v>
      </c>
    </row>
    <row r="57" spans="2:4">
      <c r="C57" s="108" t="s">
        <v>1174</v>
      </c>
      <c r="D57" s="109">
        <v>2.121175</v>
      </c>
    </row>
    <row r="58" spans="2:4">
      <c r="C58" s="108" t="s">
        <v>161</v>
      </c>
      <c r="D58" s="109" vm="45">
        <v>0.35189999999999999</v>
      </c>
    </row>
    <row r="59" spans="2:4">
      <c r="C59" s="108" t="s">
        <v>154</v>
      </c>
      <c r="D59" s="109" vm="46">
        <v>3.5649999999999999</v>
      </c>
    </row>
    <row r="60" spans="2:4">
      <c r="C60" s="108" t="s">
        <v>168</v>
      </c>
      <c r="D60" s="109" vm="47">
        <v>0.19939999999999999</v>
      </c>
    </row>
    <row r="61" spans="2:4">
      <c r="C61" s="108" t="s">
        <v>1175</v>
      </c>
      <c r="D61" s="109" vm="48">
        <v>0.3402</v>
      </c>
    </row>
    <row r="62" spans="2:4">
      <c r="C62" s="108" t="s">
        <v>1176</v>
      </c>
      <c r="D62" s="109">
        <v>4.5403370420181763E-2</v>
      </c>
    </row>
    <row r="63" spans="2:4">
      <c r="C63" s="108" t="s">
        <v>1177</v>
      </c>
      <c r="D63" s="109">
        <v>0.50337465759227351</v>
      </c>
    </row>
    <row r="64" spans="2:4">
      <c r="C64" s="108" t="s">
        <v>155</v>
      </c>
      <c r="D64" s="109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170</v>
      </c>
      <c r="C1" s="68" t="s" vm="1">
        <v>247</v>
      </c>
    </row>
    <row r="2" spans="2:61">
      <c r="B2" s="47" t="s">
        <v>169</v>
      </c>
      <c r="C2" s="68" t="s">
        <v>248</v>
      </c>
    </row>
    <row r="3" spans="2:61">
      <c r="B3" s="47" t="s">
        <v>171</v>
      </c>
      <c r="C3" s="68" t="s">
        <v>249</v>
      </c>
    </row>
    <row r="4" spans="2:61">
      <c r="B4" s="47" t="s">
        <v>172</v>
      </c>
      <c r="C4" s="68">
        <v>2144</v>
      </c>
    </row>
    <row r="6" spans="2:61" ht="26.25" customHeight="1">
      <c r="B6" s="134" t="s">
        <v>200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61" ht="26.25" customHeight="1">
      <c r="B7" s="134" t="s">
        <v>86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  <c r="BI7" s="3"/>
    </row>
    <row r="8" spans="2:61" s="3" customFormat="1" ht="78.75">
      <c r="B8" s="22" t="s">
        <v>107</v>
      </c>
      <c r="C8" s="30" t="s">
        <v>41</v>
      </c>
      <c r="D8" s="30" t="s">
        <v>110</v>
      </c>
      <c r="E8" s="30" t="s">
        <v>60</v>
      </c>
      <c r="F8" s="30" t="s">
        <v>94</v>
      </c>
      <c r="G8" s="30" t="s">
        <v>224</v>
      </c>
      <c r="H8" s="30" t="s">
        <v>223</v>
      </c>
      <c r="I8" s="30" t="s">
        <v>56</v>
      </c>
      <c r="J8" s="30" t="s">
        <v>53</v>
      </c>
      <c r="K8" s="30" t="s">
        <v>173</v>
      </c>
      <c r="L8" s="31" t="s">
        <v>175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231</v>
      </c>
      <c r="H9" s="16"/>
      <c r="I9" s="16" t="s">
        <v>227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BD11" s="1"/>
      <c r="BE11" s="3"/>
      <c r="BF11" s="1"/>
      <c r="BH11" s="1"/>
    </row>
    <row r="12" spans="2:61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BE12" s="3"/>
    </row>
    <row r="13" spans="2:61" ht="20.25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BE13" s="4"/>
    </row>
    <row r="14" spans="2:61">
      <c r="B14" s="89" t="s">
        <v>222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61">
      <c r="B15" s="89" t="s">
        <v>230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6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 ht="20.2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BD18" s="4"/>
    </row>
    <row r="19" spans="2:5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BD21" s="3"/>
    </row>
    <row r="22" spans="2:5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170</v>
      </c>
      <c r="C1" s="68" t="s" vm="1">
        <v>247</v>
      </c>
    </row>
    <row r="2" spans="1:60">
      <c r="B2" s="47" t="s">
        <v>169</v>
      </c>
      <c r="C2" s="68" t="s">
        <v>248</v>
      </c>
    </row>
    <row r="3" spans="1:60">
      <c r="B3" s="47" t="s">
        <v>171</v>
      </c>
      <c r="C3" s="68" t="s">
        <v>249</v>
      </c>
    </row>
    <row r="4" spans="1:60">
      <c r="B4" s="47" t="s">
        <v>172</v>
      </c>
      <c r="C4" s="68">
        <v>2144</v>
      </c>
    </row>
    <row r="6" spans="1:60" ht="26.25" customHeight="1">
      <c r="B6" s="134" t="s">
        <v>200</v>
      </c>
      <c r="C6" s="135"/>
      <c r="D6" s="135"/>
      <c r="E6" s="135"/>
      <c r="F6" s="135"/>
      <c r="G6" s="135"/>
      <c r="H6" s="135"/>
      <c r="I6" s="135"/>
      <c r="J6" s="135"/>
      <c r="K6" s="136"/>
      <c r="BD6" s="1" t="s">
        <v>111</v>
      </c>
      <c r="BF6" s="1" t="s">
        <v>178</v>
      </c>
      <c r="BH6" s="3" t="s">
        <v>155</v>
      </c>
    </row>
    <row r="7" spans="1:60" ht="26.25" customHeight="1">
      <c r="B7" s="134" t="s">
        <v>87</v>
      </c>
      <c r="C7" s="135"/>
      <c r="D7" s="135"/>
      <c r="E7" s="135"/>
      <c r="F7" s="135"/>
      <c r="G7" s="135"/>
      <c r="H7" s="135"/>
      <c r="I7" s="135"/>
      <c r="J7" s="135"/>
      <c r="K7" s="136"/>
      <c r="BD7" s="3" t="s">
        <v>113</v>
      </c>
      <c r="BF7" s="1" t="s">
        <v>133</v>
      </c>
      <c r="BH7" s="3" t="s">
        <v>154</v>
      </c>
    </row>
    <row r="8" spans="1:60" s="3" customFormat="1" ht="78.75">
      <c r="A8" s="2"/>
      <c r="B8" s="22" t="s">
        <v>107</v>
      </c>
      <c r="C8" s="30" t="s">
        <v>41</v>
      </c>
      <c r="D8" s="30" t="s">
        <v>110</v>
      </c>
      <c r="E8" s="30" t="s">
        <v>60</v>
      </c>
      <c r="F8" s="30" t="s">
        <v>94</v>
      </c>
      <c r="G8" s="30" t="s">
        <v>224</v>
      </c>
      <c r="H8" s="30" t="s">
        <v>223</v>
      </c>
      <c r="I8" s="30" t="s">
        <v>56</v>
      </c>
      <c r="J8" s="30" t="s">
        <v>173</v>
      </c>
      <c r="K8" s="31" t="s">
        <v>175</v>
      </c>
      <c r="BC8" s="1" t="s">
        <v>126</v>
      </c>
      <c r="BD8" s="1" t="s">
        <v>127</v>
      </c>
      <c r="BE8" s="1" t="s">
        <v>134</v>
      </c>
      <c r="BG8" s="4" t="s">
        <v>156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231</v>
      </c>
      <c r="H9" s="16"/>
      <c r="I9" s="16" t="s">
        <v>227</v>
      </c>
      <c r="J9" s="32" t="s">
        <v>19</v>
      </c>
      <c r="K9" s="33" t="s">
        <v>19</v>
      </c>
      <c r="BC9" s="1" t="s">
        <v>123</v>
      </c>
      <c r="BE9" s="1" t="s">
        <v>135</v>
      </c>
      <c r="BG9" s="4" t="s">
        <v>157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119</v>
      </c>
      <c r="BD10" s="3"/>
      <c r="BE10" s="1" t="s">
        <v>179</v>
      </c>
      <c r="BG10" s="1" t="s">
        <v>163</v>
      </c>
    </row>
    <row r="11" spans="1:60" s="4" customFormat="1" ht="18" customHeight="1">
      <c r="A11" s="2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3"/>
      <c r="M11" s="3"/>
      <c r="N11" s="3"/>
      <c r="O11" s="3"/>
      <c r="BC11" s="1" t="s">
        <v>118</v>
      </c>
      <c r="BD11" s="3"/>
      <c r="BE11" s="1" t="s">
        <v>136</v>
      </c>
      <c r="BG11" s="1" t="s">
        <v>158</v>
      </c>
    </row>
    <row r="12" spans="1:60" ht="20.25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P12" s="1"/>
      <c r="BC12" s="1" t="s">
        <v>116</v>
      </c>
      <c r="BD12" s="4"/>
      <c r="BE12" s="1" t="s">
        <v>137</v>
      </c>
      <c r="BG12" s="1" t="s">
        <v>159</v>
      </c>
    </row>
    <row r="13" spans="1:60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P13" s="1"/>
      <c r="BC13" s="1" t="s">
        <v>120</v>
      </c>
      <c r="BE13" s="1" t="s">
        <v>138</v>
      </c>
      <c r="BG13" s="1" t="s">
        <v>160</v>
      </c>
    </row>
    <row r="14" spans="1:60">
      <c r="B14" s="89" t="s">
        <v>222</v>
      </c>
      <c r="C14" s="91"/>
      <c r="D14" s="91"/>
      <c r="E14" s="91"/>
      <c r="F14" s="91"/>
      <c r="G14" s="91"/>
      <c r="H14" s="91"/>
      <c r="I14" s="91"/>
      <c r="J14" s="91"/>
      <c r="K14" s="91"/>
      <c r="P14" s="1"/>
      <c r="BC14" s="1" t="s">
        <v>117</v>
      </c>
      <c r="BE14" s="1" t="s">
        <v>139</v>
      </c>
      <c r="BG14" s="1" t="s">
        <v>162</v>
      </c>
    </row>
    <row r="15" spans="1:60">
      <c r="B15" s="89" t="s">
        <v>230</v>
      </c>
      <c r="C15" s="91"/>
      <c r="D15" s="91"/>
      <c r="E15" s="91"/>
      <c r="F15" s="91"/>
      <c r="G15" s="91"/>
      <c r="H15" s="91"/>
      <c r="I15" s="91"/>
      <c r="J15" s="91"/>
      <c r="K15" s="91"/>
      <c r="P15" s="1"/>
      <c r="BC15" s="1" t="s">
        <v>128</v>
      </c>
      <c r="BE15" s="1" t="s">
        <v>180</v>
      </c>
      <c r="BG15" s="1" t="s">
        <v>164</v>
      </c>
    </row>
    <row r="16" spans="1:60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P16" s="1"/>
      <c r="BC16" s="4" t="s">
        <v>114</v>
      </c>
      <c r="BD16" s="1" t="s">
        <v>129</v>
      </c>
      <c r="BE16" s="1" t="s">
        <v>140</v>
      </c>
      <c r="BG16" s="1" t="s">
        <v>165</v>
      </c>
    </row>
    <row r="17" spans="2:60">
      <c r="B17" s="91"/>
      <c r="C17" s="91"/>
      <c r="D17" s="91"/>
      <c r="E17" s="91"/>
      <c r="F17" s="91"/>
      <c r="G17" s="91"/>
      <c r="H17" s="91"/>
      <c r="I17" s="91"/>
      <c r="J17" s="91"/>
      <c r="K17" s="91"/>
      <c r="P17" s="1"/>
      <c r="BC17" s="1" t="s">
        <v>124</v>
      </c>
      <c r="BE17" s="1" t="s">
        <v>141</v>
      </c>
      <c r="BG17" s="1" t="s">
        <v>166</v>
      </c>
    </row>
    <row r="18" spans="2:60">
      <c r="B18" s="91"/>
      <c r="C18" s="91"/>
      <c r="D18" s="91"/>
      <c r="E18" s="91"/>
      <c r="F18" s="91"/>
      <c r="G18" s="91"/>
      <c r="H18" s="91"/>
      <c r="I18" s="91"/>
      <c r="J18" s="91"/>
      <c r="K18" s="91"/>
      <c r="BD18" s="1" t="s">
        <v>112</v>
      </c>
      <c r="BF18" s="1" t="s">
        <v>142</v>
      </c>
      <c r="BH18" s="1" t="s">
        <v>27</v>
      </c>
    </row>
    <row r="19" spans="2:60">
      <c r="B19" s="91"/>
      <c r="C19" s="91"/>
      <c r="D19" s="91"/>
      <c r="E19" s="91"/>
      <c r="F19" s="91"/>
      <c r="G19" s="91"/>
      <c r="H19" s="91"/>
      <c r="I19" s="91"/>
      <c r="J19" s="91"/>
      <c r="K19" s="91"/>
      <c r="BD19" s="1" t="s">
        <v>125</v>
      </c>
      <c r="BF19" s="1" t="s">
        <v>143</v>
      </c>
    </row>
    <row r="20" spans="2:60">
      <c r="B20" s="91"/>
      <c r="C20" s="91"/>
      <c r="D20" s="91"/>
      <c r="E20" s="91"/>
      <c r="F20" s="91"/>
      <c r="G20" s="91"/>
      <c r="H20" s="91"/>
      <c r="I20" s="91"/>
      <c r="J20" s="91"/>
      <c r="K20" s="91"/>
      <c r="BD20" s="1" t="s">
        <v>130</v>
      </c>
      <c r="BF20" s="1" t="s">
        <v>144</v>
      </c>
    </row>
    <row r="21" spans="2:60">
      <c r="B21" s="91"/>
      <c r="C21" s="91"/>
      <c r="D21" s="91"/>
      <c r="E21" s="91"/>
      <c r="F21" s="91"/>
      <c r="G21" s="91"/>
      <c r="H21" s="91"/>
      <c r="I21" s="91"/>
      <c r="J21" s="91"/>
      <c r="K21" s="91"/>
      <c r="BD21" s="1" t="s">
        <v>115</v>
      </c>
      <c r="BE21" s="1" t="s">
        <v>131</v>
      </c>
      <c r="BF21" s="1" t="s">
        <v>145</v>
      </c>
    </row>
    <row r="22" spans="2:60">
      <c r="B22" s="91"/>
      <c r="C22" s="91"/>
      <c r="D22" s="91"/>
      <c r="E22" s="91"/>
      <c r="F22" s="91"/>
      <c r="G22" s="91"/>
      <c r="H22" s="91"/>
      <c r="I22" s="91"/>
      <c r="J22" s="91"/>
      <c r="K22" s="91"/>
      <c r="BD22" s="1" t="s">
        <v>121</v>
      </c>
      <c r="BF22" s="1" t="s">
        <v>146</v>
      </c>
    </row>
    <row r="23" spans="2:60">
      <c r="B23" s="91"/>
      <c r="C23" s="91"/>
      <c r="D23" s="91"/>
      <c r="E23" s="91"/>
      <c r="F23" s="91"/>
      <c r="G23" s="91"/>
      <c r="H23" s="91"/>
      <c r="I23" s="91"/>
      <c r="J23" s="91"/>
      <c r="K23" s="91"/>
      <c r="BD23" s="1" t="s">
        <v>27</v>
      </c>
      <c r="BE23" s="1" t="s">
        <v>122</v>
      </c>
      <c r="BF23" s="1" t="s">
        <v>181</v>
      </c>
    </row>
    <row r="24" spans="2:60">
      <c r="B24" s="91"/>
      <c r="C24" s="91"/>
      <c r="D24" s="91"/>
      <c r="E24" s="91"/>
      <c r="F24" s="91"/>
      <c r="G24" s="91"/>
      <c r="H24" s="91"/>
      <c r="I24" s="91"/>
      <c r="J24" s="91"/>
      <c r="K24" s="91"/>
      <c r="BF24" s="1" t="s">
        <v>184</v>
      </c>
    </row>
    <row r="25" spans="2:60">
      <c r="B25" s="91"/>
      <c r="C25" s="91"/>
      <c r="D25" s="91"/>
      <c r="E25" s="91"/>
      <c r="F25" s="91"/>
      <c r="G25" s="91"/>
      <c r="H25" s="91"/>
      <c r="I25" s="91"/>
      <c r="J25" s="91"/>
      <c r="K25" s="91"/>
      <c r="BF25" s="1" t="s">
        <v>147</v>
      </c>
    </row>
    <row r="26" spans="2:60">
      <c r="B26" s="91"/>
      <c r="C26" s="91"/>
      <c r="D26" s="91"/>
      <c r="E26" s="91"/>
      <c r="F26" s="91"/>
      <c r="G26" s="91"/>
      <c r="H26" s="91"/>
      <c r="I26" s="91"/>
      <c r="J26" s="91"/>
      <c r="K26" s="91"/>
      <c r="BF26" s="1" t="s">
        <v>148</v>
      </c>
    </row>
    <row r="27" spans="2:60">
      <c r="B27" s="91"/>
      <c r="C27" s="91"/>
      <c r="D27" s="91"/>
      <c r="E27" s="91"/>
      <c r="F27" s="91"/>
      <c r="G27" s="91"/>
      <c r="H27" s="91"/>
      <c r="I27" s="91"/>
      <c r="J27" s="91"/>
      <c r="K27" s="91"/>
      <c r="BF27" s="1" t="s">
        <v>183</v>
      </c>
    </row>
    <row r="28" spans="2:60">
      <c r="B28" s="91"/>
      <c r="C28" s="91"/>
      <c r="D28" s="91"/>
      <c r="E28" s="91"/>
      <c r="F28" s="91"/>
      <c r="G28" s="91"/>
      <c r="H28" s="91"/>
      <c r="I28" s="91"/>
      <c r="J28" s="91"/>
      <c r="K28" s="91"/>
      <c r="BF28" s="1" t="s">
        <v>149</v>
      </c>
    </row>
    <row r="29" spans="2:60">
      <c r="B29" s="91"/>
      <c r="C29" s="91"/>
      <c r="D29" s="91"/>
      <c r="E29" s="91"/>
      <c r="F29" s="91"/>
      <c r="G29" s="91"/>
      <c r="H29" s="91"/>
      <c r="I29" s="91"/>
      <c r="J29" s="91"/>
      <c r="K29" s="91"/>
      <c r="BF29" s="1" t="s">
        <v>150</v>
      </c>
    </row>
    <row r="30" spans="2:60">
      <c r="B30" s="91"/>
      <c r="C30" s="91"/>
      <c r="D30" s="91"/>
      <c r="E30" s="91"/>
      <c r="F30" s="91"/>
      <c r="G30" s="91"/>
      <c r="H30" s="91"/>
      <c r="I30" s="91"/>
      <c r="J30" s="91"/>
      <c r="K30" s="91"/>
      <c r="BF30" s="1" t="s">
        <v>182</v>
      </c>
    </row>
    <row r="31" spans="2:60">
      <c r="B31" s="91"/>
      <c r="C31" s="91"/>
      <c r="D31" s="91"/>
      <c r="E31" s="91"/>
      <c r="F31" s="91"/>
      <c r="G31" s="91"/>
      <c r="H31" s="91"/>
      <c r="I31" s="91"/>
      <c r="J31" s="91"/>
      <c r="K31" s="91"/>
      <c r="BF31" s="1" t="s">
        <v>27</v>
      </c>
    </row>
    <row r="32" spans="2:60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170</v>
      </c>
      <c r="C1" s="68" t="s" vm="1">
        <v>247</v>
      </c>
    </row>
    <row r="2" spans="2:81">
      <c r="B2" s="47" t="s">
        <v>169</v>
      </c>
      <c r="C2" s="68" t="s">
        <v>248</v>
      </c>
    </row>
    <row r="3" spans="2:81">
      <c r="B3" s="47" t="s">
        <v>171</v>
      </c>
      <c r="C3" s="68" t="s">
        <v>249</v>
      </c>
      <c r="E3" s="2"/>
    </row>
    <row r="4" spans="2:81">
      <c r="B4" s="47" t="s">
        <v>172</v>
      </c>
      <c r="C4" s="68">
        <v>2144</v>
      </c>
    </row>
    <row r="6" spans="2:81" ht="26.25" customHeight="1">
      <c r="B6" s="134" t="s">
        <v>200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2:81" ht="26.25" customHeight="1">
      <c r="B7" s="134" t="s">
        <v>88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</row>
    <row r="8" spans="2:81" s="3" customFormat="1" ht="47.25">
      <c r="B8" s="22" t="s">
        <v>107</v>
      </c>
      <c r="C8" s="30" t="s">
        <v>41</v>
      </c>
      <c r="D8" s="13" t="s">
        <v>45</v>
      </c>
      <c r="E8" s="30" t="s">
        <v>14</v>
      </c>
      <c r="F8" s="30" t="s">
        <v>61</v>
      </c>
      <c r="G8" s="30" t="s">
        <v>95</v>
      </c>
      <c r="H8" s="30" t="s">
        <v>17</v>
      </c>
      <c r="I8" s="30" t="s">
        <v>94</v>
      </c>
      <c r="J8" s="30" t="s">
        <v>16</v>
      </c>
      <c r="K8" s="30" t="s">
        <v>18</v>
      </c>
      <c r="L8" s="30" t="s">
        <v>224</v>
      </c>
      <c r="M8" s="30" t="s">
        <v>223</v>
      </c>
      <c r="N8" s="30" t="s">
        <v>56</v>
      </c>
      <c r="O8" s="30" t="s">
        <v>53</v>
      </c>
      <c r="P8" s="30" t="s">
        <v>173</v>
      </c>
      <c r="Q8" s="31" t="s">
        <v>175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231</v>
      </c>
      <c r="M9" s="32"/>
      <c r="N9" s="32" t="s">
        <v>227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104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81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81">
      <c r="B14" s="89" t="s">
        <v>222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81">
      <c r="B15" s="89" t="s">
        <v>230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8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I98"/>
  <sheetViews>
    <sheetView rightToLeft="1" topLeftCell="A73" workbookViewId="0">
      <selection activeCell="P92" activeCellId="1" sqref="P12:P91 P92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49.28515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6" style="3" customWidth="1"/>
    <col min="18" max="18" width="6.140625" style="3" customWidth="1"/>
    <col min="19" max="20" width="5.7109375" style="3" customWidth="1"/>
    <col min="21" max="21" width="6.85546875" style="3" customWidth="1"/>
    <col min="22" max="22" width="6.42578125" style="3" customWidth="1"/>
    <col min="23" max="23" width="6.7109375" style="3" customWidth="1"/>
    <col min="24" max="24" width="7.28515625" style="3" customWidth="1"/>
    <col min="25" max="28" width="5.7109375" style="3" customWidth="1"/>
    <col min="29" max="36" width="5.7109375" style="1" customWidth="1"/>
    <col min="37" max="16384" width="9.140625" style="1"/>
  </cols>
  <sheetData>
    <row r="1" spans="2:61">
      <c r="B1" s="47" t="s">
        <v>170</v>
      </c>
      <c r="C1" s="68" t="s" vm="1">
        <v>247</v>
      </c>
    </row>
    <row r="2" spans="2:61">
      <c r="B2" s="47" t="s">
        <v>169</v>
      </c>
      <c r="C2" s="68" t="s">
        <v>248</v>
      </c>
    </row>
    <row r="3" spans="2:61">
      <c r="B3" s="47" t="s">
        <v>171</v>
      </c>
      <c r="C3" s="68" t="s">
        <v>249</v>
      </c>
    </row>
    <row r="4" spans="2:61">
      <c r="B4" s="47" t="s">
        <v>172</v>
      </c>
      <c r="C4" s="68">
        <v>2144</v>
      </c>
    </row>
    <row r="6" spans="2:61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61" ht="26.25" customHeight="1">
      <c r="B7" s="134" t="s">
        <v>80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6"/>
    </row>
    <row r="8" spans="2:61" s="3" customFormat="1" ht="78.75">
      <c r="B8" s="22" t="s">
        <v>107</v>
      </c>
      <c r="C8" s="30" t="s">
        <v>41</v>
      </c>
      <c r="D8" s="30" t="s">
        <v>14</v>
      </c>
      <c r="E8" s="30" t="s">
        <v>61</v>
      </c>
      <c r="F8" s="30" t="s">
        <v>95</v>
      </c>
      <c r="G8" s="30" t="s">
        <v>17</v>
      </c>
      <c r="H8" s="30" t="s">
        <v>94</v>
      </c>
      <c r="I8" s="30" t="s">
        <v>16</v>
      </c>
      <c r="J8" s="30" t="s">
        <v>18</v>
      </c>
      <c r="K8" s="30" t="s">
        <v>224</v>
      </c>
      <c r="L8" s="30" t="s">
        <v>223</v>
      </c>
      <c r="M8" s="30" t="s">
        <v>102</v>
      </c>
      <c r="N8" s="30" t="s">
        <v>53</v>
      </c>
      <c r="O8" s="30" t="s">
        <v>173</v>
      </c>
      <c r="P8" s="31" t="s">
        <v>175</v>
      </c>
    </row>
    <row r="9" spans="2:61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231</v>
      </c>
      <c r="L9" s="32"/>
      <c r="M9" s="32" t="s">
        <v>227</v>
      </c>
      <c r="N9" s="32" t="s">
        <v>19</v>
      </c>
      <c r="O9" s="32" t="s">
        <v>19</v>
      </c>
      <c r="P9" s="33" t="s">
        <v>19</v>
      </c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2:61" s="4" customFormat="1" ht="18" customHeight="1">
      <c r="B11" s="69" t="s">
        <v>26</v>
      </c>
      <c r="C11" s="70"/>
      <c r="D11" s="70"/>
      <c r="E11" s="70"/>
      <c r="F11" s="70"/>
      <c r="G11" s="78">
        <v>7.7544718138789372</v>
      </c>
      <c r="H11" s="70"/>
      <c r="I11" s="70"/>
      <c r="J11" s="93">
        <v>4.8538808314140598E-2</v>
      </c>
      <c r="K11" s="78"/>
      <c r="L11" s="80"/>
      <c r="M11" s="78">
        <v>78295.083780000015</v>
      </c>
      <c r="N11" s="70"/>
      <c r="O11" s="79">
        <v>1</v>
      </c>
      <c r="P11" s="79">
        <f>M11/'סכום נכסי הקרן'!$C$42</f>
        <v>0.26909364882752274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BI11" s="1"/>
    </row>
    <row r="12" spans="2:61" ht="21.75" customHeight="1">
      <c r="B12" s="71" t="s">
        <v>221</v>
      </c>
      <c r="C12" s="72"/>
      <c r="D12" s="72"/>
      <c r="E12" s="72"/>
      <c r="F12" s="72"/>
      <c r="G12" s="81">
        <v>7.7544718138789337</v>
      </c>
      <c r="H12" s="72"/>
      <c r="I12" s="72"/>
      <c r="J12" s="94">
        <v>4.8538808314140584E-2</v>
      </c>
      <c r="K12" s="81"/>
      <c r="L12" s="83"/>
      <c r="M12" s="81">
        <v>78295.08378000003</v>
      </c>
      <c r="N12" s="72"/>
      <c r="O12" s="82">
        <v>1.0000000000000002</v>
      </c>
      <c r="P12" s="82">
        <f>M12/'סכום נכסי הקרן'!$C$42</f>
        <v>0.26909364882752279</v>
      </c>
    </row>
    <row r="13" spans="2:61">
      <c r="B13" s="92" t="s">
        <v>62</v>
      </c>
      <c r="C13" s="72"/>
      <c r="D13" s="72"/>
      <c r="E13" s="72"/>
      <c r="F13" s="72"/>
      <c r="G13" s="81">
        <v>7.7544718138789337</v>
      </c>
      <c r="H13" s="72"/>
      <c r="I13" s="72"/>
      <c r="J13" s="94">
        <v>4.8538808314140584E-2</v>
      </c>
      <c r="K13" s="81"/>
      <c r="L13" s="83"/>
      <c r="M13" s="81">
        <v>78295.08378000003</v>
      </c>
      <c r="N13" s="72"/>
      <c r="O13" s="82">
        <v>1.0000000000000002</v>
      </c>
      <c r="P13" s="82">
        <f>M13/'סכום נכסי הקרן'!$C$42</f>
        <v>0.26909364882752279</v>
      </c>
      <c r="Q13" s="74"/>
    </row>
    <row r="14" spans="2:61">
      <c r="B14" s="77" t="s">
        <v>968</v>
      </c>
      <c r="C14" s="74">
        <v>8287617</v>
      </c>
      <c r="D14" s="74" t="s">
        <v>252</v>
      </c>
      <c r="E14" s="74"/>
      <c r="F14" s="96">
        <v>40148</v>
      </c>
      <c r="G14" s="84">
        <v>4.18</v>
      </c>
      <c r="H14" s="87" t="s">
        <v>155</v>
      </c>
      <c r="I14" s="88">
        <v>4.8000000000000001E-2</v>
      </c>
      <c r="J14" s="88">
        <v>4.8500000000000008E-2</v>
      </c>
      <c r="K14" s="84">
        <v>672000</v>
      </c>
      <c r="L14" s="86">
        <v>110.4628</v>
      </c>
      <c r="M14" s="84">
        <v>742.23526000000004</v>
      </c>
      <c r="N14" s="74"/>
      <c r="O14" s="85">
        <v>9.4799727411441805E-3</v>
      </c>
      <c r="P14" s="85">
        <f>M14/'סכום נכסי הקרן'!$C$42</f>
        <v>2.5510004556999403E-3</v>
      </c>
      <c r="Q14" s="74"/>
    </row>
    <row r="15" spans="2:61">
      <c r="B15" s="77" t="s">
        <v>969</v>
      </c>
      <c r="C15" s="74">
        <v>8287716</v>
      </c>
      <c r="D15" s="74" t="s">
        <v>252</v>
      </c>
      <c r="E15" s="74"/>
      <c r="F15" s="96">
        <v>40452</v>
      </c>
      <c r="G15" s="84">
        <v>4.79</v>
      </c>
      <c r="H15" s="87" t="s">
        <v>155</v>
      </c>
      <c r="I15" s="88">
        <v>4.8000000000000001E-2</v>
      </c>
      <c r="J15" s="88">
        <v>4.8600000000000004E-2</v>
      </c>
      <c r="K15" s="84">
        <v>731000</v>
      </c>
      <c r="L15" s="86">
        <v>109.2269</v>
      </c>
      <c r="M15" s="84">
        <v>798.35193000000004</v>
      </c>
      <c r="N15" s="74"/>
      <c r="O15" s="85">
        <v>1.0196705737531045E-2</v>
      </c>
      <c r="P15" s="85">
        <f>M15/'סכום נכסי הקרן'!$C$42</f>
        <v>2.7438687529327652E-3</v>
      </c>
      <c r="Q15" s="74"/>
    </row>
    <row r="16" spans="2:61">
      <c r="B16" s="77" t="s">
        <v>970</v>
      </c>
      <c r="C16" s="74">
        <v>71116487</v>
      </c>
      <c r="D16" s="74" t="s">
        <v>252</v>
      </c>
      <c r="E16" s="74"/>
      <c r="F16" s="96">
        <v>40909</v>
      </c>
      <c r="G16" s="84">
        <v>5.78</v>
      </c>
      <c r="H16" s="87" t="s">
        <v>155</v>
      </c>
      <c r="I16" s="88">
        <v>4.8000000000000001E-2</v>
      </c>
      <c r="J16" s="88">
        <v>4.8499999999999995E-2</v>
      </c>
      <c r="K16" s="84">
        <v>593000</v>
      </c>
      <c r="L16" s="86">
        <v>104.6032</v>
      </c>
      <c r="M16" s="84">
        <v>620.31966</v>
      </c>
      <c r="N16" s="74"/>
      <c r="O16" s="85">
        <v>7.9228430452035186E-3</v>
      </c>
      <c r="P16" s="85">
        <f>M16/'סכום נכסי הקרן'!$C$42</f>
        <v>2.1319867441215766E-3</v>
      </c>
      <c r="Q16" s="74"/>
    </row>
    <row r="17" spans="2:17">
      <c r="B17" s="77" t="s">
        <v>971</v>
      </c>
      <c r="C17" s="74">
        <v>8790</v>
      </c>
      <c r="D17" s="74" t="s">
        <v>252</v>
      </c>
      <c r="E17" s="74"/>
      <c r="F17" s="96">
        <v>41030</v>
      </c>
      <c r="G17" s="84">
        <v>5.9700000000000006</v>
      </c>
      <c r="H17" s="87" t="s">
        <v>155</v>
      </c>
      <c r="I17" s="88">
        <v>4.8000000000000001E-2</v>
      </c>
      <c r="J17" s="88">
        <v>4.8599999999999997E-2</v>
      </c>
      <c r="K17" s="84">
        <v>3484000</v>
      </c>
      <c r="L17" s="86">
        <v>104.9873</v>
      </c>
      <c r="M17" s="84">
        <v>3657.9190899999999</v>
      </c>
      <c r="N17" s="74"/>
      <c r="O17" s="85">
        <v>4.6719652287215412E-2</v>
      </c>
      <c r="P17" s="85">
        <f>M17/'סכום נכסי הקרן'!$C$42</f>
        <v>1.2571961705919912E-2</v>
      </c>
      <c r="Q17" s="74"/>
    </row>
    <row r="18" spans="2:17">
      <c r="B18" s="77" t="s">
        <v>972</v>
      </c>
      <c r="C18" s="74">
        <v>8287928</v>
      </c>
      <c r="D18" s="74" t="s">
        <v>252</v>
      </c>
      <c r="E18" s="74"/>
      <c r="F18" s="96">
        <v>41091</v>
      </c>
      <c r="G18" s="84">
        <v>6.14</v>
      </c>
      <c r="H18" s="87" t="s">
        <v>155</v>
      </c>
      <c r="I18" s="88">
        <v>4.8000000000000001E-2</v>
      </c>
      <c r="J18" s="88">
        <v>4.8600000000000004E-2</v>
      </c>
      <c r="K18" s="84">
        <v>743000</v>
      </c>
      <c r="L18" s="86">
        <v>103.304073</v>
      </c>
      <c r="M18" s="84">
        <v>767.54921999999999</v>
      </c>
      <c r="N18" s="74"/>
      <c r="O18" s="85">
        <v>9.8032875494037802E-3</v>
      </c>
      <c r="P18" s="85">
        <f>M18/'סכום נכסי הקרן'!$C$42</f>
        <v>2.6380024171744868E-3</v>
      </c>
      <c r="Q18" s="74"/>
    </row>
    <row r="19" spans="2:17">
      <c r="B19" s="77" t="s">
        <v>973</v>
      </c>
      <c r="C19" s="74">
        <v>8793</v>
      </c>
      <c r="D19" s="74" t="s">
        <v>252</v>
      </c>
      <c r="E19" s="74"/>
      <c r="F19" s="96">
        <v>41122</v>
      </c>
      <c r="G19" s="84">
        <v>6.2299999999999995</v>
      </c>
      <c r="H19" s="87" t="s">
        <v>155</v>
      </c>
      <c r="I19" s="88">
        <v>4.8000000000000001E-2</v>
      </c>
      <c r="J19" s="88">
        <v>4.8499999999999988E-2</v>
      </c>
      <c r="K19" s="84">
        <v>2280000</v>
      </c>
      <c r="L19" s="86">
        <v>103.1905</v>
      </c>
      <c r="M19" s="84">
        <v>2352.7431200000001</v>
      </c>
      <c r="N19" s="74"/>
      <c r="O19" s="85">
        <v>3.0049691582308434E-2</v>
      </c>
      <c r="P19" s="85">
        <f>M19/'סכום נכסי הקרן'!$C$42</f>
        <v>8.0861811540250718E-3</v>
      </c>
      <c r="Q19" s="74"/>
    </row>
    <row r="20" spans="2:17">
      <c r="B20" s="77" t="s">
        <v>974</v>
      </c>
      <c r="C20" s="74">
        <v>71120232</v>
      </c>
      <c r="D20" s="74" t="s">
        <v>252</v>
      </c>
      <c r="E20" s="74"/>
      <c r="F20" s="96">
        <v>41154</v>
      </c>
      <c r="G20" s="84">
        <v>6.3100000000000005</v>
      </c>
      <c r="H20" s="87" t="s">
        <v>155</v>
      </c>
      <c r="I20" s="88">
        <v>4.8000000000000001E-2</v>
      </c>
      <c r="J20" s="88">
        <v>4.8599999999999997E-2</v>
      </c>
      <c r="K20" s="84">
        <v>1823000</v>
      </c>
      <c r="L20" s="86">
        <v>102.6777</v>
      </c>
      <c r="M20" s="84">
        <v>1871.81474</v>
      </c>
      <c r="N20" s="74"/>
      <c r="O20" s="85">
        <v>2.3907181008447215E-2</v>
      </c>
      <c r="P20" s="85">
        <f>M20/'סכום נכסי הקרן'!$C$42</f>
        <v>6.4332705707431164E-3</v>
      </c>
      <c r="Q20" s="74"/>
    </row>
    <row r="21" spans="2:17">
      <c r="B21" s="77" t="s">
        <v>975</v>
      </c>
      <c r="C21" s="74">
        <v>71120356</v>
      </c>
      <c r="D21" s="74" t="s">
        <v>252</v>
      </c>
      <c r="E21" s="74"/>
      <c r="F21" s="96">
        <v>41184</v>
      </c>
      <c r="G21" s="84">
        <v>6.24</v>
      </c>
      <c r="H21" s="87" t="s">
        <v>155</v>
      </c>
      <c r="I21" s="88">
        <v>4.8000000000000001E-2</v>
      </c>
      <c r="J21" s="88">
        <v>4.8600000000000004E-2</v>
      </c>
      <c r="K21" s="84">
        <v>1919000</v>
      </c>
      <c r="L21" s="86">
        <v>103.63500000000001</v>
      </c>
      <c r="M21" s="84">
        <v>1988.7531899999999</v>
      </c>
      <c r="N21" s="74"/>
      <c r="O21" s="85">
        <v>2.5400741578975285E-2</v>
      </c>
      <c r="P21" s="85">
        <f>M21/'סכום נכסי הקרן'!$C$42</f>
        <v>6.8351782344114312E-3</v>
      </c>
      <c r="Q21" s="74"/>
    </row>
    <row r="22" spans="2:17">
      <c r="B22" s="77" t="s">
        <v>976</v>
      </c>
      <c r="C22" s="74">
        <v>98796000</v>
      </c>
      <c r="D22" s="74" t="s">
        <v>252</v>
      </c>
      <c r="E22" s="74"/>
      <c r="F22" s="96">
        <v>41214</v>
      </c>
      <c r="G22" s="84">
        <v>6.33</v>
      </c>
      <c r="H22" s="87" t="s">
        <v>155</v>
      </c>
      <c r="I22" s="88">
        <v>4.8000000000000001E-2</v>
      </c>
      <c r="J22" s="88">
        <v>4.8500000000000008E-2</v>
      </c>
      <c r="K22" s="84">
        <v>1336000</v>
      </c>
      <c r="L22" s="86">
        <v>103.2424</v>
      </c>
      <c r="M22" s="84">
        <v>1379.3188799999998</v>
      </c>
      <c r="N22" s="74"/>
      <c r="O22" s="85">
        <v>1.7616928335829153E-2</v>
      </c>
      <c r="P22" s="85">
        <f>M22/'סכום נכסי הקרן'!$C$42</f>
        <v>4.7406035270212447E-3</v>
      </c>
      <c r="Q22" s="74"/>
    </row>
    <row r="23" spans="2:17">
      <c r="B23" s="77" t="s">
        <v>977</v>
      </c>
      <c r="C23" s="74">
        <v>98797000</v>
      </c>
      <c r="D23" s="74" t="s">
        <v>252</v>
      </c>
      <c r="E23" s="74"/>
      <c r="F23" s="96">
        <v>41245</v>
      </c>
      <c r="G23" s="84">
        <v>6.410000000000001</v>
      </c>
      <c r="H23" s="87" t="s">
        <v>155</v>
      </c>
      <c r="I23" s="88">
        <v>4.8000000000000001E-2</v>
      </c>
      <c r="J23" s="88">
        <v>4.8600000000000004E-2</v>
      </c>
      <c r="K23" s="84">
        <v>1910000</v>
      </c>
      <c r="L23" s="86">
        <v>103.0159</v>
      </c>
      <c r="M23" s="84">
        <v>1967.60293</v>
      </c>
      <c r="N23" s="74"/>
      <c r="O23" s="85">
        <v>2.5130606354911541E-2</v>
      </c>
      <c r="P23" s="85">
        <f>M23/'סכום נכסי הקרן'!$C$42</f>
        <v>6.7624865612912781E-3</v>
      </c>
      <c r="Q23" s="74"/>
    </row>
    <row r="24" spans="2:17">
      <c r="B24" s="77" t="s">
        <v>978</v>
      </c>
      <c r="C24" s="74">
        <v>98798000</v>
      </c>
      <c r="D24" s="74" t="s">
        <v>252</v>
      </c>
      <c r="E24" s="74"/>
      <c r="F24" s="96">
        <v>41275</v>
      </c>
      <c r="G24" s="84">
        <v>6.49</v>
      </c>
      <c r="H24" s="87" t="s">
        <v>155</v>
      </c>
      <c r="I24" s="88">
        <v>4.8000000000000001E-2</v>
      </c>
      <c r="J24" s="88">
        <v>4.8500000000000008E-2</v>
      </c>
      <c r="K24" s="84">
        <v>1307000</v>
      </c>
      <c r="L24" s="86">
        <v>103.1033</v>
      </c>
      <c r="M24" s="84">
        <v>1347.56646</v>
      </c>
      <c r="N24" s="74"/>
      <c r="O24" s="85">
        <v>1.7211380267329473E-2</v>
      </c>
      <c r="P24" s="85">
        <f>M24/'סכום נכסי הקרן'!$C$42</f>
        <v>4.6314731174937115E-3</v>
      </c>
      <c r="Q24" s="74"/>
    </row>
    <row r="25" spans="2:17">
      <c r="B25" s="77" t="s">
        <v>979</v>
      </c>
      <c r="C25" s="74">
        <v>98800000</v>
      </c>
      <c r="D25" s="74" t="s">
        <v>252</v>
      </c>
      <c r="E25" s="74"/>
      <c r="F25" s="96">
        <v>41334</v>
      </c>
      <c r="G25" s="84">
        <v>6.6599999999999993</v>
      </c>
      <c r="H25" s="87" t="s">
        <v>155</v>
      </c>
      <c r="I25" s="88">
        <v>4.8000000000000001E-2</v>
      </c>
      <c r="J25" s="88">
        <v>4.8599999999999997E-2</v>
      </c>
      <c r="K25" s="84">
        <v>1280000</v>
      </c>
      <c r="L25" s="86">
        <v>102.2769</v>
      </c>
      <c r="M25" s="84">
        <v>1309.14408</v>
      </c>
      <c r="N25" s="74"/>
      <c r="O25" s="85">
        <v>1.6720642175676585E-2</v>
      </c>
      <c r="P25" s="85">
        <f>M25/'סכום נכסי הקרן'!$C$42</f>
        <v>4.499418613792181E-3</v>
      </c>
    </row>
    <row r="26" spans="2:17">
      <c r="B26" s="77" t="s">
        <v>980</v>
      </c>
      <c r="C26" s="74">
        <v>2704</v>
      </c>
      <c r="D26" s="74" t="s">
        <v>252</v>
      </c>
      <c r="E26" s="74"/>
      <c r="F26" s="96">
        <v>41395</v>
      </c>
      <c r="G26" s="84">
        <v>6.67</v>
      </c>
      <c r="H26" s="87" t="s">
        <v>155</v>
      </c>
      <c r="I26" s="88">
        <v>4.8000000000000001E-2</v>
      </c>
      <c r="J26" s="88">
        <v>4.8499999999999995E-2</v>
      </c>
      <c r="K26" s="84">
        <v>961000</v>
      </c>
      <c r="L26" s="86">
        <v>103.6995</v>
      </c>
      <c r="M26" s="84">
        <v>996.55247999999995</v>
      </c>
      <c r="N26" s="74"/>
      <c r="O26" s="85">
        <v>1.272816161484922E-2</v>
      </c>
      <c r="P26" s="85">
        <f>M26/'סכום נכסי הקרן'!$C$42</f>
        <v>3.4250674518061905E-3</v>
      </c>
    </row>
    <row r="27" spans="2:17">
      <c r="B27" s="77" t="s">
        <v>981</v>
      </c>
      <c r="C27" s="74">
        <v>71121057</v>
      </c>
      <c r="D27" s="74" t="s">
        <v>252</v>
      </c>
      <c r="E27" s="74"/>
      <c r="F27" s="96">
        <v>41427</v>
      </c>
      <c r="G27" s="84">
        <v>6.7500000000000009</v>
      </c>
      <c r="H27" s="87" t="s">
        <v>155</v>
      </c>
      <c r="I27" s="88">
        <v>4.8000000000000001E-2</v>
      </c>
      <c r="J27" s="88">
        <v>4.8600000000000004E-2</v>
      </c>
      <c r="K27" s="84">
        <v>856000</v>
      </c>
      <c r="L27" s="86">
        <v>102.8724</v>
      </c>
      <c r="M27" s="84">
        <v>880.58921999999995</v>
      </c>
      <c r="N27" s="74"/>
      <c r="O27" s="85">
        <v>1.1247056360196921E-2</v>
      </c>
      <c r="P27" s="85">
        <f>M27/'סכום נכסי הקרן'!$C$42</f>
        <v>3.0265114345341864E-3</v>
      </c>
    </row>
    <row r="28" spans="2:17">
      <c r="B28" s="77" t="s">
        <v>982</v>
      </c>
      <c r="C28" s="74">
        <v>8806</v>
      </c>
      <c r="D28" s="74" t="s">
        <v>252</v>
      </c>
      <c r="E28" s="74"/>
      <c r="F28" s="96">
        <v>41518</v>
      </c>
      <c r="G28" s="84">
        <v>7</v>
      </c>
      <c r="H28" s="87" t="s">
        <v>155</v>
      </c>
      <c r="I28" s="88">
        <v>4.8000000000000001E-2</v>
      </c>
      <c r="J28" s="88">
        <v>4.8500000000000008E-2</v>
      </c>
      <c r="K28" s="84">
        <v>206000</v>
      </c>
      <c r="L28" s="86">
        <v>100.47750000000001</v>
      </c>
      <c r="M28" s="84">
        <v>206.97574</v>
      </c>
      <c r="N28" s="74"/>
      <c r="O28" s="85">
        <v>2.6435343064652376E-3</v>
      </c>
      <c r="P28" s="85">
        <f>M28/'סכום נכסי הקרן'!$C$42</f>
        <v>7.1135829232746545E-4</v>
      </c>
    </row>
    <row r="29" spans="2:17">
      <c r="B29" s="77" t="s">
        <v>983</v>
      </c>
      <c r="C29" s="74">
        <v>3236000</v>
      </c>
      <c r="D29" s="74" t="s">
        <v>252</v>
      </c>
      <c r="E29" s="74"/>
      <c r="F29" s="96">
        <v>41548</v>
      </c>
      <c r="G29" s="84">
        <v>6.92</v>
      </c>
      <c r="H29" s="87" t="s">
        <v>155</v>
      </c>
      <c r="I29" s="88">
        <v>4.8000000000000001E-2</v>
      </c>
      <c r="J29" s="88">
        <v>4.8500000000000008E-2</v>
      </c>
      <c r="K29" s="84">
        <v>840000</v>
      </c>
      <c r="L29" s="86">
        <v>102.3848</v>
      </c>
      <c r="M29" s="84">
        <v>860.08107999999993</v>
      </c>
      <c r="N29" s="74"/>
      <c r="O29" s="85">
        <v>1.0985122417350324E-2</v>
      </c>
      <c r="P29" s="85">
        <f>M29/'סכום נכסי הקרן'!$C$42</f>
        <v>2.9560266741018157E-3</v>
      </c>
    </row>
    <row r="30" spans="2:17">
      <c r="B30" s="77" t="s">
        <v>984</v>
      </c>
      <c r="C30" s="74">
        <v>3275000</v>
      </c>
      <c r="D30" s="74" t="s">
        <v>252</v>
      </c>
      <c r="E30" s="74"/>
      <c r="F30" s="96">
        <v>41579</v>
      </c>
      <c r="G30" s="84">
        <v>7.0000000000000009</v>
      </c>
      <c r="H30" s="87" t="s">
        <v>155</v>
      </c>
      <c r="I30" s="88">
        <v>4.8000000000000001E-2</v>
      </c>
      <c r="J30" s="88">
        <v>4.8500000000000008E-2</v>
      </c>
      <c r="K30" s="84">
        <v>315000</v>
      </c>
      <c r="L30" s="86">
        <v>101.985754</v>
      </c>
      <c r="M30" s="84">
        <v>321.25784999999996</v>
      </c>
      <c r="N30" s="74"/>
      <c r="O30" s="85">
        <v>4.1031675871590709E-3</v>
      </c>
      <c r="P30" s="85">
        <f>M30/'סכום נכסי הקרן'!$C$42</f>
        <v>1.1041363377794569E-3</v>
      </c>
    </row>
    <row r="31" spans="2:17">
      <c r="B31" s="77" t="s">
        <v>985</v>
      </c>
      <c r="C31" s="74">
        <v>3322000</v>
      </c>
      <c r="D31" s="74" t="s">
        <v>252</v>
      </c>
      <c r="E31" s="74"/>
      <c r="F31" s="96">
        <v>41609</v>
      </c>
      <c r="G31" s="84">
        <v>7.09</v>
      </c>
      <c r="H31" s="87" t="s">
        <v>155</v>
      </c>
      <c r="I31" s="88">
        <v>4.8000000000000001E-2</v>
      </c>
      <c r="J31" s="88">
        <v>4.8599999999999997E-2</v>
      </c>
      <c r="K31" s="84">
        <v>1456000</v>
      </c>
      <c r="L31" s="86">
        <v>101.583349</v>
      </c>
      <c r="M31" s="84">
        <v>1478.67336</v>
      </c>
      <c r="N31" s="74"/>
      <c r="O31" s="85">
        <v>1.8885903030066337E-2</v>
      </c>
      <c r="P31" s="85">
        <f>M31/'סכום נכסי הקרן'!$C$42</f>
        <v>5.0820765577633186E-3</v>
      </c>
    </row>
    <row r="32" spans="2:17">
      <c r="B32" s="77" t="s">
        <v>986</v>
      </c>
      <c r="C32" s="74">
        <v>98811000</v>
      </c>
      <c r="D32" s="74" t="s">
        <v>252</v>
      </c>
      <c r="E32" s="74"/>
      <c r="F32" s="96">
        <v>41672</v>
      </c>
      <c r="G32" s="84">
        <v>7.2600000000000007</v>
      </c>
      <c r="H32" s="87" t="s">
        <v>155</v>
      </c>
      <c r="I32" s="88">
        <v>4.8000000000000001E-2</v>
      </c>
      <c r="J32" s="88">
        <v>4.8499999999999995E-2</v>
      </c>
      <c r="K32" s="84">
        <v>454000</v>
      </c>
      <c r="L32" s="86">
        <v>100.7761</v>
      </c>
      <c r="M32" s="84">
        <v>457.51817999999997</v>
      </c>
      <c r="N32" s="74"/>
      <c r="O32" s="85">
        <v>5.8435109576684572E-3</v>
      </c>
      <c r="P32" s="85">
        <f>M32/'סכום נכסי הקרן'!$C$42</f>
        <v>1.572451685562617E-3</v>
      </c>
    </row>
    <row r="33" spans="2:16">
      <c r="B33" s="77" t="s">
        <v>987</v>
      </c>
      <c r="C33" s="74">
        <v>98812000</v>
      </c>
      <c r="D33" s="74" t="s">
        <v>252</v>
      </c>
      <c r="E33" s="74"/>
      <c r="F33" s="96">
        <v>41700</v>
      </c>
      <c r="G33" s="84">
        <v>7.339999999999999</v>
      </c>
      <c r="H33" s="87" t="s">
        <v>155</v>
      </c>
      <c r="I33" s="88">
        <v>4.8000000000000001E-2</v>
      </c>
      <c r="J33" s="88">
        <v>4.8600000000000004E-2</v>
      </c>
      <c r="K33" s="84">
        <v>91000</v>
      </c>
      <c r="L33" s="86">
        <v>100.8633</v>
      </c>
      <c r="M33" s="84">
        <v>91.785809999999998</v>
      </c>
      <c r="N33" s="74"/>
      <c r="O33" s="85">
        <v>1.1723061726060264E-3</v>
      </c>
      <c r="P33" s="85">
        <f>M33/'סכום נכסי הקרן'!$C$42</f>
        <v>3.1546014552958333E-4</v>
      </c>
    </row>
    <row r="34" spans="2:16">
      <c r="B34" s="77" t="s">
        <v>988</v>
      </c>
      <c r="C34" s="74">
        <v>98813000</v>
      </c>
      <c r="D34" s="74" t="s">
        <v>252</v>
      </c>
      <c r="E34" s="74"/>
      <c r="F34" s="96">
        <v>41730</v>
      </c>
      <c r="G34" s="84">
        <v>7.2499999999999991</v>
      </c>
      <c r="H34" s="87" t="s">
        <v>155</v>
      </c>
      <c r="I34" s="88">
        <v>4.8000000000000001E-2</v>
      </c>
      <c r="J34" s="88">
        <v>4.8499999999999995E-2</v>
      </c>
      <c r="K34" s="84">
        <v>314000</v>
      </c>
      <c r="L34" s="86">
        <v>103.0887</v>
      </c>
      <c r="M34" s="84">
        <v>323.69909000000001</v>
      </c>
      <c r="N34" s="74"/>
      <c r="O34" s="85">
        <v>4.1343475780619438E-3</v>
      </c>
      <c r="P34" s="85">
        <f>M34/'סכום נכסי הקרן'!$C$42</f>
        <v>1.1125266753019198E-3</v>
      </c>
    </row>
    <row r="35" spans="2:16">
      <c r="B35" s="77" t="s">
        <v>989</v>
      </c>
      <c r="C35" s="74">
        <v>98814000</v>
      </c>
      <c r="D35" s="74" t="s">
        <v>252</v>
      </c>
      <c r="E35" s="74"/>
      <c r="F35" s="96">
        <v>41760</v>
      </c>
      <c r="G35" s="84">
        <v>7.330000000000001</v>
      </c>
      <c r="H35" s="87" t="s">
        <v>155</v>
      </c>
      <c r="I35" s="88">
        <v>4.8000000000000001E-2</v>
      </c>
      <c r="J35" s="88">
        <v>4.8499999999999995E-2</v>
      </c>
      <c r="K35" s="84">
        <v>434000</v>
      </c>
      <c r="L35" s="86">
        <v>102.3796</v>
      </c>
      <c r="M35" s="84">
        <v>444.32740000000001</v>
      </c>
      <c r="N35" s="74"/>
      <c r="O35" s="85">
        <v>5.6750357563765787E-3</v>
      </c>
      <c r="P35" s="85">
        <f>M35/'סכום נכסי הקרן'!$C$42</f>
        <v>1.5271160789100341E-3</v>
      </c>
    </row>
    <row r="36" spans="2:16">
      <c r="B36" s="77" t="s">
        <v>990</v>
      </c>
      <c r="C36" s="74">
        <v>98815000</v>
      </c>
      <c r="D36" s="74" t="s">
        <v>252</v>
      </c>
      <c r="E36" s="74"/>
      <c r="F36" s="96">
        <v>41791</v>
      </c>
      <c r="G36" s="84">
        <v>7.41</v>
      </c>
      <c r="H36" s="87" t="s">
        <v>155</v>
      </c>
      <c r="I36" s="88">
        <v>4.8000000000000001E-2</v>
      </c>
      <c r="J36" s="88">
        <v>4.8500000000000008E-2</v>
      </c>
      <c r="K36" s="84">
        <v>417000</v>
      </c>
      <c r="L36" s="86">
        <v>101.8693</v>
      </c>
      <c r="M36" s="84">
        <v>424.82022999999998</v>
      </c>
      <c r="N36" s="74"/>
      <c r="O36" s="85">
        <v>5.4258863965673107E-3</v>
      </c>
      <c r="P36" s="85">
        <f>M36/'סכום נכסי הקרן'!$C$42</f>
        <v>1.4600715685759167E-3</v>
      </c>
    </row>
    <row r="37" spans="2:16">
      <c r="B37" s="77" t="s">
        <v>991</v>
      </c>
      <c r="C37" s="74">
        <v>98816000</v>
      </c>
      <c r="D37" s="74" t="s">
        <v>252</v>
      </c>
      <c r="E37" s="74"/>
      <c r="F37" s="96">
        <v>41821</v>
      </c>
      <c r="G37" s="84">
        <v>7.49</v>
      </c>
      <c r="H37" s="87" t="s">
        <v>155</v>
      </c>
      <c r="I37" s="88">
        <v>4.8000000000000001E-2</v>
      </c>
      <c r="J37" s="88">
        <v>4.8499999999999995E-2</v>
      </c>
      <c r="K37" s="84">
        <v>601000</v>
      </c>
      <c r="L37" s="86">
        <v>101.3738</v>
      </c>
      <c r="M37" s="84">
        <v>609.25751000000002</v>
      </c>
      <c r="N37" s="74"/>
      <c r="O37" s="85">
        <v>7.7815551192453158E-3</v>
      </c>
      <c r="P37" s="85">
        <f>M37/'סכום נכסי הקרן'!$C$42</f>
        <v>2.0939670605902108E-3</v>
      </c>
    </row>
    <row r="38" spans="2:16">
      <c r="B38" s="77" t="s">
        <v>992</v>
      </c>
      <c r="C38" s="74">
        <v>98817000</v>
      </c>
      <c r="D38" s="74" t="s">
        <v>252</v>
      </c>
      <c r="E38" s="74"/>
      <c r="F38" s="96">
        <v>41852</v>
      </c>
      <c r="G38" s="84">
        <v>7.5799999999999992</v>
      </c>
      <c r="H38" s="87" t="s">
        <v>155</v>
      </c>
      <c r="I38" s="88">
        <v>4.8000000000000001E-2</v>
      </c>
      <c r="J38" s="88">
        <v>4.8599999999999997E-2</v>
      </c>
      <c r="K38" s="84">
        <v>3175000</v>
      </c>
      <c r="L38" s="86">
        <v>100.7826</v>
      </c>
      <c r="M38" s="84">
        <v>3199.3466200000003</v>
      </c>
      <c r="N38" s="74"/>
      <c r="O38" s="85">
        <v>4.0862675733125062E-2</v>
      </c>
      <c r="P38" s="85">
        <f>M38/'סכום נכסי הקרן'!$C$42</f>
        <v>1.099588651388249E-2</v>
      </c>
    </row>
    <row r="39" spans="2:16">
      <c r="B39" s="77" t="s">
        <v>993</v>
      </c>
      <c r="C39" s="74">
        <v>98818000</v>
      </c>
      <c r="D39" s="74" t="s">
        <v>252</v>
      </c>
      <c r="E39" s="74"/>
      <c r="F39" s="96">
        <v>41883</v>
      </c>
      <c r="G39" s="84">
        <v>7.6700000000000008</v>
      </c>
      <c r="H39" s="87" t="s">
        <v>155</v>
      </c>
      <c r="I39" s="88">
        <v>4.8000000000000001E-2</v>
      </c>
      <c r="J39" s="88">
        <v>4.8500000000000008E-2</v>
      </c>
      <c r="K39" s="84">
        <v>392000</v>
      </c>
      <c r="L39" s="86">
        <v>100.379</v>
      </c>
      <c r="M39" s="84">
        <v>393.51423</v>
      </c>
      <c r="N39" s="74"/>
      <c r="O39" s="85">
        <v>5.026040090917186E-3</v>
      </c>
      <c r="P39" s="85">
        <f>M39/'סכום נכסי הקרן'!$C$42</f>
        <v>1.3524754672183197E-3</v>
      </c>
    </row>
    <row r="40" spans="2:16">
      <c r="B40" s="77" t="s">
        <v>994</v>
      </c>
      <c r="C40" s="74">
        <v>98819000</v>
      </c>
      <c r="D40" s="74" t="s">
        <v>252</v>
      </c>
      <c r="E40" s="74"/>
      <c r="F40" s="96">
        <v>41913</v>
      </c>
      <c r="G40" s="84">
        <v>7.57</v>
      </c>
      <c r="H40" s="87" t="s">
        <v>155</v>
      </c>
      <c r="I40" s="88">
        <v>4.8000000000000001E-2</v>
      </c>
      <c r="J40" s="88">
        <v>4.8500000000000008E-2</v>
      </c>
      <c r="K40" s="84">
        <v>522000</v>
      </c>
      <c r="L40" s="86">
        <v>102.3903</v>
      </c>
      <c r="M40" s="84">
        <v>534.47701000000006</v>
      </c>
      <c r="N40" s="74"/>
      <c r="O40" s="85">
        <v>6.8264440651448523E-3</v>
      </c>
      <c r="P40" s="85">
        <f>M40/'סכום נכסי הקרן'!$C$42</f>
        <v>1.8369527420068156E-3</v>
      </c>
    </row>
    <row r="41" spans="2:16">
      <c r="B41" s="77" t="s">
        <v>995</v>
      </c>
      <c r="C41" s="74">
        <v>98820000</v>
      </c>
      <c r="D41" s="74" t="s">
        <v>252</v>
      </c>
      <c r="E41" s="74"/>
      <c r="F41" s="96">
        <v>41945</v>
      </c>
      <c r="G41" s="84">
        <v>7.6499999999999995</v>
      </c>
      <c r="H41" s="87" t="s">
        <v>155</v>
      </c>
      <c r="I41" s="88">
        <v>4.8000000000000001E-2</v>
      </c>
      <c r="J41" s="88">
        <v>4.8499999999999995E-2</v>
      </c>
      <c r="K41" s="84">
        <v>1216000</v>
      </c>
      <c r="L41" s="86">
        <v>102.1648</v>
      </c>
      <c r="M41" s="84">
        <v>1242.3286900000001</v>
      </c>
      <c r="N41" s="74"/>
      <c r="O41" s="85">
        <v>1.5867263051800258E-2</v>
      </c>
      <c r="P41" s="85">
        <f>M41/'סכום נכסי הקרן'!$C$42</f>
        <v>4.2697797115150661E-3</v>
      </c>
    </row>
    <row r="42" spans="2:16">
      <c r="B42" s="77" t="s">
        <v>996</v>
      </c>
      <c r="C42" s="74">
        <v>98821000</v>
      </c>
      <c r="D42" s="74" t="s">
        <v>252</v>
      </c>
      <c r="E42" s="74"/>
      <c r="F42" s="96">
        <v>41974</v>
      </c>
      <c r="G42" s="84">
        <v>7.7299999999999995</v>
      </c>
      <c r="H42" s="87" t="s">
        <v>155</v>
      </c>
      <c r="I42" s="88">
        <v>4.8000000000000001E-2</v>
      </c>
      <c r="J42" s="88">
        <v>4.8500000000000008E-2</v>
      </c>
      <c r="K42" s="84">
        <v>711000</v>
      </c>
      <c r="L42" s="86">
        <v>101.5806</v>
      </c>
      <c r="M42" s="84">
        <v>722.25992000000008</v>
      </c>
      <c r="N42" s="74"/>
      <c r="O42" s="85">
        <v>9.2248438232656552E-3</v>
      </c>
      <c r="P42" s="85">
        <f>M42/'סכום נכסי הקרן'!$C$42</f>
        <v>2.4823468842665904E-3</v>
      </c>
    </row>
    <row r="43" spans="2:16">
      <c r="B43" s="77" t="s">
        <v>997</v>
      </c>
      <c r="C43" s="74">
        <v>9882200</v>
      </c>
      <c r="D43" s="74" t="s">
        <v>252</v>
      </c>
      <c r="E43" s="74"/>
      <c r="F43" s="96">
        <v>42005</v>
      </c>
      <c r="G43" s="84">
        <v>7.82</v>
      </c>
      <c r="H43" s="87" t="s">
        <v>155</v>
      </c>
      <c r="I43" s="88">
        <v>4.8000000000000001E-2</v>
      </c>
      <c r="J43" s="88">
        <v>4.8499999999999995E-2</v>
      </c>
      <c r="K43" s="84">
        <v>924000</v>
      </c>
      <c r="L43" s="86">
        <v>101.2745</v>
      </c>
      <c r="M43" s="84">
        <v>935.77628000000004</v>
      </c>
      <c r="N43" s="74"/>
      <c r="O43" s="85">
        <v>1.195191619731095E-2</v>
      </c>
      <c r="P43" s="85">
        <f>M43/'סכום נכסי הקרן'!$C$42</f>
        <v>3.2161847400151737E-3</v>
      </c>
    </row>
    <row r="44" spans="2:16">
      <c r="B44" s="77" t="s">
        <v>998</v>
      </c>
      <c r="C44" s="74">
        <v>9882300</v>
      </c>
      <c r="D44" s="74" t="s">
        <v>252</v>
      </c>
      <c r="E44" s="74"/>
      <c r="F44" s="96">
        <v>42036</v>
      </c>
      <c r="G44" s="84">
        <v>7.8999999999999995</v>
      </c>
      <c r="H44" s="87" t="s">
        <v>155</v>
      </c>
      <c r="I44" s="88">
        <v>4.8000000000000001E-2</v>
      </c>
      <c r="J44" s="88">
        <v>4.8600000000000004E-2</v>
      </c>
      <c r="K44" s="84">
        <v>10161000</v>
      </c>
      <c r="L44" s="86">
        <v>100.874938</v>
      </c>
      <c r="M44" s="84">
        <v>10247.174070000001</v>
      </c>
      <c r="N44" s="74"/>
      <c r="O44" s="85">
        <v>0.13087889526746477</v>
      </c>
      <c r="P44" s="85">
        <f>M44/'סכום נכסי הקרן'!$C$42</f>
        <v>3.5218679482037288E-2</v>
      </c>
    </row>
    <row r="45" spans="2:16">
      <c r="B45" s="77" t="s">
        <v>999</v>
      </c>
      <c r="C45" s="74">
        <v>9882500</v>
      </c>
      <c r="D45" s="74" t="s">
        <v>252</v>
      </c>
      <c r="E45" s="74"/>
      <c r="F45" s="96">
        <v>42064</v>
      </c>
      <c r="G45" s="84">
        <v>7.9799999999999995</v>
      </c>
      <c r="H45" s="87" t="s">
        <v>155</v>
      </c>
      <c r="I45" s="88">
        <v>4.8000000000000001E-2</v>
      </c>
      <c r="J45" s="88">
        <v>4.8500000000000008E-2</v>
      </c>
      <c r="K45" s="84">
        <v>1970000</v>
      </c>
      <c r="L45" s="86">
        <v>101.37949999999999</v>
      </c>
      <c r="M45" s="84">
        <v>1997.1759399999999</v>
      </c>
      <c r="N45" s="74"/>
      <c r="O45" s="85">
        <v>2.5508318576065767E-2</v>
      </c>
      <c r="P45" s="85">
        <f>M45/'סכום נכסי הקרן'!$C$42</f>
        <v>6.8641265210884162E-3</v>
      </c>
    </row>
    <row r="46" spans="2:16">
      <c r="B46" s="77" t="s">
        <v>1000</v>
      </c>
      <c r="C46" s="74">
        <v>9882600</v>
      </c>
      <c r="D46" s="74" t="s">
        <v>252</v>
      </c>
      <c r="E46" s="74"/>
      <c r="F46" s="96">
        <v>42095</v>
      </c>
      <c r="G46" s="84">
        <v>7.879999999999999</v>
      </c>
      <c r="H46" s="87" t="s">
        <v>155</v>
      </c>
      <c r="I46" s="88">
        <v>4.8000000000000001E-2</v>
      </c>
      <c r="J46" s="88">
        <v>4.8499999999999995E-2</v>
      </c>
      <c r="K46" s="84">
        <v>402000</v>
      </c>
      <c r="L46" s="86">
        <v>104.1454</v>
      </c>
      <c r="M46" s="84">
        <v>418.66452000000004</v>
      </c>
      <c r="N46" s="74"/>
      <c r="O46" s="85">
        <v>5.3472644741833107E-3</v>
      </c>
      <c r="P46" s="85">
        <f>M46/'סכום נכסי הקרן'!$C$42</f>
        <v>1.4389149086037718E-3</v>
      </c>
    </row>
    <row r="47" spans="2:16">
      <c r="B47" s="77" t="s">
        <v>1001</v>
      </c>
      <c r="C47" s="74">
        <v>9882800</v>
      </c>
      <c r="D47" s="74" t="s">
        <v>252</v>
      </c>
      <c r="E47" s="74"/>
      <c r="F47" s="96">
        <v>42156</v>
      </c>
      <c r="G47" s="84">
        <v>8.0399999999999991</v>
      </c>
      <c r="H47" s="87" t="s">
        <v>155</v>
      </c>
      <c r="I47" s="88">
        <v>4.8000000000000001E-2</v>
      </c>
      <c r="J47" s="88">
        <v>4.8499999999999995E-2</v>
      </c>
      <c r="K47" s="84">
        <v>365000</v>
      </c>
      <c r="L47" s="86">
        <v>102.39019999999999</v>
      </c>
      <c r="M47" s="84">
        <v>373.72252000000003</v>
      </c>
      <c r="N47" s="74"/>
      <c r="O47" s="85">
        <v>4.7732565310245586E-3</v>
      </c>
      <c r="P47" s="85">
        <f>M47/'סכום נכסי הקרן'!$C$42</f>
        <v>1.2844530167232019E-3</v>
      </c>
    </row>
    <row r="48" spans="2:16">
      <c r="B48" s="77" t="s">
        <v>1002</v>
      </c>
      <c r="C48" s="74">
        <v>9882900</v>
      </c>
      <c r="D48" s="74" t="s">
        <v>252</v>
      </c>
      <c r="E48" s="74"/>
      <c r="F48" s="96">
        <v>42218</v>
      </c>
      <c r="G48" s="84">
        <v>8.2099999999999991</v>
      </c>
      <c r="H48" s="87" t="s">
        <v>155</v>
      </c>
      <c r="I48" s="88">
        <v>4.8000000000000001E-2</v>
      </c>
      <c r="J48" s="88">
        <v>4.8499999999999995E-2</v>
      </c>
      <c r="K48" s="84">
        <v>461000</v>
      </c>
      <c r="L48" s="86">
        <v>101.0615</v>
      </c>
      <c r="M48" s="84">
        <v>465.89355999999998</v>
      </c>
      <c r="N48" s="74"/>
      <c r="O48" s="85">
        <v>5.9504829359287251E-3</v>
      </c>
      <c r="P48" s="85">
        <f>M48/'סכום נכסי הקרן'!$C$42</f>
        <v>1.6012371655149708E-3</v>
      </c>
    </row>
    <row r="49" spans="2:16">
      <c r="B49" s="77" t="s">
        <v>1003</v>
      </c>
      <c r="C49" s="74">
        <v>8831000</v>
      </c>
      <c r="D49" s="74" t="s">
        <v>252</v>
      </c>
      <c r="E49" s="74"/>
      <c r="F49" s="96">
        <v>42309</v>
      </c>
      <c r="G49" s="84">
        <v>8.26</v>
      </c>
      <c r="H49" s="87" t="s">
        <v>155</v>
      </c>
      <c r="I49" s="88">
        <v>4.8000000000000001E-2</v>
      </c>
      <c r="J49" s="88">
        <v>4.8499999999999995E-2</v>
      </c>
      <c r="K49" s="84">
        <v>1143000</v>
      </c>
      <c r="L49" s="86">
        <v>102.6917</v>
      </c>
      <c r="M49" s="84">
        <v>1173.76548</v>
      </c>
      <c r="N49" s="74"/>
      <c r="O49" s="85">
        <v>1.4991560431790878E-2</v>
      </c>
      <c r="P49" s="85">
        <f>M49/'סכום נכסי הקרן'!$C$42</f>
        <v>4.03413369820892E-3</v>
      </c>
    </row>
    <row r="50" spans="2:16">
      <c r="B50" s="77" t="s">
        <v>1004</v>
      </c>
      <c r="C50" s="74">
        <v>8833000</v>
      </c>
      <c r="D50" s="74" t="s">
        <v>252</v>
      </c>
      <c r="E50" s="74"/>
      <c r="F50" s="96">
        <v>42339</v>
      </c>
      <c r="G50" s="84">
        <v>8.35</v>
      </c>
      <c r="H50" s="87" t="s">
        <v>155</v>
      </c>
      <c r="I50" s="88">
        <v>4.8000000000000001E-2</v>
      </c>
      <c r="J50" s="88">
        <v>4.8499999999999995E-2</v>
      </c>
      <c r="K50" s="84">
        <v>745000</v>
      </c>
      <c r="L50" s="86">
        <v>102.1837</v>
      </c>
      <c r="M50" s="84">
        <v>761.26882999999998</v>
      </c>
      <c r="N50" s="74"/>
      <c r="O50" s="85">
        <v>9.7230731898707203E-3</v>
      </c>
      <c r="P50" s="85">
        <f>M50/'סכום נכסי הקרן'!$C$42</f>
        <v>2.6164172424793727E-3</v>
      </c>
    </row>
    <row r="51" spans="2:16">
      <c r="B51" s="77" t="s">
        <v>1005</v>
      </c>
      <c r="C51" s="74">
        <v>8834000</v>
      </c>
      <c r="D51" s="74" t="s">
        <v>252</v>
      </c>
      <c r="E51" s="74"/>
      <c r="F51" s="96">
        <v>42370</v>
      </c>
      <c r="G51" s="84">
        <v>8.4299999999999979</v>
      </c>
      <c r="H51" s="87" t="s">
        <v>155</v>
      </c>
      <c r="I51" s="88">
        <v>4.8000000000000001E-2</v>
      </c>
      <c r="J51" s="88">
        <v>4.8499999999999988E-2</v>
      </c>
      <c r="K51" s="84">
        <v>199000</v>
      </c>
      <c r="L51" s="86">
        <v>102.1909</v>
      </c>
      <c r="M51" s="84">
        <v>203.35989000000001</v>
      </c>
      <c r="N51" s="74"/>
      <c r="O51" s="85">
        <v>2.59735196875729E-3</v>
      </c>
      <c r="P51" s="85">
        <f>M51/'סכום נכסי הקרן'!$C$42</f>
        <v>6.98930918562249E-4</v>
      </c>
    </row>
    <row r="52" spans="2:16">
      <c r="B52" s="77" t="s">
        <v>1006</v>
      </c>
      <c r="C52" s="74">
        <v>8837000</v>
      </c>
      <c r="D52" s="74" t="s">
        <v>252</v>
      </c>
      <c r="E52" s="74"/>
      <c r="F52" s="96">
        <v>42461</v>
      </c>
      <c r="G52" s="84">
        <v>8.4799999999999986</v>
      </c>
      <c r="H52" s="87" t="s">
        <v>155</v>
      </c>
      <c r="I52" s="88">
        <v>4.8000000000000001E-2</v>
      </c>
      <c r="J52" s="88">
        <v>4.8499999999999995E-2</v>
      </c>
      <c r="K52" s="84">
        <v>508000</v>
      </c>
      <c r="L52" s="86">
        <v>104.3567</v>
      </c>
      <c r="M52" s="84">
        <v>530.13193000000001</v>
      </c>
      <c r="N52" s="74"/>
      <c r="O52" s="85">
        <v>6.770947860399619E-3</v>
      </c>
      <c r="P52" s="85">
        <f>M52/'סכום נכסי הקרן'!$C$42</f>
        <v>1.8220190657758416E-3</v>
      </c>
    </row>
    <row r="53" spans="2:16">
      <c r="B53" s="77" t="s">
        <v>1007</v>
      </c>
      <c r="C53" s="74">
        <v>8838000</v>
      </c>
      <c r="D53" s="74" t="s">
        <v>252</v>
      </c>
      <c r="E53" s="74"/>
      <c r="F53" s="96">
        <v>42491</v>
      </c>
      <c r="G53" s="84">
        <v>8.5600000000000023</v>
      </c>
      <c r="H53" s="87" t="s">
        <v>155</v>
      </c>
      <c r="I53" s="88">
        <v>4.8000000000000001E-2</v>
      </c>
      <c r="J53" s="88">
        <v>4.8599999999999997E-2</v>
      </c>
      <c r="K53" s="84">
        <v>622000</v>
      </c>
      <c r="L53" s="86">
        <v>104.1568</v>
      </c>
      <c r="M53" s="84">
        <v>647.85531999999989</v>
      </c>
      <c r="N53" s="74"/>
      <c r="O53" s="85">
        <v>8.2745338368932237E-3</v>
      </c>
      <c r="P53" s="85">
        <f>M53/'סכום נכסי הקרן'!$C$42</f>
        <v>2.2266245025163991E-3</v>
      </c>
    </row>
    <row r="54" spans="2:16">
      <c r="B54" s="77" t="s">
        <v>1008</v>
      </c>
      <c r="C54" s="74">
        <v>8839000</v>
      </c>
      <c r="D54" s="74" t="s">
        <v>252</v>
      </c>
      <c r="E54" s="74"/>
      <c r="F54" s="96">
        <v>42522</v>
      </c>
      <c r="G54" s="84">
        <v>8.6399999999999988</v>
      </c>
      <c r="H54" s="87" t="s">
        <v>155</v>
      </c>
      <c r="I54" s="88">
        <v>4.8000000000000001E-2</v>
      </c>
      <c r="J54" s="88">
        <v>4.8500000000000008E-2</v>
      </c>
      <c r="K54" s="84">
        <v>1499000</v>
      </c>
      <c r="L54" s="86">
        <v>103.3245</v>
      </c>
      <c r="M54" s="84">
        <v>1548.83428</v>
      </c>
      <c r="N54" s="74"/>
      <c r="O54" s="85">
        <v>1.978201191216606E-2</v>
      </c>
      <c r="P54" s="85">
        <f>M54/'סכום נכסי הקרן'!$C$42</f>
        <v>5.3232137665942857E-3</v>
      </c>
    </row>
    <row r="55" spans="2:16">
      <c r="B55" s="77" t="s">
        <v>1009</v>
      </c>
      <c r="C55" s="74">
        <v>8840000</v>
      </c>
      <c r="D55" s="74" t="s">
        <v>252</v>
      </c>
      <c r="E55" s="74"/>
      <c r="F55" s="96">
        <v>42552</v>
      </c>
      <c r="G55" s="84">
        <v>8.7200000000000006</v>
      </c>
      <c r="H55" s="87" t="s">
        <v>155</v>
      </c>
      <c r="I55" s="88">
        <v>4.8000000000000001E-2</v>
      </c>
      <c r="J55" s="88">
        <v>4.8499999999999995E-2</v>
      </c>
      <c r="K55" s="84">
        <v>1015000</v>
      </c>
      <c r="L55" s="86">
        <v>102.60380000000001</v>
      </c>
      <c r="M55" s="84">
        <v>1041.43354</v>
      </c>
      <c r="N55" s="74"/>
      <c r="O55" s="85">
        <v>1.3301391220505056E-2</v>
      </c>
      <c r="P55" s="85">
        <f>M55/'סכום נכסי הקרן'!$C$42</f>
        <v>3.5793198980080816E-3</v>
      </c>
    </row>
    <row r="56" spans="2:16">
      <c r="B56" s="77" t="s">
        <v>1010</v>
      </c>
      <c r="C56" s="74">
        <v>8841000</v>
      </c>
      <c r="D56" s="74" t="s">
        <v>252</v>
      </c>
      <c r="E56" s="74"/>
      <c r="F56" s="96">
        <v>42583</v>
      </c>
      <c r="G56" s="84">
        <v>8.8099999999999987</v>
      </c>
      <c r="H56" s="87" t="s">
        <v>155</v>
      </c>
      <c r="I56" s="88">
        <v>4.8000000000000001E-2</v>
      </c>
      <c r="J56" s="88">
        <v>4.8499999999999995E-2</v>
      </c>
      <c r="K56" s="84">
        <v>1044000</v>
      </c>
      <c r="L56" s="86">
        <v>101.9011</v>
      </c>
      <c r="M56" s="84">
        <v>1063.8468700000001</v>
      </c>
      <c r="N56" s="74"/>
      <c r="O56" s="85">
        <v>1.3587658619655926E-2</v>
      </c>
      <c r="P56" s="85">
        <f>M56/'סכום נכסי הקרן'!$C$42</f>
        <v>3.6563526369859539E-3</v>
      </c>
    </row>
    <row r="57" spans="2:16">
      <c r="B57" s="77" t="s">
        <v>1011</v>
      </c>
      <c r="C57" s="74">
        <v>8842000</v>
      </c>
      <c r="D57" s="74" t="s">
        <v>252</v>
      </c>
      <c r="E57" s="74"/>
      <c r="F57" s="96">
        <v>42614</v>
      </c>
      <c r="G57" s="84">
        <v>8.9</v>
      </c>
      <c r="H57" s="87" t="s">
        <v>155</v>
      </c>
      <c r="I57" s="88">
        <v>4.8000000000000001E-2</v>
      </c>
      <c r="J57" s="88">
        <v>4.8499999999999995E-2</v>
      </c>
      <c r="K57" s="84">
        <v>919000</v>
      </c>
      <c r="L57" s="86">
        <v>101.0808</v>
      </c>
      <c r="M57" s="84">
        <v>928.92499999999995</v>
      </c>
      <c r="N57" s="74"/>
      <c r="O57" s="85">
        <v>1.1864410319940011E-2</v>
      </c>
      <c r="P57" s="85">
        <f>M57/'סכום נכסי הקרן'!$C$42</f>
        <v>3.192637464179574E-3</v>
      </c>
    </row>
    <row r="58" spans="2:16">
      <c r="B58" s="77" t="s">
        <v>1012</v>
      </c>
      <c r="C58" s="74">
        <v>8843000</v>
      </c>
      <c r="D58" s="74" t="s">
        <v>252</v>
      </c>
      <c r="E58" s="74"/>
      <c r="F58" s="96">
        <v>42644</v>
      </c>
      <c r="G58" s="84">
        <v>8.77</v>
      </c>
      <c r="H58" s="87" t="s">
        <v>155</v>
      </c>
      <c r="I58" s="88">
        <v>4.8000000000000001E-2</v>
      </c>
      <c r="J58" s="88">
        <v>4.8500000000000008E-2</v>
      </c>
      <c r="K58" s="84">
        <v>1283000</v>
      </c>
      <c r="L58" s="86">
        <v>103.41</v>
      </c>
      <c r="M58" s="84">
        <v>1326.74416</v>
      </c>
      <c r="N58" s="74"/>
      <c r="O58" s="85">
        <v>1.6945433812012963E-2</v>
      </c>
      <c r="P58" s="85">
        <f>M58/'סכום נכסי הקרן'!$C$42</f>
        <v>4.5599086154398463E-3</v>
      </c>
    </row>
    <row r="59" spans="2:16">
      <c r="B59" s="77" t="s">
        <v>1013</v>
      </c>
      <c r="C59" s="74">
        <v>8844000</v>
      </c>
      <c r="D59" s="74" t="s">
        <v>252</v>
      </c>
      <c r="E59" s="74"/>
      <c r="F59" s="96">
        <v>42675</v>
      </c>
      <c r="G59" s="84">
        <v>8.85</v>
      </c>
      <c r="H59" s="87" t="s">
        <v>155</v>
      </c>
      <c r="I59" s="88">
        <v>4.8000000000000001E-2</v>
      </c>
      <c r="J59" s="88">
        <v>4.8500000000000008E-2</v>
      </c>
      <c r="K59" s="84">
        <v>556000</v>
      </c>
      <c r="L59" s="86">
        <v>103.10509999999999</v>
      </c>
      <c r="M59" s="84">
        <v>573.26608999999996</v>
      </c>
      <c r="N59" s="74"/>
      <c r="O59" s="85">
        <v>7.321865720340888E-3</v>
      </c>
      <c r="P59" s="85">
        <f>M59/'סכום נכסי הקרן'!$C$42</f>
        <v>1.9702675629116877E-3</v>
      </c>
    </row>
    <row r="60" spans="2:16">
      <c r="B60" s="77" t="s">
        <v>1014</v>
      </c>
      <c r="C60" s="74">
        <v>8845000</v>
      </c>
      <c r="D60" s="74" t="s">
        <v>252</v>
      </c>
      <c r="E60" s="74"/>
      <c r="F60" s="96">
        <v>42705</v>
      </c>
      <c r="G60" s="84">
        <v>8.93</v>
      </c>
      <c r="H60" s="87" t="s">
        <v>155</v>
      </c>
      <c r="I60" s="88">
        <v>4.8000000000000001E-2</v>
      </c>
      <c r="J60" s="88">
        <v>4.8499999999999995E-2</v>
      </c>
      <c r="K60" s="84">
        <v>422000</v>
      </c>
      <c r="L60" s="86">
        <v>102.49160000000001</v>
      </c>
      <c r="M60" s="84">
        <v>432.51511999999997</v>
      </c>
      <c r="N60" s="74"/>
      <c r="O60" s="85">
        <v>5.5241670245262985E-3</v>
      </c>
      <c r="P60" s="85">
        <f>M60/'סכום נכסי הקרן'!$C$42</f>
        <v>1.486518261362461E-3</v>
      </c>
    </row>
    <row r="61" spans="2:16">
      <c r="B61" s="77" t="s">
        <v>1015</v>
      </c>
      <c r="C61" s="74">
        <v>8846000</v>
      </c>
      <c r="D61" s="74" t="s">
        <v>252</v>
      </c>
      <c r="E61" s="74"/>
      <c r="F61" s="96">
        <v>42736</v>
      </c>
      <c r="G61" s="84">
        <v>9.02</v>
      </c>
      <c r="H61" s="87" t="s">
        <v>155</v>
      </c>
      <c r="I61" s="88">
        <v>4.8000000000000001E-2</v>
      </c>
      <c r="J61" s="88">
        <v>4.8500000000000008E-2</v>
      </c>
      <c r="K61" s="84">
        <v>515000</v>
      </c>
      <c r="L61" s="86">
        <v>102.50020000000001</v>
      </c>
      <c r="M61" s="84">
        <v>527.8759399999999</v>
      </c>
      <c r="N61" s="74"/>
      <c r="O61" s="85">
        <v>6.7421339184369385E-3</v>
      </c>
      <c r="P61" s="85">
        <f>M61/'סכום נכסי הקרן'!$C$42</f>
        <v>1.8142654169959994E-3</v>
      </c>
    </row>
    <row r="62" spans="2:16">
      <c r="B62" s="77" t="s">
        <v>1016</v>
      </c>
      <c r="C62" s="74">
        <v>8847000</v>
      </c>
      <c r="D62" s="74" t="s">
        <v>252</v>
      </c>
      <c r="E62" s="74"/>
      <c r="F62" s="96">
        <v>42767</v>
      </c>
      <c r="G62" s="84">
        <v>9.1</v>
      </c>
      <c r="H62" s="87" t="s">
        <v>155</v>
      </c>
      <c r="I62" s="88">
        <v>4.8000000000000001E-2</v>
      </c>
      <c r="J62" s="88">
        <v>4.8499999999999995E-2</v>
      </c>
      <c r="K62" s="84">
        <v>23000</v>
      </c>
      <c r="L62" s="86">
        <v>102.09569999999999</v>
      </c>
      <c r="M62" s="84">
        <v>23.482029999999998</v>
      </c>
      <c r="N62" s="74"/>
      <c r="O62" s="85">
        <v>2.9991704288843659E-4</v>
      </c>
      <c r="P62" s="85">
        <f>M62/'סכום נכסי הקרן'!$C$42</f>
        <v>8.0705771416410019E-5</v>
      </c>
    </row>
    <row r="63" spans="2:16">
      <c r="B63" s="77" t="s">
        <v>1017</v>
      </c>
      <c r="C63" s="74">
        <v>8848000</v>
      </c>
      <c r="D63" s="74" t="s">
        <v>252</v>
      </c>
      <c r="E63" s="74"/>
      <c r="F63" s="96">
        <v>42795</v>
      </c>
      <c r="G63" s="84">
        <v>9.19</v>
      </c>
      <c r="H63" s="87" t="s">
        <v>155</v>
      </c>
      <c r="I63" s="88">
        <v>4.8000000000000001E-2</v>
      </c>
      <c r="J63" s="88">
        <v>4.8500000000000008E-2</v>
      </c>
      <c r="K63" s="84">
        <v>305000</v>
      </c>
      <c r="L63" s="86">
        <v>101.8967</v>
      </c>
      <c r="M63" s="84">
        <v>310.78484000000003</v>
      </c>
      <c r="N63" s="74"/>
      <c r="O63" s="85">
        <v>3.9694042715794128E-3</v>
      </c>
      <c r="P63" s="85">
        <f>M63/'סכום נכסי הקרן'!$C$42</f>
        <v>1.0681414791108592E-3</v>
      </c>
    </row>
    <row r="64" spans="2:16">
      <c r="B64" s="77" t="s">
        <v>1018</v>
      </c>
      <c r="C64" s="74">
        <v>8850000</v>
      </c>
      <c r="D64" s="74" t="s">
        <v>252</v>
      </c>
      <c r="E64" s="74"/>
      <c r="F64" s="96">
        <v>42856</v>
      </c>
      <c r="G64" s="84">
        <v>9.1300000000000008</v>
      </c>
      <c r="H64" s="87" t="s">
        <v>155</v>
      </c>
      <c r="I64" s="88">
        <v>4.8000000000000001E-2</v>
      </c>
      <c r="J64" s="88">
        <v>4.8499999999999995E-2</v>
      </c>
      <c r="K64" s="84">
        <v>186000</v>
      </c>
      <c r="L64" s="86">
        <v>103.210331</v>
      </c>
      <c r="M64" s="84">
        <v>191.97129000000001</v>
      </c>
      <c r="N64" s="74"/>
      <c r="O64" s="85">
        <v>2.4518945600648027E-3</v>
      </c>
      <c r="P64" s="85">
        <f>M64/'סכום נכסי הקרן'!$C$42</f>
        <v>6.5978925370819143E-4</v>
      </c>
    </row>
    <row r="65" spans="2:16">
      <c r="B65" s="77" t="s">
        <v>1019</v>
      </c>
      <c r="C65" s="74">
        <v>8851000</v>
      </c>
      <c r="D65" s="74" t="s">
        <v>252</v>
      </c>
      <c r="E65" s="74"/>
      <c r="F65" s="96">
        <v>42887</v>
      </c>
      <c r="G65" s="84">
        <v>9.2200000000000006</v>
      </c>
      <c r="H65" s="87" t="s">
        <v>155</v>
      </c>
      <c r="I65" s="88">
        <v>4.8000000000000001E-2</v>
      </c>
      <c r="J65" s="88">
        <v>4.8499999999999995E-2</v>
      </c>
      <c r="K65" s="84">
        <v>1350000</v>
      </c>
      <c r="L65" s="86">
        <v>102.598133</v>
      </c>
      <c r="M65" s="84">
        <v>1385.07474</v>
      </c>
      <c r="N65" s="74"/>
      <c r="O65" s="85">
        <v>1.7690443296438603E-2</v>
      </c>
      <c r="P65" s="85">
        <f>M65/'סכום נכסי הקרן'!$C$42</f>
        <v>4.7603859360150526E-3</v>
      </c>
    </row>
    <row r="66" spans="2:16">
      <c r="B66" s="77" t="s">
        <v>1020</v>
      </c>
      <c r="C66" s="74">
        <v>8853000</v>
      </c>
      <c r="D66" s="74" t="s">
        <v>252</v>
      </c>
      <c r="E66" s="74"/>
      <c r="F66" s="96">
        <v>42949</v>
      </c>
      <c r="G66" s="84">
        <v>9.3899999999999988</v>
      </c>
      <c r="H66" s="87" t="s">
        <v>155</v>
      </c>
      <c r="I66" s="88">
        <v>4.8000000000000001E-2</v>
      </c>
      <c r="J66" s="88">
        <v>4.8500000000000008E-2</v>
      </c>
      <c r="K66" s="84">
        <v>915000</v>
      </c>
      <c r="L66" s="86">
        <v>102.0937</v>
      </c>
      <c r="M66" s="84">
        <v>934.15704000000005</v>
      </c>
      <c r="N66" s="74"/>
      <c r="O66" s="85">
        <v>1.1931234949883591E-2</v>
      </c>
      <c r="P66" s="85">
        <f>M66/'סכום נכסי הקרן'!$C$42</f>
        <v>3.2106195476826411E-3</v>
      </c>
    </row>
    <row r="67" spans="2:16">
      <c r="B67" s="77" t="s">
        <v>1021</v>
      </c>
      <c r="C67" s="74">
        <v>8854000</v>
      </c>
      <c r="D67" s="74" t="s">
        <v>252</v>
      </c>
      <c r="E67" s="74"/>
      <c r="F67" s="96">
        <v>42979</v>
      </c>
      <c r="G67" s="84">
        <v>9.4700000000000006</v>
      </c>
      <c r="H67" s="87" t="s">
        <v>155</v>
      </c>
      <c r="I67" s="88">
        <v>4.8000000000000001E-2</v>
      </c>
      <c r="J67" s="88">
        <v>4.8499999999999995E-2</v>
      </c>
      <c r="K67" s="84">
        <v>631000</v>
      </c>
      <c r="L67" s="86">
        <v>101.8061</v>
      </c>
      <c r="M67" s="84">
        <v>642.3968000000001</v>
      </c>
      <c r="N67" s="74"/>
      <c r="O67" s="85">
        <v>8.2048165604504571E-3</v>
      </c>
      <c r="P67" s="85">
        <f>M67/'סכום נכסי הקרן'!$C$42</f>
        <v>2.2078640262120984E-3</v>
      </c>
    </row>
    <row r="68" spans="2:16">
      <c r="B68" s="77" t="s">
        <v>1022</v>
      </c>
      <c r="C68" s="74">
        <v>88550000</v>
      </c>
      <c r="D68" s="74" t="s">
        <v>252</v>
      </c>
      <c r="E68" s="74"/>
      <c r="F68" s="96">
        <v>43009</v>
      </c>
      <c r="G68" s="84">
        <v>9.33</v>
      </c>
      <c r="H68" s="87" t="s">
        <v>155</v>
      </c>
      <c r="I68" s="88">
        <v>4.8000000000000001E-2</v>
      </c>
      <c r="J68" s="88">
        <v>4.8500000000000008E-2</v>
      </c>
      <c r="K68" s="84">
        <v>913000</v>
      </c>
      <c r="L68" s="86">
        <v>103.5273</v>
      </c>
      <c r="M68" s="84">
        <v>945.20398</v>
      </c>
      <c r="N68" s="74"/>
      <c r="O68" s="85">
        <v>1.2072328610770915E-2</v>
      </c>
      <c r="P68" s="85">
        <f>M68/'סכום נכסי הקרן'!$C$42</f>
        <v>3.248586955717244E-3</v>
      </c>
    </row>
    <row r="69" spans="2:16">
      <c r="B69" s="77" t="s">
        <v>1023</v>
      </c>
      <c r="C69" s="74">
        <v>88560000</v>
      </c>
      <c r="D69" s="74" t="s">
        <v>252</v>
      </c>
      <c r="E69" s="74"/>
      <c r="F69" s="96">
        <v>43040</v>
      </c>
      <c r="G69" s="84">
        <v>9.41</v>
      </c>
      <c r="H69" s="87" t="s">
        <v>155</v>
      </c>
      <c r="I69" s="88">
        <v>4.8000000000000001E-2</v>
      </c>
      <c r="J69" s="88">
        <v>4.8499999999999995E-2</v>
      </c>
      <c r="K69" s="84">
        <v>313000</v>
      </c>
      <c r="L69" s="86">
        <v>103.01600000000001</v>
      </c>
      <c r="M69" s="84">
        <v>322.44046000000003</v>
      </c>
      <c r="N69" s="74"/>
      <c r="O69" s="85">
        <v>4.1182721115162199E-3</v>
      </c>
      <c r="P69" s="85">
        <f>M69/'סכום נכסי הקרן'!$C$42</f>
        <v>1.1082008693525263E-3</v>
      </c>
    </row>
    <row r="70" spans="2:16">
      <c r="B70" s="77" t="s">
        <v>1024</v>
      </c>
      <c r="C70" s="74">
        <v>88570000</v>
      </c>
      <c r="D70" s="74" t="s">
        <v>252</v>
      </c>
      <c r="E70" s="74"/>
      <c r="F70" s="96">
        <v>43070</v>
      </c>
      <c r="G70" s="84">
        <v>9.49</v>
      </c>
      <c r="H70" s="87" t="s">
        <v>155</v>
      </c>
      <c r="I70" s="88">
        <v>4.8000000000000001E-2</v>
      </c>
      <c r="J70" s="88">
        <v>4.8499999999999995E-2</v>
      </c>
      <c r="K70" s="84">
        <v>743000</v>
      </c>
      <c r="L70" s="86">
        <v>102.30370000000001</v>
      </c>
      <c r="M70" s="84">
        <v>760.11629000000005</v>
      </c>
      <c r="N70" s="74"/>
      <c r="O70" s="85">
        <v>9.7083527253874272E-3</v>
      </c>
      <c r="P70" s="85">
        <f>M70/'סכום נכסי הקרן'!$C$42</f>
        <v>2.6124560589791276E-3</v>
      </c>
    </row>
    <row r="71" spans="2:16">
      <c r="B71" s="77" t="s">
        <v>1025</v>
      </c>
      <c r="C71" s="74">
        <v>88580000</v>
      </c>
      <c r="D71" s="74" t="s">
        <v>252</v>
      </c>
      <c r="E71" s="74"/>
      <c r="F71" s="96">
        <v>43101</v>
      </c>
      <c r="G71" s="84">
        <v>9.58</v>
      </c>
      <c r="H71" s="87" t="s">
        <v>155</v>
      </c>
      <c r="I71" s="88">
        <v>4.8000000000000001E-2</v>
      </c>
      <c r="J71" s="88">
        <v>4.8499999999999995E-2</v>
      </c>
      <c r="K71" s="84">
        <v>199000</v>
      </c>
      <c r="L71" s="86">
        <v>102.20489999999999</v>
      </c>
      <c r="M71" s="84">
        <v>203.38783999999998</v>
      </c>
      <c r="N71" s="74"/>
      <c r="O71" s="85">
        <v>2.5977089515798451E-3</v>
      </c>
      <c r="P71" s="85">
        <f>M71/'סכום נכסי הקרן'!$C$42</f>
        <v>6.9902698037253917E-4</v>
      </c>
    </row>
    <row r="72" spans="2:16">
      <c r="B72" s="77" t="s">
        <v>1026</v>
      </c>
      <c r="C72" s="74">
        <v>88600000</v>
      </c>
      <c r="D72" s="74" t="s">
        <v>252</v>
      </c>
      <c r="E72" s="74"/>
      <c r="F72" s="96">
        <v>43161</v>
      </c>
      <c r="G72" s="84">
        <v>9.7499999999999982</v>
      </c>
      <c r="H72" s="87" t="s">
        <v>155</v>
      </c>
      <c r="I72" s="88">
        <v>4.8000000000000001E-2</v>
      </c>
      <c r="J72" s="88">
        <v>4.8499999999999995E-2</v>
      </c>
      <c r="K72" s="84">
        <v>603000</v>
      </c>
      <c r="L72" s="86">
        <v>101.7927</v>
      </c>
      <c r="M72" s="84">
        <v>613.81017000000008</v>
      </c>
      <c r="N72" s="74"/>
      <c r="O72" s="85">
        <v>7.8397025760229659E-3</v>
      </c>
      <c r="P72" s="85">
        <f>M72/'סכום נכסי הקרן'!$C$42</f>
        <v>2.1096141719045493E-3</v>
      </c>
    </row>
    <row r="73" spans="2:16">
      <c r="B73" s="77" t="s">
        <v>1027</v>
      </c>
      <c r="C73" s="74">
        <v>88630000</v>
      </c>
      <c r="D73" s="74" t="s">
        <v>252</v>
      </c>
      <c r="E73" s="74"/>
      <c r="F73" s="96">
        <v>43252</v>
      </c>
      <c r="G73" s="84">
        <v>9.76</v>
      </c>
      <c r="H73" s="87" t="s">
        <v>155</v>
      </c>
      <c r="I73" s="88">
        <v>4.8000000000000001E-2</v>
      </c>
      <c r="J73" s="88">
        <v>4.8500000000000008E-2</v>
      </c>
      <c r="K73" s="84">
        <v>85000</v>
      </c>
      <c r="L73" s="86">
        <v>102.2011</v>
      </c>
      <c r="M73" s="84">
        <v>86.87178999999999</v>
      </c>
      <c r="N73" s="74"/>
      <c r="O73" s="85">
        <v>1.1095433558012341E-3</v>
      </c>
      <c r="P73" s="85">
        <f>M73/'סכום נכסי הקרן'!$C$42</f>
        <v>2.985710701448884E-4</v>
      </c>
    </row>
    <row r="74" spans="2:16">
      <c r="B74" s="77" t="s">
        <v>1028</v>
      </c>
      <c r="C74" s="74">
        <v>88650000</v>
      </c>
      <c r="D74" s="74" t="s">
        <v>252</v>
      </c>
      <c r="E74" s="74"/>
      <c r="F74" s="96">
        <v>43313</v>
      </c>
      <c r="G74" s="84">
        <v>9.93</v>
      </c>
      <c r="H74" s="87" t="s">
        <v>155</v>
      </c>
      <c r="I74" s="88">
        <v>4.8000000000000001E-2</v>
      </c>
      <c r="J74" s="88">
        <v>4.8499999999999995E-2</v>
      </c>
      <c r="K74" s="84">
        <v>375000</v>
      </c>
      <c r="L74" s="86">
        <v>100.787148</v>
      </c>
      <c r="M74" s="84">
        <v>377.98790000000002</v>
      </c>
      <c r="N74" s="74"/>
      <c r="O74" s="85">
        <v>4.8277347919072622E-3</v>
      </c>
      <c r="P74" s="85">
        <f>M74/'סכום נכסי הקרן'!$C$42</f>
        <v>1.2991127707259063E-3</v>
      </c>
    </row>
    <row r="75" spans="2:16">
      <c r="B75" s="77" t="s">
        <v>1029</v>
      </c>
      <c r="C75" s="74">
        <v>88660000</v>
      </c>
      <c r="D75" s="74" t="s">
        <v>252</v>
      </c>
      <c r="E75" s="74"/>
      <c r="F75" s="96">
        <v>43345</v>
      </c>
      <c r="G75" s="84">
        <v>10.02</v>
      </c>
      <c r="H75" s="87" t="s">
        <v>155</v>
      </c>
      <c r="I75" s="88">
        <v>4.8000000000000001E-2</v>
      </c>
      <c r="J75" s="88">
        <v>4.8499999999999995E-2</v>
      </c>
      <c r="K75" s="84">
        <v>508000</v>
      </c>
      <c r="L75" s="86">
        <v>100.386754</v>
      </c>
      <c r="M75" s="84">
        <v>509.96050000000002</v>
      </c>
      <c r="N75" s="74"/>
      <c r="O75" s="85">
        <v>6.5133144429978399E-3</v>
      </c>
      <c r="P75" s="85">
        <f>M75/'סכום נכסי הקרן'!$C$42</f>
        <v>1.7526915494272927E-3</v>
      </c>
    </row>
    <row r="76" spans="2:16">
      <c r="B76" s="77" t="s">
        <v>1030</v>
      </c>
      <c r="C76" s="74">
        <v>88710000</v>
      </c>
      <c r="D76" s="74" t="s">
        <v>252</v>
      </c>
      <c r="E76" s="74"/>
      <c r="F76" s="96">
        <v>43497</v>
      </c>
      <c r="G76" s="84">
        <v>10.200000000000001</v>
      </c>
      <c r="H76" s="87" t="s">
        <v>155</v>
      </c>
      <c r="I76" s="88">
        <v>4.8000000000000001E-2</v>
      </c>
      <c r="J76" s="88">
        <v>4.8500000000000008E-2</v>
      </c>
      <c r="K76" s="84">
        <v>698000</v>
      </c>
      <c r="L76" s="86">
        <v>100.87909999999999</v>
      </c>
      <c r="M76" s="84">
        <v>704.25698</v>
      </c>
      <c r="N76" s="74"/>
      <c r="O76" s="85">
        <v>8.9949067808507543E-3</v>
      </c>
      <c r="P76" s="85">
        <f>M76/'סכום נכסי הקרן'!$C$42</f>
        <v>2.4204722865225556E-3</v>
      </c>
    </row>
    <row r="77" spans="2:16">
      <c r="B77" s="77" t="s">
        <v>1031</v>
      </c>
      <c r="C77" s="74">
        <v>88720000</v>
      </c>
      <c r="D77" s="74" t="s">
        <v>252</v>
      </c>
      <c r="E77" s="74"/>
      <c r="F77" s="96">
        <v>43525</v>
      </c>
      <c r="G77" s="84">
        <v>10.280000000000003</v>
      </c>
      <c r="H77" s="87" t="s">
        <v>155</v>
      </c>
      <c r="I77" s="88">
        <v>4.8000000000000001E-2</v>
      </c>
      <c r="J77" s="88">
        <v>4.8500000000000008E-2</v>
      </c>
      <c r="K77" s="84">
        <v>1140000</v>
      </c>
      <c r="L77" s="86">
        <v>100.59672500000001</v>
      </c>
      <c r="M77" s="84">
        <v>1146.80269</v>
      </c>
      <c r="N77" s="74"/>
      <c r="O77" s="85">
        <v>1.4647186446883188E-2</v>
      </c>
      <c r="P77" s="85">
        <f>M77/'סכום נכסי הקרן'!$C$42</f>
        <v>3.9414648460488356E-3</v>
      </c>
    </row>
    <row r="78" spans="2:16">
      <c r="B78" s="77" t="s">
        <v>1032</v>
      </c>
      <c r="C78" s="74">
        <v>88730000</v>
      </c>
      <c r="D78" s="74" t="s">
        <v>252</v>
      </c>
      <c r="E78" s="74"/>
      <c r="F78" s="96">
        <v>43556</v>
      </c>
      <c r="G78" s="84">
        <v>10.120000000000001</v>
      </c>
      <c r="H78" s="87" t="s">
        <v>155</v>
      </c>
      <c r="I78" s="88">
        <v>4.8000000000000001E-2</v>
      </c>
      <c r="J78" s="88">
        <v>4.8499999999999995E-2</v>
      </c>
      <c r="K78" s="84">
        <v>788000</v>
      </c>
      <c r="L78" s="86">
        <v>102.50230000000001</v>
      </c>
      <c r="M78" s="84">
        <v>807.71781999999996</v>
      </c>
      <c r="N78" s="74"/>
      <c r="O78" s="85">
        <v>1.0316328701679305E-2</v>
      </c>
      <c r="P78" s="85">
        <f>M78/'סכום נכסי הקרן'!$C$42</f>
        <v>2.7760585328389844E-3</v>
      </c>
    </row>
    <row r="79" spans="2:16">
      <c r="B79" s="77" t="s">
        <v>1033</v>
      </c>
      <c r="C79" s="74">
        <v>88740000</v>
      </c>
      <c r="D79" s="74" t="s">
        <v>252</v>
      </c>
      <c r="E79" s="74"/>
      <c r="F79" s="96">
        <v>43586</v>
      </c>
      <c r="G79" s="84">
        <v>10.200000000000001</v>
      </c>
      <c r="H79" s="87" t="s">
        <v>155</v>
      </c>
      <c r="I79" s="88">
        <v>4.8000000000000001E-2</v>
      </c>
      <c r="J79" s="88">
        <v>4.8500000000000008E-2</v>
      </c>
      <c r="K79" s="84">
        <v>750000</v>
      </c>
      <c r="L79" s="86">
        <v>101.996014</v>
      </c>
      <c r="M79" s="84">
        <v>765.08593999999994</v>
      </c>
      <c r="N79" s="74"/>
      <c r="O79" s="85">
        <v>9.7718260593449464E-3</v>
      </c>
      <c r="P79" s="85">
        <f>M79/'סכום נכסי הקרן'!$C$42</f>
        <v>2.6295363300170042E-3</v>
      </c>
    </row>
    <row r="80" spans="2:16">
      <c r="B80" s="77" t="s">
        <v>1034</v>
      </c>
      <c r="C80" s="74">
        <v>88760000</v>
      </c>
      <c r="D80" s="74" t="s">
        <v>252</v>
      </c>
      <c r="E80" s="74"/>
      <c r="F80" s="96">
        <v>43647</v>
      </c>
      <c r="G80" s="84">
        <v>10.370000000000001</v>
      </c>
      <c r="H80" s="87" t="s">
        <v>155</v>
      </c>
      <c r="I80" s="88">
        <v>4.8000000000000001E-2</v>
      </c>
      <c r="J80" s="88">
        <v>4.8500000000000008E-2</v>
      </c>
      <c r="K80" s="84">
        <v>932000</v>
      </c>
      <c r="L80" s="86">
        <v>101.193</v>
      </c>
      <c r="M80" s="84">
        <v>943.11910999999998</v>
      </c>
      <c r="N80" s="74"/>
      <c r="O80" s="85">
        <v>1.2045700246647081E-2</v>
      </c>
      <c r="P80" s="85">
        <f>M80/'סכום נכסי הקרן'!$C$42</f>
        <v>3.2414214320528535E-3</v>
      </c>
    </row>
    <row r="81" spans="2:16">
      <c r="B81" s="77" t="s">
        <v>1035</v>
      </c>
      <c r="C81" s="74">
        <v>88770000</v>
      </c>
      <c r="D81" s="74" t="s">
        <v>252</v>
      </c>
      <c r="E81" s="74"/>
      <c r="F81" s="96">
        <v>43678</v>
      </c>
      <c r="G81" s="84">
        <v>10.450000000000001</v>
      </c>
      <c r="H81" s="87" t="s">
        <v>155</v>
      </c>
      <c r="I81" s="88">
        <v>4.8000000000000001E-2</v>
      </c>
      <c r="J81" s="88">
        <v>4.8499999999999995E-2</v>
      </c>
      <c r="K81" s="84">
        <v>492000</v>
      </c>
      <c r="L81" s="86">
        <v>100.79389999999999</v>
      </c>
      <c r="M81" s="84">
        <v>495.90565999999995</v>
      </c>
      <c r="N81" s="74"/>
      <c r="O81" s="85">
        <v>6.3338032997504231E-3</v>
      </c>
      <c r="P81" s="85">
        <f>M81/'סכום נכסי הקרן'!$C$42</f>
        <v>1.7043862408856452E-3</v>
      </c>
    </row>
    <row r="82" spans="2:16">
      <c r="B82" s="77" t="s">
        <v>1036</v>
      </c>
      <c r="C82" s="74">
        <v>88800000</v>
      </c>
      <c r="D82" s="74" t="s">
        <v>252</v>
      </c>
      <c r="E82" s="74"/>
      <c r="F82" s="96">
        <v>43770</v>
      </c>
      <c r="G82" s="84">
        <v>10.45</v>
      </c>
      <c r="H82" s="87" t="s">
        <v>155</v>
      </c>
      <c r="I82" s="88">
        <v>4.8000000000000001E-2</v>
      </c>
      <c r="J82" s="88">
        <v>4.8499999999999995E-2</v>
      </c>
      <c r="K82" s="84">
        <v>487000</v>
      </c>
      <c r="L82" s="86">
        <v>101.9962</v>
      </c>
      <c r="M82" s="84">
        <v>496.72146000000004</v>
      </c>
      <c r="N82" s="74"/>
      <c r="O82" s="85">
        <v>6.3442228556230803E-3</v>
      </c>
      <c r="P82" s="85">
        <f>M82/'סכום נכסי הקרן'!$C$42</f>
        <v>1.7071900771945807E-3</v>
      </c>
    </row>
    <row r="83" spans="2:16">
      <c r="B83" s="77" t="s">
        <v>1037</v>
      </c>
      <c r="C83" s="74">
        <v>88810000</v>
      </c>
      <c r="D83" s="74" t="s">
        <v>252</v>
      </c>
      <c r="E83" s="74"/>
      <c r="F83" s="96">
        <v>43800</v>
      </c>
      <c r="G83" s="84">
        <v>10.540000000000001</v>
      </c>
      <c r="H83" s="87" t="s">
        <v>155</v>
      </c>
      <c r="I83" s="88">
        <v>4.8000000000000001E-2</v>
      </c>
      <c r="J83" s="88">
        <v>4.8499999999999995E-2</v>
      </c>
      <c r="K83" s="84">
        <v>516000</v>
      </c>
      <c r="L83" s="86">
        <v>101.5938</v>
      </c>
      <c r="M83" s="84">
        <v>524.22411</v>
      </c>
      <c r="N83" s="74"/>
      <c r="O83" s="85">
        <v>6.6954920371885438E-3</v>
      </c>
      <c r="P83" s="85">
        <f>M83/'סכום נכסי הקרן'!$C$42</f>
        <v>1.8017143829826888E-3</v>
      </c>
    </row>
    <row r="84" spans="2:16">
      <c r="B84" s="77" t="s">
        <v>1038</v>
      </c>
      <c r="C84" s="74">
        <v>88830000</v>
      </c>
      <c r="D84" s="74" t="s">
        <v>252</v>
      </c>
      <c r="E84" s="74"/>
      <c r="F84" s="96">
        <v>43863</v>
      </c>
      <c r="G84" s="84">
        <v>10.71</v>
      </c>
      <c r="H84" s="87" t="s">
        <v>155</v>
      </c>
      <c r="I84" s="88">
        <v>4.8000000000000001E-2</v>
      </c>
      <c r="J84" s="88">
        <v>4.8499999999999995E-2</v>
      </c>
      <c r="K84" s="84">
        <v>2270000</v>
      </c>
      <c r="L84" s="86">
        <v>100.77809999999999</v>
      </c>
      <c r="M84" s="84">
        <v>2287.15463</v>
      </c>
      <c r="N84" s="74"/>
      <c r="O84" s="85">
        <v>2.9211982663261919E-2</v>
      </c>
      <c r="P84" s="85">
        <f>M84/'סכום נכסי הקרן'!$C$42</f>
        <v>7.8607590043434858E-3</v>
      </c>
    </row>
    <row r="85" spans="2:16">
      <c r="B85" s="77" t="s">
        <v>1039</v>
      </c>
      <c r="C85" s="74">
        <v>8287583</v>
      </c>
      <c r="D85" s="74" t="s">
        <v>252</v>
      </c>
      <c r="E85" s="74"/>
      <c r="F85" s="96">
        <v>40057</v>
      </c>
      <c r="G85" s="84">
        <v>4.0299999999999994</v>
      </c>
      <c r="H85" s="87" t="s">
        <v>155</v>
      </c>
      <c r="I85" s="88">
        <v>4.8000000000000001E-2</v>
      </c>
      <c r="J85" s="88">
        <v>4.8500000000000008E-2</v>
      </c>
      <c r="K85" s="84">
        <v>117000</v>
      </c>
      <c r="L85" s="86">
        <v>109.5801</v>
      </c>
      <c r="M85" s="84">
        <v>128.21458999999999</v>
      </c>
      <c r="N85" s="74"/>
      <c r="O85" s="85">
        <v>1.6375816182822912E-3</v>
      </c>
      <c r="P85" s="85">
        <f>M85/'סכום נכסי הקרן'!$C$42</f>
        <v>4.4066281291646123E-4</v>
      </c>
    </row>
    <row r="86" spans="2:16">
      <c r="B86" s="77" t="s">
        <v>1040</v>
      </c>
      <c r="C86" s="74">
        <v>8287567</v>
      </c>
      <c r="D86" s="74" t="s">
        <v>252</v>
      </c>
      <c r="E86" s="74"/>
      <c r="F86" s="96">
        <v>39995</v>
      </c>
      <c r="G86" s="84">
        <v>3.8499999999999996</v>
      </c>
      <c r="H86" s="87" t="s">
        <v>155</v>
      </c>
      <c r="I86" s="88">
        <v>4.8000000000000001E-2</v>
      </c>
      <c r="J86" s="88">
        <v>4.8500000000000008E-2</v>
      </c>
      <c r="K86" s="84">
        <v>50000</v>
      </c>
      <c r="L86" s="86">
        <v>112.5973</v>
      </c>
      <c r="M86" s="84">
        <v>56.301769999999998</v>
      </c>
      <c r="N86" s="74"/>
      <c r="O86" s="85">
        <v>7.1909712949795612E-4</v>
      </c>
      <c r="P86" s="85">
        <f>M86/'סכום נכסי הקרן'!$C$42</f>
        <v>1.9350447043800265E-4</v>
      </c>
    </row>
    <row r="87" spans="2:16">
      <c r="B87" s="77" t="s">
        <v>1041</v>
      </c>
      <c r="C87" s="74">
        <v>8287815</v>
      </c>
      <c r="D87" s="74" t="s">
        <v>252</v>
      </c>
      <c r="E87" s="74"/>
      <c r="F87" s="96">
        <v>40756</v>
      </c>
      <c r="G87" s="84">
        <v>5.5</v>
      </c>
      <c r="H87" s="87" t="s">
        <v>155</v>
      </c>
      <c r="I87" s="88">
        <v>4.8000000000000001E-2</v>
      </c>
      <c r="J87" s="88">
        <v>4.8499999999999995E-2</v>
      </c>
      <c r="K87" s="84">
        <v>230000</v>
      </c>
      <c r="L87" s="86">
        <v>104.1848</v>
      </c>
      <c r="M87" s="84">
        <v>239.64311999999998</v>
      </c>
      <c r="N87" s="74"/>
      <c r="O87" s="85">
        <v>3.0607684215955243E-3</v>
      </c>
      <c r="P87" s="85">
        <f>M87/'סכום נכסי הקרן'!$C$42</f>
        <v>8.2363334278319706E-4</v>
      </c>
    </row>
    <row r="88" spans="2:16">
      <c r="B88" s="77" t="s">
        <v>1042</v>
      </c>
      <c r="C88" s="74">
        <v>8287849</v>
      </c>
      <c r="D88" s="74" t="s">
        <v>252</v>
      </c>
      <c r="E88" s="74"/>
      <c r="F88" s="96">
        <v>40848</v>
      </c>
      <c r="G88" s="84">
        <v>5.62</v>
      </c>
      <c r="H88" s="87" t="s">
        <v>155</v>
      </c>
      <c r="I88" s="88">
        <v>4.8000000000000001E-2</v>
      </c>
      <c r="J88" s="88">
        <v>4.8499999999999995E-2</v>
      </c>
      <c r="K88" s="84">
        <v>41000</v>
      </c>
      <c r="L88" s="86">
        <v>105.4294</v>
      </c>
      <c r="M88" s="84">
        <v>43.224820000000001</v>
      </c>
      <c r="N88" s="74"/>
      <c r="O88" s="85">
        <v>5.5207578705013802E-4</v>
      </c>
      <c r="P88" s="85">
        <f>M88/'סכום נכסי הקרן'!$C$42</f>
        <v>1.4856008796664805E-4</v>
      </c>
    </row>
    <row r="89" spans="2:16">
      <c r="B89" s="77" t="s">
        <v>1043</v>
      </c>
      <c r="C89" s="74">
        <v>8287872</v>
      </c>
      <c r="D89" s="74" t="s">
        <v>252</v>
      </c>
      <c r="E89" s="74"/>
      <c r="F89" s="96">
        <v>40940</v>
      </c>
      <c r="G89" s="84">
        <v>5.8699999999999983</v>
      </c>
      <c r="H89" s="87" t="s">
        <v>155</v>
      </c>
      <c r="I89" s="88">
        <v>4.8000000000000001E-2</v>
      </c>
      <c r="J89" s="88">
        <v>4.8499999999999988E-2</v>
      </c>
      <c r="K89" s="84">
        <v>1294000</v>
      </c>
      <c r="L89" s="86">
        <v>104.19499999999999</v>
      </c>
      <c r="M89" s="84">
        <v>1348.2891200000001</v>
      </c>
      <c r="N89" s="74"/>
      <c r="O89" s="85">
        <v>1.7220610221052118E-2</v>
      </c>
      <c r="P89" s="85">
        <f>M89/'סכום נכסי הקרן'!$C$42</f>
        <v>4.633956839419447E-3</v>
      </c>
    </row>
    <row r="90" spans="2:16">
      <c r="B90" s="77" t="s">
        <v>1044</v>
      </c>
      <c r="C90" s="74">
        <v>71116727</v>
      </c>
      <c r="D90" s="74" t="s">
        <v>252</v>
      </c>
      <c r="E90" s="74"/>
      <c r="F90" s="96">
        <v>40969</v>
      </c>
      <c r="G90" s="84">
        <v>5.95</v>
      </c>
      <c r="H90" s="87" t="s">
        <v>155</v>
      </c>
      <c r="I90" s="88">
        <v>4.8000000000000001E-2</v>
      </c>
      <c r="J90" s="88">
        <v>4.8599999999999997E-2</v>
      </c>
      <c r="K90" s="84">
        <v>1425000</v>
      </c>
      <c r="L90" s="86">
        <v>103.765</v>
      </c>
      <c r="M90" s="84">
        <v>1478.4424899999999</v>
      </c>
      <c r="N90" s="74"/>
      <c r="O90" s="85">
        <v>1.8882954313635444E-2</v>
      </c>
      <c r="P90" s="85">
        <f>M90/'סכום נכסי הקרן'!$C$42</f>
        <v>5.0812830768995725E-3</v>
      </c>
    </row>
    <row r="91" spans="2:16">
      <c r="B91" s="77" t="s">
        <v>1045</v>
      </c>
      <c r="C91" s="74">
        <v>8789</v>
      </c>
      <c r="D91" s="74" t="s">
        <v>252</v>
      </c>
      <c r="E91" s="74"/>
      <c r="F91" s="96">
        <v>41000</v>
      </c>
      <c r="G91" s="84">
        <v>5.89</v>
      </c>
      <c r="H91" s="87" t="s">
        <v>155</v>
      </c>
      <c r="I91" s="88">
        <v>4.8000000000000001E-2</v>
      </c>
      <c r="J91" s="88">
        <v>4.8500000000000008E-2</v>
      </c>
      <c r="K91" s="84">
        <v>1216000</v>
      </c>
      <c r="L91" s="86">
        <v>105.8477</v>
      </c>
      <c r="M91" s="84">
        <v>1287.08296</v>
      </c>
      <c r="N91" s="74"/>
      <c r="O91" s="85">
        <v>1.6438873270977674E-2</v>
      </c>
      <c r="P91" s="85">
        <f>M91/'סכום נכסי הקרן'!$C$42</f>
        <v>4.4235963911006164E-3</v>
      </c>
    </row>
    <row r="92" spans="2:16">
      <c r="B92" s="77" t="s">
        <v>1046</v>
      </c>
      <c r="C92" s="74">
        <v>71121438</v>
      </c>
      <c r="D92" s="74" t="s">
        <v>252</v>
      </c>
      <c r="E92" s="74"/>
      <c r="F92" s="96">
        <v>41640</v>
      </c>
      <c r="G92" s="84">
        <v>7.17</v>
      </c>
      <c r="H92" s="87" t="s">
        <v>155</v>
      </c>
      <c r="I92" s="88">
        <v>4.8000000000000001E-2</v>
      </c>
      <c r="J92" s="88">
        <v>4.8499999999999995E-2</v>
      </c>
      <c r="K92" s="84">
        <v>1034000</v>
      </c>
      <c r="L92" s="86">
        <v>101.1836</v>
      </c>
      <c r="M92" s="84">
        <v>1046.2385200000001</v>
      </c>
      <c r="N92" s="74"/>
      <c r="O92" s="85">
        <v>1.3362761357275092E-2</v>
      </c>
      <c r="P92" s="85">
        <f>M92/'סכום נכסי הקרן'!$C$42</f>
        <v>3.5958342120405748E-3</v>
      </c>
    </row>
    <row r="96" spans="2:16">
      <c r="B96" s="89" t="s">
        <v>103</v>
      </c>
    </row>
    <row r="97" spans="2:2">
      <c r="B97" s="89" t="s">
        <v>222</v>
      </c>
    </row>
    <row r="98" spans="2:2">
      <c r="B98" s="89" t="s">
        <v>230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W25:XFD27 D1:P1048576 Q25:U27 Q28:XFD1048576 Q1:XFD2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170</v>
      </c>
      <c r="C1" s="68" t="s" vm="1">
        <v>247</v>
      </c>
    </row>
    <row r="2" spans="2:65">
      <c r="B2" s="47" t="s">
        <v>169</v>
      </c>
      <c r="C2" s="68" t="s">
        <v>248</v>
      </c>
    </row>
    <row r="3" spans="2:65">
      <c r="B3" s="47" t="s">
        <v>171</v>
      </c>
      <c r="C3" s="68" t="s">
        <v>249</v>
      </c>
    </row>
    <row r="4" spans="2:65">
      <c r="B4" s="47" t="s">
        <v>172</v>
      </c>
      <c r="C4" s="68">
        <v>2144</v>
      </c>
    </row>
    <row r="6" spans="2:65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6"/>
    </row>
    <row r="7" spans="2:65" ht="26.25" customHeight="1">
      <c r="B7" s="134" t="s">
        <v>81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</row>
    <row r="8" spans="2:65" s="3" customFormat="1" ht="78.75">
      <c r="B8" s="22" t="s">
        <v>107</v>
      </c>
      <c r="C8" s="30" t="s">
        <v>41</v>
      </c>
      <c r="D8" s="30" t="s">
        <v>109</v>
      </c>
      <c r="E8" s="30" t="s">
        <v>108</v>
      </c>
      <c r="F8" s="30" t="s">
        <v>60</v>
      </c>
      <c r="G8" s="30" t="s">
        <v>14</v>
      </c>
      <c r="H8" s="30" t="s">
        <v>61</v>
      </c>
      <c r="I8" s="30" t="s">
        <v>95</v>
      </c>
      <c r="J8" s="30" t="s">
        <v>17</v>
      </c>
      <c r="K8" s="30" t="s">
        <v>94</v>
      </c>
      <c r="L8" s="30" t="s">
        <v>16</v>
      </c>
      <c r="M8" s="59" t="s">
        <v>18</v>
      </c>
      <c r="N8" s="30" t="s">
        <v>224</v>
      </c>
      <c r="O8" s="30" t="s">
        <v>223</v>
      </c>
      <c r="P8" s="30" t="s">
        <v>102</v>
      </c>
      <c r="Q8" s="30" t="s">
        <v>53</v>
      </c>
      <c r="R8" s="30" t="s">
        <v>173</v>
      </c>
      <c r="S8" s="31" t="s">
        <v>175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231</v>
      </c>
      <c r="O9" s="32"/>
      <c r="P9" s="32" t="s">
        <v>227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104</v>
      </c>
      <c r="R10" s="19" t="s">
        <v>105</v>
      </c>
      <c r="S10" s="20" t="s">
        <v>176</v>
      </c>
      <c r="T10" s="5"/>
      <c r="BJ10" s="1"/>
    </row>
    <row r="11" spans="2:65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5"/>
      <c r="BJ11" s="1"/>
      <c r="BM11" s="1"/>
    </row>
    <row r="12" spans="2:65" ht="20.25" customHeight="1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</row>
    <row r="13" spans="2:65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2:65">
      <c r="B14" s="89" t="s">
        <v>222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</row>
    <row r="15" spans="2:65">
      <c r="B15" s="89" t="s">
        <v>230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</row>
    <row r="16" spans="2:6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</row>
    <row r="17" spans="2:19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2:19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</row>
    <row r="19" spans="2:19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2:19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2:19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2:19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2:19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</row>
    <row r="24" spans="2:19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</row>
    <row r="25" spans="2:19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</row>
    <row r="26" spans="2:19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</row>
    <row r="27" spans="2:19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</row>
    <row r="28" spans="2:19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</row>
    <row r="29" spans="2:19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</row>
    <row r="30" spans="2:19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</row>
    <row r="31" spans="2:19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7" workbookViewId="0">
      <selection activeCell="G27" sqref="G27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49.28515625" style="2" bestFit="1" customWidth="1"/>
    <col min="4" max="4" width="9.28515625" style="2" bestFit="1" customWidth="1"/>
    <col min="5" max="5" width="11.28515625" style="2" bestFit="1" customWidth="1"/>
    <col min="6" max="6" width="34.710937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170</v>
      </c>
      <c r="C1" s="68" t="s" vm="1">
        <v>247</v>
      </c>
    </row>
    <row r="2" spans="2:81">
      <c r="B2" s="47" t="s">
        <v>169</v>
      </c>
      <c r="C2" s="68" t="s">
        <v>248</v>
      </c>
    </row>
    <row r="3" spans="2:81">
      <c r="B3" s="47" t="s">
        <v>171</v>
      </c>
      <c r="C3" s="68" t="s">
        <v>249</v>
      </c>
    </row>
    <row r="4" spans="2:81">
      <c r="B4" s="47" t="s">
        <v>172</v>
      </c>
      <c r="C4" s="68">
        <v>2144</v>
      </c>
    </row>
    <row r="6" spans="2:81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6"/>
    </row>
    <row r="7" spans="2:81" ht="26.25" customHeight="1">
      <c r="B7" s="134" t="s">
        <v>82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6"/>
    </row>
    <row r="8" spans="2:81" s="3" customFormat="1" ht="78.75">
      <c r="B8" s="22" t="s">
        <v>107</v>
      </c>
      <c r="C8" s="30" t="s">
        <v>41</v>
      </c>
      <c r="D8" s="30" t="s">
        <v>109</v>
      </c>
      <c r="E8" s="30" t="s">
        <v>108</v>
      </c>
      <c r="F8" s="30" t="s">
        <v>60</v>
      </c>
      <c r="G8" s="30" t="s">
        <v>14</v>
      </c>
      <c r="H8" s="30" t="s">
        <v>61</v>
      </c>
      <c r="I8" s="30" t="s">
        <v>95</v>
      </c>
      <c r="J8" s="30" t="s">
        <v>17</v>
      </c>
      <c r="K8" s="30" t="s">
        <v>94</v>
      </c>
      <c r="L8" s="30" t="s">
        <v>16</v>
      </c>
      <c r="M8" s="59" t="s">
        <v>18</v>
      </c>
      <c r="N8" s="59" t="s">
        <v>224</v>
      </c>
      <c r="O8" s="30" t="s">
        <v>223</v>
      </c>
      <c r="P8" s="30" t="s">
        <v>102</v>
      </c>
      <c r="Q8" s="30" t="s">
        <v>53</v>
      </c>
      <c r="R8" s="30" t="s">
        <v>173</v>
      </c>
      <c r="S8" s="31" t="s">
        <v>175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231</v>
      </c>
      <c r="O9" s="32"/>
      <c r="P9" s="32" t="s">
        <v>227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104</v>
      </c>
      <c r="R10" s="19" t="s">
        <v>105</v>
      </c>
      <c r="S10" s="20" t="s">
        <v>176</v>
      </c>
      <c r="T10" s="5"/>
      <c r="BZ10" s="1"/>
    </row>
    <row r="11" spans="2:81" s="4" customFormat="1" ht="18" customHeight="1">
      <c r="B11" s="123" t="s">
        <v>46</v>
      </c>
      <c r="C11" s="72"/>
      <c r="D11" s="72"/>
      <c r="E11" s="72"/>
      <c r="F11" s="72"/>
      <c r="G11" s="72"/>
      <c r="H11" s="72"/>
      <c r="I11" s="72"/>
      <c r="J11" s="83">
        <v>6.5983064561740843</v>
      </c>
      <c r="K11" s="72"/>
      <c r="L11" s="72"/>
      <c r="M11" s="82">
        <v>2.3163173572090696E-2</v>
      </c>
      <c r="N11" s="81"/>
      <c r="O11" s="83"/>
      <c r="P11" s="81">
        <v>2710.6380299999996</v>
      </c>
      <c r="Q11" s="72"/>
      <c r="R11" s="82">
        <v>1</v>
      </c>
      <c r="S11" s="82">
        <f>P11/'סכום נכסי הקרן'!$C$42</f>
        <v>9.316236000116173E-3</v>
      </c>
      <c r="T11" s="5"/>
      <c r="BZ11" s="90"/>
      <c r="CC11" s="90"/>
    </row>
    <row r="12" spans="2:81" s="90" customFormat="1" ht="17.25" customHeight="1">
      <c r="B12" s="124" t="s">
        <v>221</v>
      </c>
      <c r="C12" s="72"/>
      <c r="D12" s="72"/>
      <c r="E12" s="72"/>
      <c r="F12" s="72"/>
      <c r="G12" s="72"/>
      <c r="H12" s="72"/>
      <c r="I12" s="72"/>
      <c r="J12" s="83">
        <v>6.5983064561740843</v>
      </c>
      <c r="K12" s="72"/>
      <c r="L12" s="72"/>
      <c r="M12" s="82">
        <v>2.3163173572090696E-2</v>
      </c>
      <c r="N12" s="81"/>
      <c r="O12" s="83"/>
      <c r="P12" s="81">
        <v>2710.6380299999996</v>
      </c>
      <c r="Q12" s="72"/>
      <c r="R12" s="82">
        <v>1</v>
      </c>
      <c r="S12" s="82">
        <f>P12/'סכום נכסי הקרן'!$C$42</f>
        <v>9.316236000116173E-3</v>
      </c>
    </row>
    <row r="13" spans="2:81">
      <c r="B13" s="97" t="s">
        <v>54</v>
      </c>
      <c r="C13" s="72"/>
      <c r="D13" s="72"/>
      <c r="E13" s="72"/>
      <c r="F13" s="72"/>
      <c r="G13" s="72"/>
      <c r="H13" s="72"/>
      <c r="I13" s="72"/>
      <c r="J13" s="83">
        <v>9.0072062943310858</v>
      </c>
      <c r="K13" s="72"/>
      <c r="L13" s="72"/>
      <c r="M13" s="82">
        <v>1.8305403684187319E-2</v>
      </c>
      <c r="N13" s="81"/>
      <c r="O13" s="83"/>
      <c r="P13" s="81">
        <v>1434.21372</v>
      </c>
      <c r="Q13" s="72"/>
      <c r="R13" s="82">
        <v>0.52910558478366809</v>
      </c>
      <c r="S13" s="82">
        <f>P13/'סכום נכסי הקרן'!$C$42</f>
        <v>4.9292724968241289E-3</v>
      </c>
    </row>
    <row r="14" spans="2:81">
      <c r="B14" s="98" t="s">
        <v>1047</v>
      </c>
      <c r="C14" s="74" t="s">
        <v>1048</v>
      </c>
      <c r="D14" s="87" t="s">
        <v>1049</v>
      </c>
      <c r="E14" s="74" t="s">
        <v>358</v>
      </c>
      <c r="F14" s="87" t="s">
        <v>147</v>
      </c>
      <c r="G14" s="74" t="s">
        <v>331</v>
      </c>
      <c r="H14" s="74" t="s">
        <v>332</v>
      </c>
      <c r="I14" s="96">
        <v>42639</v>
      </c>
      <c r="J14" s="86">
        <v>7.57</v>
      </c>
      <c r="K14" s="87" t="s">
        <v>155</v>
      </c>
      <c r="L14" s="88">
        <v>4.9000000000000002E-2</v>
      </c>
      <c r="M14" s="85">
        <v>1.55E-2</v>
      </c>
      <c r="N14" s="84">
        <v>137297</v>
      </c>
      <c r="O14" s="86">
        <v>154.69999999999999</v>
      </c>
      <c r="P14" s="84">
        <v>212.39846</v>
      </c>
      <c r="Q14" s="85">
        <v>6.9939019544488229E-5</v>
      </c>
      <c r="R14" s="85">
        <v>7.8357367398110334E-2</v>
      </c>
      <c r="S14" s="85">
        <f>P14/'סכום נכסי הקרן'!$C$42</f>
        <v>7.2999572702860485E-4</v>
      </c>
    </row>
    <row r="15" spans="2:81">
      <c r="B15" s="98" t="s">
        <v>1050</v>
      </c>
      <c r="C15" s="74" t="s">
        <v>1051</v>
      </c>
      <c r="D15" s="87" t="s">
        <v>1049</v>
      </c>
      <c r="E15" s="74" t="s">
        <v>358</v>
      </c>
      <c r="F15" s="87" t="s">
        <v>147</v>
      </c>
      <c r="G15" s="74" t="s">
        <v>331</v>
      </c>
      <c r="H15" s="74" t="s">
        <v>332</v>
      </c>
      <c r="I15" s="96">
        <v>42639</v>
      </c>
      <c r="J15" s="86">
        <v>11.190000000000001</v>
      </c>
      <c r="K15" s="87" t="s">
        <v>155</v>
      </c>
      <c r="L15" s="88">
        <v>4.0999999999999995E-2</v>
      </c>
      <c r="M15" s="85">
        <v>2.06E-2</v>
      </c>
      <c r="N15" s="84">
        <v>650958.76</v>
      </c>
      <c r="O15" s="86">
        <v>131.69</v>
      </c>
      <c r="P15" s="84">
        <v>857.24764000000005</v>
      </c>
      <c r="Q15" s="85">
        <v>1.545380638408864E-4</v>
      </c>
      <c r="R15" s="85">
        <v>0.3162530852560938</v>
      </c>
      <c r="S15" s="85">
        <f>P15/'סכום נכסי הקרן'!$C$42</f>
        <v>2.9462883780106302E-3</v>
      </c>
    </row>
    <row r="16" spans="2:81">
      <c r="B16" s="98" t="s">
        <v>1052</v>
      </c>
      <c r="C16" s="74" t="s">
        <v>1053</v>
      </c>
      <c r="D16" s="87" t="s">
        <v>1049</v>
      </c>
      <c r="E16" s="74" t="s">
        <v>1054</v>
      </c>
      <c r="F16" s="87" t="s">
        <v>1055</v>
      </c>
      <c r="G16" s="74" t="s">
        <v>341</v>
      </c>
      <c r="H16" s="74" t="s">
        <v>151</v>
      </c>
      <c r="I16" s="96">
        <v>42796</v>
      </c>
      <c r="J16" s="86">
        <v>6.91</v>
      </c>
      <c r="K16" s="87" t="s">
        <v>155</v>
      </c>
      <c r="L16" s="88">
        <v>2.1400000000000002E-2</v>
      </c>
      <c r="M16" s="85">
        <v>1.3900000000000001E-2</v>
      </c>
      <c r="N16" s="84">
        <v>180000</v>
      </c>
      <c r="O16" s="86">
        <v>106.92</v>
      </c>
      <c r="P16" s="84">
        <v>192.45599999999999</v>
      </c>
      <c r="Q16" s="85">
        <v>6.9325158099874443E-4</v>
      </c>
      <c r="R16" s="85">
        <v>7.1000258193824578E-2</v>
      </c>
      <c r="S16" s="85">
        <f>P16/'סכום נכסי הקרן'!$C$42</f>
        <v>6.6145516140285183E-4</v>
      </c>
    </row>
    <row r="17" spans="2:19">
      <c r="B17" s="98" t="s">
        <v>1056</v>
      </c>
      <c r="C17" s="74" t="s">
        <v>1057</v>
      </c>
      <c r="D17" s="87" t="s">
        <v>1049</v>
      </c>
      <c r="E17" s="74" t="s">
        <v>380</v>
      </c>
      <c r="F17" s="87" t="s">
        <v>147</v>
      </c>
      <c r="G17" s="74" t="s">
        <v>367</v>
      </c>
      <c r="H17" s="74" t="s">
        <v>151</v>
      </c>
      <c r="I17" s="96">
        <v>42835</v>
      </c>
      <c r="J17" s="86">
        <v>3.52</v>
      </c>
      <c r="K17" s="87" t="s">
        <v>155</v>
      </c>
      <c r="L17" s="88">
        <v>5.5999999999999994E-2</v>
      </c>
      <c r="M17" s="85">
        <v>0.01</v>
      </c>
      <c r="N17" s="84">
        <v>44834.67</v>
      </c>
      <c r="O17" s="86">
        <v>143.28</v>
      </c>
      <c r="P17" s="84">
        <v>64.23912</v>
      </c>
      <c r="Q17" s="85">
        <v>6.0023267270080211E-5</v>
      </c>
      <c r="R17" s="85">
        <v>2.3698892765848197E-2</v>
      </c>
      <c r="S17" s="85">
        <f>P17/'סכום נכסי הקרן'!$C$42</f>
        <v>2.207844779480877E-4</v>
      </c>
    </row>
    <row r="18" spans="2:19">
      <c r="B18" s="98" t="s">
        <v>1058</v>
      </c>
      <c r="C18" s="74" t="s">
        <v>1059</v>
      </c>
      <c r="D18" s="87" t="s">
        <v>1049</v>
      </c>
      <c r="E18" s="74" t="s">
        <v>412</v>
      </c>
      <c r="F18" s="87" t="s">
        <v>413</v>
      </c>
      <c r="G18" s="74" t="s">
        <v>396</v>
      </c>
      <c r="H18" s="74" t="s">
        <v>151</v>
      </c>
      <c r="I18" s="96">
        <v>42935</v>
      </c>
      <c r="J18" s="86">
        <v>1.5</v>
      </c>
      <c r="K18" s="87" t="s">
        <v>155</v>
      </c>
      <c r="L18" s="88">
        <v>0.06</v>
      </c>
      <c r="M18" s="85">
        <v>1.84E-2</v>
      </c>
      <c r="N18" s="84">
        <v>95000</v>
      </c>
      <c r="O18" s="86">
        <v>113.55</v>
      </c>
      <c r="P18" s="84">
        <v>107.8725</v>
      </c>
      <c r="Q18" s="85">
        <v>2.5670480608693508E-5</v>
      </c>
      <c r="R18" s="85">
        <v>3.9795981169791238E-2</v>
      </c>
      <c r="S18" s="85">
        <f>P18/'סכום נכסי הקרן'!$C$42</f>
        <v>3.7074875243395445E-4</v>
      </c>
    </row>
    <row r="19" spans="2:19">
      <c r="B19" s="99"/>
      <c r="C19" s="74"/>
      <c r="D19" s="74"/>
      <c r="E19" s="74"/>
      <c r="F19" s="74"/>
      <c r="G19" s="74"/>
      <c r="H19" s="74"/>
      <c r="I19" s="74"/>
      <c r="J19" s="86"/>
      <c r="K19" s="74"/>
      <c r="L19" s="74"/>
      <c r="M19" s="85"/>
      <c r="N19" s="84"/>
      <c r="O19" s="86"/>
      <c r="P19" s="74"/>
      <c r="Q19" s="74"/>
      <c r="R19" s="85"/>
      <c r="S19" s="74"/>
    </row>
    <row r="20" spans="2:19">
      <c r="B20" s="97" t="s">
        <v>55</v>
      </c>
      <c r="C20" s="72"/>
      <c r="D20" s="72"/>
      <c r="E20" s="72"/>
      <c r="F20" s="72"/>
      <c r="G20" s="72"/>
      <c r="H20" s="72"/>
      <c r="I20" s="72"/>
      <c r="J20" s="83">
        <v>4.233885700711145</v>
      </c>
      <c r="K20" s="72"/>
      <c r="L20" s="72"/>
      <c r="M20" s="82">
        <v>2.6006123631679548E-2</v>
      </c>
      <c r="N20" s="81"/>
      <c r="O20" s="83"/>
      <c r="P20" s="81">
        <v>1075.9193799999998</v>
      </c>
      <c r="Q20" s="72"/>
      <c r="R20" s="82">
        <v>0.39692477125025799</v>
      </c>
      <c r="S20" s="82">
        <f>P20/'סכום נכסי הקרן'!$C$42</f>
        <v>3.6978448432595304E-3</v>
      </c>
    </row>
    <row r="21" spans="2:19">
      <c r="B21" s="98" t="s">
        <v>1060</v>
      </c>
      <c r="C21" s="74" t="s">
        <v>1061</v>
      </c>
      <c r="D21" s="87" t="s">
        <v>1049</v>
      </c>
      <c r="E21" s="74" t="s">
        <v>1054</v>
      </c>
      <c r="F21" s="87" t="s">
        <v>1055</v>
      </c>
      <c r="G21" s="74" t="s">
        <v>341</v>
      </c>
      <c r="H21" s="74" t="s">
        <v>151</v>
      </c>
      <c r="I21" s="96">
        <v>42796</v>
      </c>
      <c r="J21" s="86">
        <v>6.5</v>
      </c>
      <c r="K21" s="87" t="s">
        <v>155</v>
      </c>
      <c r="L21" s="88">
        <v>3.7400000000000003E-2</v>
      </c>
      <c r="M21" s="85">
        <v>2.6800000000000001E-2</v>
      </c>
      <c r="N21" s="84">
        <v>215743</v>
      </c>
      <c r="O21" s="86">
        <v>107.2</v>
      </c>
      <c r="P21" s="84">
        <v>231.2765</v>
      </c>
      <c r="Q21" s="85">
        <v>4.1887127274986509E-4</v>
      </c>
      <c r="R21" s="85">
        <v>8.5321794146007768E-2</v>
      </c>
      <c r="S21" s="85">
        <f>P21/'סכום נכסי הקרן'!$C$42</f>
        <v>7.9487797021753884E-4</v>
      </c>
    </row>
    <row r="22" spans="2:19">
      <c r="B22" s="98" t="s">
        <v>1062</v>
      </c>
      <c r="C22" s="74" t="s">
        <v>1063</v>
      </c>
      <c r="D22" s="87" t="s">
        <v>1049</v>
      </c>
      <c r="E22" s="74" t="s">
        <v>1054</v>
      </c>
      <c r="F22" s="87" t="s">
        <v>1055</v>
      </c>
      <c r="G22" s="74" t="s">
        <v>341</v>
      </c>
      <c r="H22" s="74" t="s">
        <v>151</v>
      </c>
      <c r="I22" s="96">
        <v>42796</v>
      </c>
      <c r="J22" s="86">
        <v>3.3200000000000007</v>
      </c>
      <c r="K22" s="87" t="s">
        <v>155</v>
      </c>
      <c r="L22" s="88">
        <v>2.5000000000000001E-2</v>
      </c>
      <c r="M22" s="85">
        <v>1.7000000000000001E-2</v>
      </c>
      <c r="N22" s="84">
        <v>246093.98</v>
      </c>
      <c r="O22" s="86">
        <v>102.78</v>
      </c>
      <c r="P22" s="84">
        <v>252.93539999999999</v>
      </c>
      <c r="Q22" s="85">
        <v>3.958714784176859E-4</v>
      </c>
      <c r="R22" s="85">
        <v>9.3312126960751016E-2</v>
      </c>
      <c r="S22" s="85">
        <f>P22/'סכום נכסי הקרן'!$C$42</f>
        <v>8.6931779643915951E-4</v>
      </c>
    </row>
    <row r="23" spans="2:19">
      <c r="B23" s="98" t="s">
        <v>1064</v>
      </c>
      <c r="C23" s="74" t="s">
        <v>1065</v>
      </c>
      <c r="D23" s="87" t="s">
        <v>1049</v>
      </c>
      <c r="E23" s="74" t="s">
        <v>1066</v>
      </c>
      <c r="F23" s="87" t="s">
        <v>1274</v>
      </c>
      <c r="G23" s="74" t="s">
        <v>396</v>
      </c>
      <c r="H23" s="74" t="s">
        <v>151</v>
      </c>
      <c r="I23" s="96">
        <v>42598</v>
      </c>
      <c r="J23" s="86">
        <v>4.67</v>
      </c>
      <c r="K23" s="87" t="s">
        <v>155</v>
      </c>
      <c r="L23" s="88">
        <v>3.1E-2</v>
      </c>
      <c r="M23" s="85">
        <v>2.8500000000000001E-2</v>
      </c>
      <c r="N23" s="84">
        <v>329798.21000000002</v>
      </c>
      <c r="O23" s="86">
        <v>101.29</v>
      </c>
      <c r="P23" s="84">
        <v>334.05260999999996</v>
      </c>
      <c r="Q23" s="85">
        <v>4.9182831689463828E-4</v>
      </c>
      <c r="R23" s="85">
        <v>0.12323763125244723</v>
      </c>
      <c r="S23" s="85">
        <f>P23/'סכום נכסי הקרן'!$C$42</f>
        <v>1.1481108568430908E-3</v>
      </c>
    </row>
    <row r="24" spans="2:19">
      <c r="B24" s="98" t="s">
        <v>1067</v>
      </c>
      <c r="C24" s="74" t="s">
        <v>1068</v>
      </c>
      <c r="D24" s="87" t="s">
        <v>1049</v>
      </c>
      <c r="E24" s="74" t="s">
        <v>1069</v>
      </c>
      <c r="F24" s="87" t="s">
        <v>148</v>
      </c>
      <c r="G24" s="74" t="s">
        <v>451</v>
      </c>
      <c r="H24" s="74" t="s">
        <v>151</v>
      </c>
      <c r="I24" s="96">
        <v>43741</v>
      </c>
      <c r="J24" s="86">
        <v>1.48</v>
      </c>
      <c r="K24" s="87" t="s">
        <v>155</v>
      </c>
      <c r="L24" s="88">
        <v>1.34E-2</v>
      </c>
      <c r="M24" s="85">
        <v>2.5300000000000003E-2</v>
      </c>
      <c r="N24" s="84">
        <v>147000</v>
      </c>
      <c r="O24" s="86">
        <v>98.29</v>
      </c>
      <c r="P24" s="84">
        <v>144.4863</v>
      </c>
      <c r="Q24" s="85">
        <v>2.9399999999999999E-4</v>
      </c>
      <c r="R24" s="85">
        <v>5.3303428344506777E-2</v>
      </c>
      <c r="S24" s="85">
        <f>P24/'סכום נכסי הקרן'!$C$42</f>
        <v>4.9658731807270689E-4</v>
      </c>
    </row>
    <row r="25" spans="2:19">
      <c r="B25" s="98" t="s">
        <v>1070</v>
      </c>
      <c r="C25" s="74" t="s">
        <v>1071</v>
      </c>
      <c r="D25" s="87" t="s">
        <v>1049</v>
      </c>
      <c r="E25" s="74" t="s">
        <v>1072</v>
      </c>
      <c r="F25" s="87" t="s">
        <v>1274</v>
      </c>
      <c r="G25" s="74" t="s">
        <v>509</v>
      </c>
      <c r="H25" s="74" t="s">
        <v>332</v>
      </c>
      <c r="I25" s="96">
        <v>43312</v>
      </c>
      <c r="J25" s="86">
        <v>4</v>
      </c>
      <c r="K25" s="87" t="s">
        <v>155</v>
      </c>
      <c r="L25" s="88">
        <v>3.5499999999999997E-2</v>
      </c>
      <c r="M25" s="85">
        <v>3.8399999999999997E-2</v>
      </c>
      <c r="N25" s="84">
        <v>108480</v>
      </c>
      <c r="O25" s="86">
        <v>99.85</v>
      </c>
      <c r="P25" s="84">
        <v>108.31728</v>
      </c>
      <c r="Q25" s="85">
        <v>3.5312499999999998E-4</v>
      </c>
      <c r="R25" s="85">
        <v>3.9960067999193535E-2</v>
      </c>
      <c r="S25" s="85">
        <f>P25/'סכום נכסי הקרן'!$C$42</f>
        <v>3.7227742406117708E-4</v>
      </c>
    </row>
    <row r="26" spans="2:19">
      <c r="B26" s="98" t="s">
        <v>1073</v>
      </c>
      <c r="C26" s="74" t="s">
        <v>1074</v>
      </c>
      <c r="D26" s="87" t="s">
        <v>1049</v>
      </c>
      <c r="E26" s="74" t="s">
        <v>1075</v>
      </c>
      <c r="F26" s="87" t="s">
        <v>1274</v>
      </c>
      <c r="G26" s="74" t="s">
        <v>536</v>
      </c>
      <c r="H26" s="74" t="s">
        <v>151</v>
      </c>
      <c r="I26" s="96">
        <v>41903</v>
      </c>
      <c r="J26" s="86">
        <v>1.06</v>
      </c>
      <c r="K26" s="87" t="s">
        <v>155</v>
      </c>
      <c r="L26" s="88">
        <v>5.1500000000000004E-2</v>
      </c>
      <c r="M26" s="85">
        <v>3.0300000000000004E-2</v>
      </c>
      <c r="N26" s="84">
        <v>4705.88</v>
      </c>
      <c r="O26" s="86">
        <v>103.09</v>
      </c>
      <c r="P26" s="84">
        <v>4.8512899999999997</v>
      </c>
      <c r="Q26" s="85">
        <v>2.3529351764828882E-4</v>
      </c>
      <c r="R26" s="85">
        <v>1.7897225473517025E-3</v>
      </c>
      <c r="S26" s="85">
        <f>P26/'סכום נכסי הקרן'!$C$42</f>
        <v>1.667347762585755E-5</v>
      </c>
    </row>
    <row r="27" spans="2:19">
      <c r="B27" s="99"/>
      <c r="C27" s="74"/>
      <c r="D27" s="74"/>
      <c r="E27" s="74"/>
      <c r="F27" s="74"/>
      <c r="G27" s="74"/>
      <c r="H27" s="74"/>
      <c r="I27" s="74"/>
      <c r="J27" s="86"/>
      <c r="K27" s="74"/>
      <c r="L27" s="74"/>
      <c r="M27" s="85"/>
      <c r="N27" s="84"/>
      <c r="O27" s="86"/>
      <c r="P27" s="74"/>
      <c r="Q27" s="74"/>
      <c r="R27" s="85"/>
      <c r="S27" s="74"/>
    </row>
    <row r="28" spans="2:19">
      <c r="B28" s="97" t="s">
        <v>43</v>
      </c>
      <c r="C28" s="72"/>
      <c r="D28" s="72"/>
      <c r="E28" s="72"/>
      <c r="F28" s="72"/>
      <c r="G28" s="72"/>
      <c r="H28" s="72"/>
      <c r="I28" s="72"/>
      <c r="J28" s="83">
        <v>2.0550212376324115</v>
      </c>
      <c r="K28" s="72"/>
      <c r="L28" s="72"/>
      <c r="M28" s="82">
        <v>4.2655438207928359E-2</v>
      </c>
      <c r="N28" s="81"/>
      <c r="O28" s="83"/>
      <c r="P28" s="81">
        <v>200.50493</v>
      </c>
      <c r="Q28" s="72"/>
      <c r="R28" s="82">
        <v>7.3969643966073931E-2</v>
      </c>
      <c r="S28" s="82">
        <f>P28/'סכום נכסי הקרן'!$C$42</f>
        <v>6.8911866003251395E-4</v>
      </c>
    </row>
    <row r="29" spans="2:19">
      <c r="B29" s="98" t="s">
        <v>1076</v>
      </c>
      <c r="C29" s="74" t="s">
        <v>1077</v>
      </c>
      <c r="D29" s="87" t="s">
        <v>1049</v>
      </c>
      <c r="E29" s="74" t="s">
        <v>1078</v>
      </c>
      <c r="F29" s="87" t="s">
        <v>181</v>
      </c>
      <c r="G29" s="74" t="s">
        <v>446</v>
      </c>
      <c r="H29" s="74" t="s">
        <v>332</v>
      </c>
      <c r="I29" s="96">
        <v>42954</v>
      </c>
      <c r="J29" s="86">
        <v>0.45999999999999996</v>
      </c>
      <c r="K29" s="87" t="s">
        <v>154</v>
      </c>
      <c r="L29" s="88">
        <v>3.7000000000000005E-2</v>
      </c>
      <c r="M29" s="85">
        <v>3.1600000000000003E-2</v>
      </c>
      <c r="N29" s="84">
        <v>8743</v>
      </c>
      <c r="O29" s="86">
        <v>100.4</v>
      </c>
      <c r="P29" s="84">
        <v>31.293490000000002</v>
      </c>
      <c r="Q29" s="85">
        <v>1.3009642283197428E-4</v>
      </c>
      <c r="R29" s="85">
        <v>1.15446952539067E-2</v>
      </c>
      <c r="S29" s="85">
        <f>P29/'סכום נכסי הקרן'!$C$42</f>
        <v>1.0755310553481592E-4</v>
      </c>
    </row>
    <row r="30" spans="2:19">
      <c r="B30" s="98" t="s">
        <v>1079</v>
      </c>
      <c r="C30" s="74" t="s">
        <v>1080</v>
      </c>
      <c r="D30" s="87" t="s">
        <v>1049</v>
      </c>
      <c r="E30" s="74" t="s">
        <v>1078</v>
      </c>
      <c r="F30" s="87" t="s">
        <v>181</v>
      </c>
      <c r="G30" s="74" t="s">
        <v>446</v>
      </c>
      <c r="H30" s="74" t="s">
        <v>332</v>
      </c>
      <c r="I30" s="96">
        <v>42625</v>
      </c>
      <c r="J30" s="86">
        <v>2.3499999999999996</v>
      </c>
      <c r="K30" s="87" t="s">
        <v>154</v>
      </c>
      <c r="L30" s="88">
        <v>4.4500000000000005E-2</v>
      </c>
      <c r="M30" s="85">
        <v>4.4699999999999997E-2</v>
      </c>
      <c r="N30" s="84">
        <v>47351</v>
      </c>
      <c r="O30" s="86">
        <v>100.24</v>
      </c>
      <c r="P30" s="84">
        <v>169.21144000000001</v>
      </c>
      <c r="Q30" s="85">
        <v>3.453046354268613E-4</v>
      </c>
      <c r="R30" s="85">
        <v>6.2424948712167236E-2</v>
      </c>
      <c r="S30" s="85">
        <f>P30/'סכום נכסי הקרן'!$C$42</f>
        <v>5.8156555449769812E-4</v>
      </c>
    </row>
    <row r="31" spans="2:19">
      <c r="B31" s="100"/>
      <c r="C31" s="101"/>
      <c r="D31" s="101"/>
      <c r="E31" s="101"/>
      <c r="F31" s="101"/>
      <c r="G31" s="101"/>
      <c r="H31" s="101"/>
      <c r="I31" s="101"/>
      <c r="J31" s="102"/>
      <c r="K31" s="101"/>
      <c r="L31" s="101"/>
      <c r="M31" s="103"/>
      <c r="N31" s="104"/>
      <c r="O31" s="102"/>
      <c r="P31" s="101"/>
      <c r="Q31" s="101"/>
      <c r="R31" s="103"/>
      <c r="S31" s="101"/>
    </row>
    <row r="32" spans="2:19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</row>
    <row r="33" spans="2:19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</row>
    <row r="34" spans="2:19">
      <c r="B34" s="89" t="s">
        <v>240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</row>
    <row r="35" spans="2:19">
      <c r="B35" s="89" t="s">
        <v>103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</row>
    <row r="36" spans="2:19">
      <c r="B36" s="89" t="s">
        <v>222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</row>
    <row r="37" spans="2:19">
      <c r="B37" s="89" t="s">
        <v>230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</row>
    <row r="38" spans="2:19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</row>
    <row r="39" spans="2:19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</row>
    <row r="40" spans="2:1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</row>
    <row r="41" spans="2:1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</row>
    <row r="42" spans="2:1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</row>
    <row r="43" spans="2:1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</row>
    <row r="44" spans="2:1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</row>
    <row r="45" spans="2:1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</row>
    <row r="46" spans="2:1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</row>
    <row r="47" spans="2:1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</row>
    <row r="48" spans="2:1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</row>
    <row r="49" spans="2:19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</row>
    <row r="50" spans="2:19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</row>
    <row r="51" spans="2:19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</row>
    <row r="52" spans="2:19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</row>
    <row r="53" spans="2:19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</row>
    <row r="54" spans="2:19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</row>
    <row r="55" spans="2:19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</row>
    <row r="56" spans="2:19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</row>
    <row r="57" spans="2:19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</row>
    <row r="58" spans="2:19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</row>
    <row r="59" spans="2:19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</row>
    <row r="60" spans="2:19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</row>
    <row r="61" spans="2:19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2:19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</row>
    <row r="63" spans="2:19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</row>
    <row r="64" spans="2:19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</row>
    <row r="65" spans="2:19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</row>
    <row r="66" spans="2:19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</row>
    <row r="67" spans="2:19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</row>
    <row r="68" spans="2:19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</row>
    <row r="69" spans="2:19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</row>
    <row r="70" spans="2:19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</row>
    <row r="71" spans="2:19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</row>
    <row r="72" spans="2:19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</row>
    <row r="73" spans="2:19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</row>
    <row r="74" spans="2:19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</row>
    <row r="75" spans="2:19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</row>
    <row r="76" spans="2:19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</row>
    <row r="77" spans="2:19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</row>
    <row r="78" spans="2:19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</row>
    <row r="79" spans="2:19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</row>
    <row r="80" spans="2:19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</row>
    <row r="81" spans="2:19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</row>
    <row r="82" spans="2:19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</row>
    <row r="83" spans="2:19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</row>
    <row r="84" spans="2:19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</row>
    <row r="85" spans="2:19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</row>
    <row r="86" spans="2:19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</row>
    <row r="87" spans="2:19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</row>
    <row r="88" spans="2:19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</row>
    <row r="89" spans="2:19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</row>
    <row r="90" spans="2:19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</row>
    <row r="91" spans="2:19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</row>
    <row r="92" spans="2:19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</row>
    <row r="93" spans="2:19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</row>
    <row r="94" spans="2:19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</row>
    <row r="95" spans="2:19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</row>
    <row r="96" spans="2:19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2:19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</row>
    <row r="98" spans="2:19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</row>
    <row r="99" spans="2:19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</row>
    <row r="100" spans="2:19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</row>
    <row r="101" spans="2:19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</row>
    <row r="102" spans="2:19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</row>
    <row r="103" spans="2:19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</row>
    <row r="104" spans="2:19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</row>
    <row r="105" spans="2:19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</row>
    <row r="106" spans="2:19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</row>
    <row r="107" spans="2:19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</row>
    <row r="108" spans="2:19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</row>
    <row r="109" spans="2:19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</row>
    <row r="110" spans="2:19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</row>
    <row r="111" spans="2:19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  <c r="P111" s="91"/>
      <c r="Q111" s="91"/>
      <c r="R111" s="91"/>
      <c r="S111" s="91"/>
    </row>
    <row r="112" spans="2:19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  <c r="P112" s="91"/>
      <c r="Q112" s="91"/>
      <c r="R112" s="91"/>
      <c r="S112" s="91"/>
    </row>
    <row r="113" spans="2:19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</row>
    <row r="114" spans="2:19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</row>
    <row r="115" spans="2:19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</row>
    <row r="116" spans="2:19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  <c r="P116" s="91"/>
      <c r="Q116" s="91"/>
      <c r="R116" s="91"/>
      <c r="S116" s="91"/>
    </row>
    <row r="117" spans="2:19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  <c r="P117" s="91"/>
      <c r="Q117" s="91"/>
      <c r="R117" s="91"/>
      <c r="S117" s="91"/>
    </row>
    <row r="118" spans="2:19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</row>
    <row r="119" spans="2:19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</row>
    <row r="120" spans="2:19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  <c r="P120" s="91"/>
      <c r="Q120" s="91"/>
      <c r="R120" s="91"/>
      <c r="S120" s="91"/>
    </row>
    <row r="121" spans="2:19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</row>
    <row r="122" spans="2:19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</row>
    <row r="123" spans="2:19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  <c r="P123" s="91"/>
      <c r="Q123" s="91"/>
      <c r="R123" s="91"/>
      <c r="S123" s="91"/>
    </row>
    <row r="124" spans="2:19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91"/>
      <c r="Q124" s="91"/>
      <c r="R124" s="91"/>
      <c r="S124" s="91"/>
    </row>
    <row r="125" spans="2:19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  <c r="P125" s="91"/>
      <c r="Q125" s="91"/>
      <c r="R125" s="91"/>
      <c r="S125" s="91"/>
    </row>
    <row r="126" spans="2:19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</row>
    <row r="127" spans="2:19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  <c r="Q127" s="91"/>
      <c r="R127" s="91"/>
      <c r="S127" s="91"/>
    </row>
    <row r="128" spans="2:19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</row>
    <row r="129" spans="2:19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1"/>
      <c r="R129" s="91"/>
      <c r="S129" s="91"/>
    </row>
    <row r="130" spans="2:19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1"/>
      <c r="R130" s="91"/>
      <c r="S130" s="91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2:B33 B38:B13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>
      <selection activeCell="A11" sqref="A11:XFD15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9.28515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9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855468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170</v>
      </c>
      <c r="C1" s="68" t="s" vm="1">
        <v>247</v>
      </c>
    </row>
    <row r="2" spans="2:98">
      <c r="B2" s="47" t="s">
        <v>169</v>
      </c>
      <c r="C2" s="68" t="s">
        <v>248</v>
      </c>
    </row>
    <row r="3" spans="2:98">
      <c r="B3" s="47" t="s">
        <v>171</v>
      </c>
      <c r="C3" s="68" t="s">
        <v>249</v>
      </c>
    </row>
    <row r="4" spans="2:98">
      <c r="B4" s="47" t="s">
        <v>172</v>
      </c>
      <c r="C4" s="68">
        <v>2144</v>
      </c>
    </row>
    <row r="6" spans="2:98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</row>
    <row r="7" spans="2:98" ht="26.25" customHeight="1">
      <c r="B7" s="134" t="s">
        <v>83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6"/>
    </row>
    <row r="8" spans="2:98" s="3" customFormat="1" ht="78.75">
      <c r="B8" s="22" t="s">
        <v>107</v>
      </c>
      <c r="C8" s="30" t="s">
        <v>41</v>
      </c>
      <c r="D8" s="30" t="s">
        <v>109</v>
      </c>
      <c r="E8" s="30" t="s">
        <v>108</v>
      </c>
      <c r="F8" s="30" t="s">
        <v>60</v>
      </c>
      <c r="G8" s="30" t="s">
        <v>94</v>
      </c>
      <c r="H8" s="30" t="s">
        <v>224</v>
      </c>
      <c r="I8" s="30" t="s">
        <v>223</v>
      </c>
      <c r="J8" s="30" t="s">
        <v>102</v>
      </c>
      <c r="K8" s="30" t="s">
        <v>53</v>
      </c>
      <c r="L8" s="30" t="s">
        <v>173</v>
      </c>
      <c r="M8" s="31" t="s">
        <v>175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231</v>
      </c>
      <c r="I9" s="32"/>
      <c r="J9" s="32" t="s">
        <v>227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91"/>
      <c r="C11" s="74"/>
      <c r="D11" s="74"/>
      <c r="E11" s="74"/>
      <c r="F11" s="74"/>
      <c r="G11" s="74"/>
      <c r="H11" s="84"/>
      <c r="I11" s="84"/>
      <c r="J11" s="74"/>
      <c r="K11" s="74"/>
      <c r="L11" s="85"/>
      <c r="M11" s="7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5"/>
      <c r="C12" s="74"/>
      <c r="D12" s="74"/>
      <c r="E12" s="74"/>
      <c r="F12" s="74"/>
      <c r="G12" s="74"/>
      <c r="H12" s="84"/>
      <c r="I12" s="84"/>
      <c r="J12" s="74"/>
      <c r="K12" s="74"/>
      <c r="L12" s="85"/>
      <c r="M12" s="74"/>
    </row>
    <row r="13" spans="2:98">
      <c r="B13" s="92"/>
      <c r="C13" s="72"/>
      <c r="D13" s="72"/>
      <c r="E13" s="72"/>
      <c r="F13" s="72"/>
      <c r="G13" s="72"/>
      <c r="H13" s="81"/>
      <c r="I13" s="81"/>
      <c r="J13" s="72"/>
      <c r="K13" s="72"/>
      <c r="L13" s="82"/>
      <c r="M13" s="72"/>
    </row>
    <row r="14" spans="2:98">
      <c r="B14" s="77"/>
      <c r="C14" s="74"/>
      <c r="D14" s="87"/>
      <c r="E14" s="74"/>
      <c r="F14" s="87"/>
      <c r="G14" s="87"/>
      <c r="H14" s="84"/>
      <c r="I14" s="84"/>
      <c r="J14" s="74"/>
      <c r="K14" s="74"/>
      <c r="L14" s="85"/>
      <c r="M14" s="74"/>
    </row>
    <row r="15" spans="2:9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</row>
    <row r="16" spans="2:9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</row>
    <row r="17" spans="2:1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</row>
    <row r="18" spans="2:13">
      <c r="B18" s="89" t="s">
        <v>240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2:13">
      <c r="B19" s="89" t="s">
        <v>103</v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</row>
    <row r="20" spans="2:13">
      <c r="B20" s="89" t="s">
        <v>222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</row>
    <row r="21" spans="2:13">
      <c r="B21" s="89" t="s">
        <v>230</v>
      </c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2:1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2:1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2:1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</row>
    <row r="25" spans="2:1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</row>
    <row r="26" spans="2:1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</row>
    <row r="27" spans="2:1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</row>
    <row r="28" spans="2:1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</row>
    <row r="29" spans="2:1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</row>
    <row r="30" spans="2:1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</row>
    <row r="32" spans="2:1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</row>
    <row r="33" spans="2:1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</row>
    <row r="34" spans="2:1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</row>
    <row r="35" spans="2:1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</row>
    <row r="36" spans="2:1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</row>
    <row r="37" spans="2:1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</row>
    <row r="38" spans="2:1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</row>
    <row r="39" spans="2:1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</row>
    <row r="40" spans="2:1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</row>
    <row r="41" spans="2:1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</row>
    <row r="42" spans="2:1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</row>
    <row r="43" spans="2:1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2:1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</row>
    <row r="45" spans="2:1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2:1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</row>
    <row r="47" spans="2:1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</row>
    <row r="48" spans="2:1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2:13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</row>
    <row r="50" spans="2:13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2:13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</row>
    <row r="52" spans="2:13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2:13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</row>
    <row r="54" spans="2:13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2:13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</row>
    <row r="56" spans="2:13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2:1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</row>
    <row r="58" spans="2:13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2:13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</row>
    <row r="60" spans="2:13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2:13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</row>
    <row r="62" spans="2:13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</row>
    <row r="63" spans="2:13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2:13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</row>
    <row r="65" spans="2:13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2:13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</row>
    <row r="67" spans="2:13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2:13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</row>
    <row r="69" spans="2:13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2:13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</row>
    <row r="71" spans="2:13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2:13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</row>
    <row r="73" spans="2:13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2:13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</row>
    <row r="75" spans="2:13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2:13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</row>
    <row r="77" spans="2:13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</row>
    <row r="78" spans="2:13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2:13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</row>
    <row r="80" spans="2:13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</row>
    <row r="81" spans="2:13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</row>
    <row r="82" spans="2:13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</row>
    <row r="83" spans="2:13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</row>
    <row r="84" spans="2:13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2:13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</row>
    <row r="86" spans="2:13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2:13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</row>
    <row r="88" spans="2:13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2:13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</row>
    <row r="90" spans="2:13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2:13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</row>
    <row r="92" spans="2:13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2:13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</row>
    <row r="94" spans="2:13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</row>
    <row r="95" spans="2:13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</row>
    <row r="96" spans="2:13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</row>
    <row r="97" spans="2:13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</row>
    <row r="98" spans="2:13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</row>
    <row r="99" spans="2:13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</row>
    <row r="100" spans="2:13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</row>
    <row r="101" spans="2:13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</row>
    <row r="102" spans="2:13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</row>
    <row r="103" spans="2:13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</row>
    <row r="104" spans="2:13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</row>
    <row r="105" spans="2:13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</row>
    <row r="106" spans="2:13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</row>
    <row r="107" spans="2:13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</row>
    <row r="108" spans="2:13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</row>
    <row r="109" spans="2:13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</row>
    <row r="110" spans="2:13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</row>
    <row r="111" spans="2:13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</row>
    <row r="112" spans="2:13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</row>
    <row r="113" spans="2:13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</row>
    <row r="114" spans="2:13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2:13">
      <c r="C115" s="1"/>
      <c r="D115" s="1"/>
      <c r="E115" s="1"/>
    </row>
    <row r="116" spans="2:13">
      <c r="C116" s="1"/>
      <c r="D116" s="1"/>
      <c r="E116" s="1"/>
    </row>
    <row r="117" spans="2:13">
      <c r="C117" s="1"/>
      <c r="D117" s="1"/>
      <c r="E117" s="1"/>
    </row>
    <row r="118" spans="2:13">
      <c r="C118" s="1"/>
      <c r="D118" s="1"/>
      <c r="E118" s="1"/>
    </row>
    <row r="119" spans="2:13">
      <c r="C119" s="1"/>
      <c r="D119" s="1"/>
      <c r="E119" s="1"/>
    </row>
    <row r="120" spans="2:13">
      <c r="C120" s="1"/>
      <c r="D120" s="1"/>
      <c r="E120" s="1"/>
    </row>
    <row r="121" spans="2:13">
      <c r="C121" s="1"/>
      <c r="D121" s="1"/>
      <c r="E121" s="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2"/>
      <c r="C404" s="1"/>
      <c r="D404" s="1"/>
      <c r="E404" s="1"/>
    </row>
    <row r="405" spans="2:5">
      <c r="B405" s="42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7" t="s">
        <v>170</v>
      </c>
      <c r="C1" s="68" t="s" vm="1">
        <v>247</v>
      </c>
    </row>
    <row r="2" spans="2:55">
      <c r="B2" s="47" t="s">
        <v>169</v>
      </c>
      <c r="C2" s="68" t="s">
        <v>248</v>
      </c>
    </row>
    <row r="3" spans="2:55">
      <c r="B3" s="47" t="s">
        <v>171</v>
      </c>
      <c r="C3" s="68" t="s">
        <v>249</v>
      </c>
    </row>
    <row r="4" spans="2:55">
      <c r="B4" s="47" t="s">
        <v>172</v>
      </c>
      <c r="C4" s="68">
        <v>2144</v>
      </c>
    </row>
    <row r="6" spans="2:55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55" ht="26.25" customHeight="1">
      <c r="B7" s="134" t="s">
        <v>89</v>
      </c>
      <c r="C7" s="135"/>
      <c r="D7" s="135"/>
      <c r="E7" s="135"/>
      <c r="F7" s="135"/>
      <c r="G7" s="135"/>
      <c r="H7" s="135"/>
      <c r="I7" s="135"/>
      <c r="J7" s="135"/>
      <c r="K7" s="136"/>
    </row>
    <row r="8" spans="2:55" s="3" customFormat="1" ht="78.75">
      <c r="B8" s="22" t="s">
        <v>107</v>
      </c>
      <c r="C8" s="30" t="s">
        <v>41</v>
      </c>
      <c r="D8" s="30" t="s">
        <v>94</v>
      </c>
      <c r="E8" s="30" t="s">
        <v>95</v>
      </c>
      <c r="F8" s="30" t="s">
        <v>224</v>
      </c>
      <c r="G8" s="30" t="s">
        <v>223</v>
      </c>
      <c r="H8" s="30" t="s">
        <v>102</v>
      </c>
      <c r="I8" s="30" t="s">
        <v>53</v>
      </c>
      <c r="J8" s="30" t="s">
        <v>173</v>
      </c>
      <c r="K8" s="31" t="s">
        <v>175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231</v>
      </c>
      <c r="G9" s="32"/>
      <c r="H9" s="32" t="s">
        <v>227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9" t="s">
        <v>103</v>
      </c>
      <c r="C12" s="91"/>
      <c r="D12" s="91"/>
      <c r="E12" s="91"/>
      <c r="F12" s="91"/>
      <c r="G12" s="91"/>
      <c r="H12" s="91"/>
      <c r="I12" s="91"/>
      <c r="J12" s="91"/>
      <c r="K12" s="91"/>
      <c r="V12" s="1"/>
    </row>
    <row r="13" spans="2:55">
      <c r="B13" s="89" t="s">
        <v>222</v>
      </c>
      <c r="C13" s="91"/>
      <c r="D13" s="91"/>
      <c r="E13" s="91"/>
      <c r="F13" s="91"/>
      <c r="G13" s="91"/>
      <c r="H13" s="91"/>
      <c r="I13" s="91"/>
      <c r="J13" s="91"/>
      <c r="K13" s="91"/>
      <c r="V13" s="1"/>
    </row>
    <row r="14" spans="2:55">
      <c r="B14" s="89" t="s">
        <v>230</v>
      </c>
      <c r="C14" s="91"/>
      <c r="D14" s="91"/>
      <c r="E14" s="91"/>
      <c r="F14" s="91"/>
      <c r="G14" s="91"/>
      <c r="H14" s="91"/>
      <c r="I14" s="91"/>
      <c r="J14" s="91"/>
      <c r="K14" s="91"/>
      <c r="V14" s="1"/>
    </row>
    <row r="15" spans="2:55">
      <c r="B15" s="91"/>
      <c r="C15" s="91"/>
      <c r="D15" s="91"/>
      <c r="E15" s="91"/>
      <c r="F15" s="91"/>
      <c r="G15" s="91"/>
      <c r="H15" s="91"/>
      <c r="I15" s="91"/>
      <c r="J15" s="91"/>
      <c r="K15" s="91"/>
      <c r="V15" s="1"/>
    </row>
    <row r="16" spans="2:55">
      <c r="B16" s="91"/>
      <c r="C16" s="91"/>
      <c r="D16" s="91"/>
      <c r="E16" s="91"/>
      <c r="F16" s="91"/>
      <c r="G16" s="91"/>
      <c r="H16" s="91"/>
      <c r="I16" s="91"/>
      <c r="J16" s="91"/>
      <c r="K16" s="91"/>
      <c r="V16" s="1"/>
    </row>
    <row r="17" spans="2:22">
      <c r="B17" s="91"/>
      <c r="C17" s="91"/>
      <c r="D17" s="91"/>
      <c r="E17" s="91"/>
      <c r="F17" s="91"/>
      <c r="G17" s="91"/>
      <c r="H17" s="91"/>
      <c r="I17" s="91"/>
      <c r="J17" s="91"/>
      <c r="K17" s="91"/>
      <c r="V17" s="1"/>
    </row>
    <row r="18" spans="2:22">
      <c r="B18" s="91"/>
      <c r="C18" s="91"/>
      <c r="D18" s="91"/>
      <c r="E18" s="91"/>
      <c r="F18" s="91"/>
      <c r="G18" s="91"/>
      <c r="H18" s="91"/>
      <c r="I18" s="91"/>
      <c r="J18" s="91"/>
      <c r="K18" s="91"/>
      <c r="V18" s="1"/>
    </row>
    <row r="19" spans="2:22">
      <c r="B19" s="91"/>
      <c r="C19" s="91"/>
      <c r="D19" s="91"/>
      <c r="E19" s="91"/>
      <c r="F19" s="91"/>
      <c r="G19" s="91"/>
      <c r="H19" s="91"/>
      <c r="I19" s="91"/>
      <c r="J19" s="91"/>
      <c r="K19" s="91"/>
      <c r="V19" s="1"/>
    </row>
    <row r="20" spans="2:22">
      <c r="B20" s="91"/>
      <c r="C20" s="91"/>
      <c r="D20" s="91"/>
      <c r="E20" s="91"/>
      <c r="F20" s="91"/>
      <c r="G20" s="91"/>
      <c r="H20" s="91"/>
      <c r="I20" s="91"/>
      <c r="J20" s="91"/>
      <c r="K20" s="91"/>
      <c r="V20" s="1"/>
    </row>
    <row r="21" spans="2:22">
      <c r="B21" s="91"/>
      <c r="C21" s="91"/>
      <c r="D21" s="91"/>
      <c r="E21" s="91"/>
      <c r="F21" s="91"/>
      <c r="G21" s="91"/>
      <c r="H21" s="91"/>
      <c r="I21" s="91"/>
      <c r="J21" s="91"/>
      <c r="K21" s="91"/>
      <c r="V21" s="1"/>
    </row>
    <row r="22" spans="2:22" ht="16.5" customHeight="1">
      <c r="B22" s="91"/>
      <c r="C22" s="91"/>
      <c r="D22" s="91"/>
      <c r="E22" s="91"/>
      <c r="F22" s="91"/>
      <c r="G22" s="91"/>
      <c r="H22" s="91"/>
      <c r="I22" s="91"/>
      <c r="J22" s="91"/>
      <c r="K22" s="91"/>
      <c r="V22" s="1"/>
    </row>
    <row r="23" spans="2:22" ht="16.5" customHeight="1">
      <c r="B23" s="91"/>
      <c r="C23" s="91"/>
      <c r="D23" s="91"/>
      <c r="E23" s="91"/>
      <c r="F23" s="91"/>
      <c r="G23" s="91"/>
      <c r="H23" s="91"/>
      <c r="I23" s="91"/>
      <c r="J23" s="91"/>
      <c r="K23" s="91"/>
      <c r="V23" s="1"/>
    </row>
    <row r="24" spans="2:22" ht="16.5" customHeight="1">
      <c r="B24" s="91"/>
      <c r="C24" s="91"/>
      <c r="D24" s="91"/>
      <c r="E24" s="91"/>
      <c r="F24" s="91"/>
      <c r="G24" s="91"/>
      <c r="H24" s="91"/>
      <c r="I24" s="91"/>
      <c r="J24" s="91"/>
      <c r="K24" s="91"/>
      <c r="V24" s="1"/>
    </row>
    <row r="25" spans="2:22">
      <c r="B25" s="91"/>
      <c r="C25" s="91"/>
      <c r="D25" s="91"/>
      <c r="E25" s="91"/>
      <c r="F25" s="91"/>
      <c r="G25" s="91"/>
      <c r="H25" s="91"/>
      <c r="I25" s="91"/>
      <c r="J25" s="91"/>
      <c r="K25" s="91"/>
      <c r="V25" s="1"/>
    </row>
    <row r="26" spans="2:22">
      <c r="B26" s="91"/>
      <c r="C26" s="91"/>
      <c r="D26" s="91"/>
      <c r="E26" s="91"/>
      <c r="F26" s="91"/>
      <c r="G26" s="91"/>
      <c r="H26" s="91"/>
      <c r="I26" s="91"/>
      <c r="J26" s="91"/>
      <c r="K26" s="91"/>
      <c r="V26" s="1"/>
    </row>
    <row r="27" spans="2:22">
      <c r="B27" s="91"/>
      <c r="C27" s="91"/>
      <c r="D27" s="91"/>
      <c r="E27" s="91"/>
      <c r="F27" s="91"/>
      <c r="G27" s="91"/>
      <c r="H27" s="91"/>
      <c r="I27" s="91"/>
      <c r="J27" s="91"/>
      <c r="K27" s="91"/>
      <c r="V27" s="1"/>
    </row>
    <row r="28" spans="2:22">
      <c r="B28" s="91"/>
      <c r="C28" s="91"/>
      <c r="D28" s="91"/>
      <c r="E28" s="91"/>
      <c r="F28" s="91"/>
      <c r="G28" s="91"/>
      <c r="H28" s="91"/>
      <c r="I28" s="91"/>
      <c r="J28" s="91"/>
      <c r="K28" s="91"/>
      <c r="V28" s="1"/>
    </row>
    <row r="29" spans="2:22">
      <c r="B29" s="91"/>
      <c r="C29" s="91"/>
      <c r="D29" s="91"/>
      <c r="E29" s="91"/>
      <c r="F29" s="91"/>
      <c r="G29" s="91"/>
      <c r="H29" s="91"/>
      <c r="I29" s="91"/>
      <c r="J29" s="91"/>
      <c r="K29" s="91"/>
      <c r="V29" s="1"/>
    </row>
    <row r="30" spans="2:22">
      <c r="B30" s="91"/>
      <c r="C30" s="91"/>
      <c r="D30" s="91"/>
      <c r="E30" s="91"/>
      <c r="F30" s="91"/>
      <c r="G30" s="91"/>
      <c r="H30" s="91"/>
      <c r="I30" s="91"/>
      <c r="J30" s="91"/>
      <c r="K30" s="91"/>
      <c r="V30" s="1"/>
    </row>
    <row r="31" spans="2:22">
      <c r="B31" s="91"/>
      <c r="C31" s="91"/>
      <c r="D31" s="91"/>
      <c r="E31" s="91"/>
      <c r="F31" s="91"/>
      <c r="G31" s="91"/>
      <c r="H31" s="91"/>
      <c r="I31" s="91"/>
      <c r="J31" s="91"/>
      <c r="K31" s="91"/>
      <c r="V31" s="1"/>
    </row>
    <row r="32" spans="2:22">
      <c r="B32" s="91"/>
      <c r="C32" s="91"/>
      <c r="D32" s="91"/>
      <c r="E32" s="91"/>
      <c r="F32" s="91"/>
      <c r="G32" s="91"/>
      <c r="H32" s="91"/>
      <c r="I32" s="91"/>
      <c r="J32" s="91"/>
      <c r="K32" s="91"/>
      <c r="V32" s="1"/>
    </row>
    <row r="33" spans="2:22">
      <c r="B33" s="91"/>
      <c r="C33" s="91"/>
      <c r="D33" s="91"/>
      <c r="E33" s="91"/>
      <c r="F33" s="91"/>
      <c r="G33" s="91"/>
      <c r="H33" s="91"/>
      <c r="I33" s="91"/>
      <c r="J33" s="91"/>
      <c r="K33" s="91"/>
      <c r="V33" s="1"/>
    </row>
    <row r="34" spans="2:22">
      <c r="B34" s="91"/>
      <c r="C34" s="91"/>
      <c r="D34" s="91"/>
      <c r="E34" s="91"/>
      <c r="F34" s="91"/>
      <c r="G34" s="91"/>
      <c r="H34" s="91"/>
      <c r="I34" s="91"/>
      <c r="J34" s="91"/>
      <c r="K34" s="91"/>
      <c r="V34" s="1"/>
    </row>
    <row r="35" spans="2:22">
      <c r="B35" s="91"/>
      <c r="C35" s="91"/>
      <c r="D35" s="91"/>
      <c r="E35" s="91"/>
      <c r="F35" s="91"/>
      <c r="G35" s="91"/>
      <c r="H35" s="91"/>
      <c r="I35" s="91"/>
      <c r="J35" s="91"/>
      <c r="K35" s="91"/>
      <c r="V35" s="1"/>
    </row>
    <row r="36" spans="2:22">
      <c r="B36" s="91"/>
      <c r="C36" s="91"/>
      <c r="D36" s="91"/>
      <c r="E36" s="91"/>
      <c r="F36" s="91"/>
      <c r="G36" s="91"/>
      <c r="H36" s="91"/>
      <c r="I36" s="91"/>
      <c r="J36" s="91"/>
      <c r="K36" s="91"/>
      <c r="V36" s="1"/>
    </row>
    <row r="37" spans="2:22">
      <c r="B37" s="91"/>
      <c r="C37" s="91"/>
      <c r="D37" s="91"/>
      <c r="E37" s="91"/>
      <c r="F37" s="91"/>
      <c r="G37" s="91"/>
      <c r="H37" s="91"/>
      <c r="I37" s="91"/>
      <c r="J37" s="91"/>
      <c r="K37" s="91"/>
      <c r="V37" s="1"/>
    </row>
    <row r="38" spans="2:22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22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22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22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22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22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22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22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22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22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22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I27" sqref="I27:J27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170</v>
      </c>
      <c r="C1" s="68" t="s" vm="1">
        <v>247</v>
      </c>
    </row>
    <row r="2" spans="2:59">
      <c r="B2" s="47" t="s">
        <v>169</v>
      </c>
      <c r="C2" s="68" t="s">
        <v>248</v>
      </c>
    </row>
    <row r="3" spans="2:59">
      <c r="B3" s="47" t="s">
        <v>171</v>
      </c>
      <c r="C3" s="68" t="s">
        <v>249</v>
      </c>
    </row>
    <row r="4" spans="2:59">
      <c r="B4" s="47" t="s">
        <v>172</v>
      </c>
      <c r="C4" s="68">
        <v>2144</v>
      </c>
    </row>
    <row r="6" spans="2:59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59" ht="26.25" customHeight="1">
      <c r="B7" s="134" t="s">
        <v>90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</row>
    <row r="8" spans="2:59" s="3" customFormat="1" ht="78.75">
      <c r="B8" s="22" t="s">
        <v>107</v>
      </c>
      <c r="C8" s="30" t="s">
        <v>41</v>
      </c>
      <c r="D8" s="30" t="s">
        <v>60</v>
      </c>
      <c r="E8" s="30" t="s">
        <v>94</v>
      </c>
      <c r="F8" s="30" t="s">
        <v>95</v>
      </c>
      <c r="G8" s="30" t="s">
        <v>224</v>
      </c>
      <c r="H8" s="30" t="s">
        <v>223</v>
      </c>
      <c r="I8" s="30" t="s">
        <v>102</v>
      </c>
      <c r="J8" s="30" t="s">
        <v>53</v>
      </c>
      <c r="K8" s="30" t="s">
        <v>173</v>
      </c>
      <c r="L8" s="31" t="s">
        <v>175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231</v>
      </c>
      <c r="H9" s="16"/>
      <c r="I9" s="16" t="s">
        <v>227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1"/>
      <c r="N11" s="1"/>
      <c r="O11" s="1"/>
      <c r="P11" s="1"/>
      <c r="BG11" s="1"/>
    </row>
    <row r="12" spans="2:59" ht="21" customHeight="1">
      <c r="B12" s="105"/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9">
      <c r="B13" s="105"/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9">
      <c r="B14" s="105"/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9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9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12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12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12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12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12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12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12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12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12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12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12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12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12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12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12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170</v>
      </c>
      <c r="C1" s="68" t="s" vm="1">
        <v>247</v>
      </c>
    </row>
    <row r="2" spans="2:54">
      <c r="B2" s="47" t="s">
        <v>169</v>
      </c>
      <c r="C2" s="68" t="s">
        <v>248</v>
      </c>
    </row>
    <row r="3" spans="2:54">
      <c r="B3" s="47" t="s">
        <v>171</v>
      </c>
      <c r="C3" s="68" t="s">
        <v>249</v>
      </c>
    </row>
    <row r="4" spans="2:54">
      <c r="B4" s="47" t="s">
        <v>172</v>
      </c>
      <c r="C4" s="68">
        <v>2144</v>
      </c>
    </row>
    <row r="6" spans="2:54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54" ht="26.25" customHeight="1">
      <c r="B7" s="134" t="s">
        <v>91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</row>
    <row r="8" spans="2:54" s="3" customFormat="1" ht="78.75">
      <c r="B8" s="22" t="s">
        <v>107</v>
      </c>
      <c r="C8" s="30" t="s">
        <v>41</v>
      </c>
      <c r="D8" s="30" t="s">
        <v>60</v>
      </c>
      <c r="E8" s="30" t="s">
        <v>94</v>
      </c>
      <c r="F8" s="30" t="s">
        <v>95</v>
      </c>
      <c r="G8" s="30" t="s">
        <v>224</v>
      </c>
      <c r="H8" s="30" t="s">
        <v>223</v>
      </c>
      <c r="I8" s="30" t="s">
        <v>102</v>
      </c>
      <c r="J8" s="30" t="s">
        <v>53</v>
      </c>
      <c r="K8" s="30" t="s">
        <v>173</v>
      </c>
      <c r="L8" s="31" t="s">
        <v>175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231</v>
      </c>
      <c r="H9" s="16"/>
      <c r="I9" s="16" t="s">
        <v>227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AZ11" s="1"/>
    </row>
    <row r="12" spans="2:54" ht="19.5" customHeight="1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</row>
    <row r="13" spans="2:54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</row>
    <row r="14" spans="2:54">
      <c r="B14" s="89" t="s">
        <v>222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</row>
    <row r="15" spans="2:54">
      <c r="B15" s="89" t="s">
        <v>230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54" s="7" customFormat="1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AZ16" s="1"/>
      <c r="BB16" s="1"/>
    </row>
    <row r="17" spans="2:54" s="7" customFormat="1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AZ17" s="1"/>
      <c r="BB17" s="1"/>
    </row>
    <row r="18" spans="2:54" s="7" customFormat="1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AZ18" s="1"/>
      <c r="BB18" s="1"/>
    </row>
    <row r="19" spans="2:54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</row>
    <row r="20" spans="2:54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</row>
    <row r="21" spans="2:54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4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4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4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4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4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4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4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4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4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4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4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2"/>
  <sheetViews>
    <sheetView rightToLeft="1" topLeftCell="A4" workbookViewId="0">
      <selection activeCell="J30" sqref="J30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9.28515625" style="2" bestFit="1" customWidth="1"/>
    <col min="4" max="4" width="11.285156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9.4257812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4">
      <c r="B1" s="47" t="s">
        <v>170</v>
      </c>
      <c r="C1" s="68" t="s" vm="1">
        <v>247</v>
      </c>
    </row>
    <row r="2" spans="2:14">
      <c r="B2" s="47" t="s">
        <v>169</v>
      </c>
      <c r="C2" s="68" t="s">
        <v>248</v>
      </c>
    </row>
    <row r="3" spans="2:14">
      <c r="B3" s="47" t="s">
        <v>171</v>
      </c>
      <c r="C3" s="68" t="s">
        <v>249</v>
      </c>
    </row>
    <row r="4" spans="2:14">
      <c r="B4" s="47" t="s">
        <v>172</v>
      </c>
      <c r="C4" s="68">
        <v>2144</v>
      </c>
    </row>
    <row r="6" spans="2:14" ht="26.25" customHeight="1">
      <c r="B6" s="134" t="s">
        <v>199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14" s="3" customFormat="1" ht="63">
      <c r="B7" s="67" t="s">
        <v>106</v>
      </c>
      <c r="C7" s="50" t="s">
        <v>41</v>
      </c>
      <c r="D7" s="50" t="s">
        <v>108</v>
      </c>
      <c r="E7" s="50" t="s">
        <v>14</v>
      </c>
      <c r="F7" s="50" t="s">
        <v>61</v>
      </c>
      <c r="G7" s="50" t="s">
        <v>94</v>
      </c>
      <c r="H7" s="50" t="s">
        <v>16</v>
      </c>
      <c r="I7" s="50" t="s">
        <v>18</v>
      </c>
      <c r="J7" s="50" t="s">
        <v>56</v>
      </c>
      <c r="K7" s="50" t="s">
        <v>173</v>
      </c>
      <c r="L7" s="52" t="s">
        <v>174</v>
      </c>
      <c r="M7" s="1"/>
    </row>
    <row r="8" spans="2:14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227</v>
      </c>
      <c r="K8" s="16" t="s">
        <v>19</v>
      </c>
      <c r="L8" s="17" t="s">
        <v>19</v>
      </c>
    </row>
    <row r="9" spans="2:1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4" s="4" customFormat="1" ht="18" customHeight="1">
      <c r="B10" s="69" t="s">
        <v>40</v>
      </c>
      <c r="C10" s="70"/>
      <c r="D10" s="70"/>
      <c r="E10" s="70"/>
      <c r="F10" s="70"/>
      <c r="G10" s="70"/>
      <c r="H10" s="70"/>
      <c r="I10" s="70"/>
      <c r="J10" s="78">
        <f>J11</f>
        <v>17348.725540238003</v>
      </c>
      <c r="K10" s="79">
        <f>J10/$J$10</f>
        <v>1</v>
      </c>
      <c r="L10" s="79">
        <f>J10/'סכום נכסי הקרן'!$C$42</f>
        <v>5.9626117410482946E-2</v>
      </c>
      <c r="N10" s="128"/>
    </row>
    <row r="11" spans="2:14">
      <c r="B11" s="71" t="s">
        <v>221</v>
      </c>
      <c r="C11" s="72"/>
      <c r="D11" s="72"/>
      <c r="E11" s="72"/>
      <c r="F11" s="72"/>
      <c r="G11" s="72"/>
      <c r="H11" s="72"/>
      <c r="I11" s="72"/>
      <c r="J11" s="81">
        <f>J12+J20</f>
        <v>17348.725540238003</v>
      </c>
      <c r="K11" s="82">
        <f t="shared" ref="K11:K18" si="0">J11/$J$10</f>
        <v>1</v>
      </c>
      <c r="L11" s="82">
        <f>J11/'סכום נכסי הקרן'!$C$42</f>
        <v>5.9626117410482946E-2</v>
      </c>
      <c r="N11" s="129"/>
    </row>
    <row r="12" spans="2:14">
      <c r="B12" s="92" t="s">
        <v>38</v>
      </c>
      <c r="C12" s="72"/>
      <c r="D12" s="72"/>
      <c r="E12" s="72"/>
      <c r="F12" s="72"/>
      <c r="G12" s="72"/>
      <c r="H12" s="72"/>
      <c r="I12" s="72"/>
      <c r="J12" s="81">
        <f>SUM(J13:J18)</f>
        <v>15820.692022899004</v>
      </c>
      <c r="K12" s="82">
        <f t="shared" si="0"/>
        <v>0.91192243408341822</v>
      </c>
      <c r="L12" s="82">
        <f>J12/'סכום נכסי הקרן'!$C$42</f>
        <v>5.437439412391129E-2</v>
      </c>
      <c r="N12" s="129"/>
    </row>
    <row r="13" spans="2:14">
      <c r="B13" s="77" t="s">
        <v>1178</v>
      </c>
      <c r="C13" s="74" t="s">
        <v>1179</v>
      </c>
      <c r="D13" s="74">
        <v>11</v>
      </c>
      <c r="E13" s="74" t="s">
        <v>331</v>
      </c>
      <c r="F13" s="74" t="s">
        <v>332</v>
      </c>
      <c r="G13" s="87" t="s">
        <v>155</v>
      </c>
      <c r="H13" s="88">
        <v>0</v>
      </c>
      <c r="I13" s="88">
        <v>0</v>
      </c>
      <c r="J13" s="84">
        <v>34.925022204000001</v>
      </c>
      <c r="K13" s="85">
        <f t="shared" si="0"/>
        <v>2.0131174548237664E-3</v>
      </c>
      <c r="L13" s="85">
        <f>J13/'סכום נכסי הקרן'!$C$42</f>
        <v>1.200343777224145E-4</v>
      </c>
      <c r="N13" s="129"/>
    </row>
    <row r="14" spans="2:14">
      <c r="B14" s="77" t="s">
        <v>1180</v>
      </c>
      <c r="C14" s="74" t="s">
        <v>1181</v>
      </c>
      <c r="D14" s="74">
        <v>12</v>
      </c>
      <c r="E14" s="74" t="s">
        <v>331</v>
      </c>
      <c r="F14" s="74" t="s">
        <v>332</v>
      </c>
      <c r="G14" s="87" t="s">
        <v>155</v>
      </c>
      <c r="H14" s="88">
        <v>0</v>
      </c>
      <c r="I14" s="88">
        <v>0</v>
      </c>
      <c r="J14" s="84">
        <v>679.87164719300006</v>
      </c>
      <c r="K14" s="85">
        <f t="shared" si="0"/>
        <v>3.9188564348207049E-2</v>
      </c>
      <c r="L14" s="85">
        <f>J14/'סכום נכסי הקרן'!$C$42</f>
        <v>2.3366619389744597E-3</v>
      </c>
      <c r="N14" s="129"/>
    </row>
    <row r="15" spans="2:14">
      <c r="B15" s="77" t="s">
        <v>1182</v>
      </c>
      <c r="C15" s="74" t="s">
        <v>1183</v>
      </c>
      <c r="D15" s="74">
        <v>10</v>
      </c>
      <c r="E15" s="74" t="s">
        <v>331</v>
      </c>
      <c r="F15" s="74" t="s">
        <v>332</v>
      </c>
      <c r="G15" s="87" t="s">
        <v>155</v>
      </c>
      <c r="H15" s="88">
        <v>0</v>
      </c>
      <c r="I15" s="88">
        <v>0</v>
      </c>
      <c r="J15" s="84">
        <v>3285.0487353800004</v>
      </c>
      <c r="K15" s="85">
        <f t="shared" si="0"/>
        <v>0.18935389390769816</v>
      </c>
      <c r="L15" s="85">
        <f>J15/'סכום נכסי הקרן'!$C$42</f>
        <v>1.1290437510272542E-2</v>
      </c>
      <c r="N15" s="129"/>
    </row>
    <row r="16" spans="2:14">
      <c r="B16" s="77" t="s">
        <v>1182</v>
      </c>
      <c r="C16" s="74" t="s">
        <v>1184</v>
      </c>
      <c r="D16" s="74">
        <v>10</v>
      </c>
      <c r="E16" s="74" t="s">
        <v>331</v>
      </c>
      <c r="F16" s="74" t="s">
        <v>332</v>
      </c>
      <c r="G16" s="87" t="s">
        <v>155</v>
      </c>
      <c r="H16" s="88">
        <v>0</v>
      </c>
      <c r="I16" s="88">
        <v>0</v>
      </c>
      <c r="J16" s="84">
        <v>11381.504850000001</v>
      </c>
      <c r="K16" s="85">
        <f t="shared" si="0"/>
        <v>0.656042706053661</v>
      </c>
      <c r="L16" s="85">
        <f>J16/'סכום נכסי הקרן'!$C$42</f>
        <v>3.911727941744654E-2</v>
      </c>
      <c r="N16" s="129"/>
    </row>
    <row r="17" spans="2:14">
      <c r="B17" s="77" t="s">
        <v>1185</v>
      </c>
      <c r="C17" s="74" t="s">
        <v>1186</v>
      </c>
      <c r="D17" s="74">
        <v>20</v>
      </c>
      <c r="E17" s="74" t="s">
        <v>331</v>
      </c>
      <c r="F17" s="74" t="s">
        <v>332</v>
      </c>
      <c r="G17" s="87" t="s">
        <v>155</v>
      </c>
      <c r="H17" s="88">
        <v>0</v>
      </c>
      <c r="I17" s="88">
        <v>0</v>
      </c>
      <c r="J17" s="84">
        <v>412.83315812200004</v>
      </c>
      <c r="K17" s="85">
        <f t="shared" si="0"/>
        <v>2.3796166304233115E-2</v>
      </c>
      <c r="L17" s="85">
        <f>J17/'סכום נכסי הקרן'!$C$42</f>
        <v>1.418873005975582E-3</v>
      </c>
      <c r="N17" s="129"/>
    </row>
    <row r="18" spans="2:14">
      <c r="B18" s="77" t="s">
        <v>1187</v>
      </c>
      <c r="C18" s="74" t="s">
        <v>1188</v>
      </c>
      <c r="D18" s="74">
        <v>26</v>
      </c>
      <c r="E18" s="74" t="s">
        <v>331</v>
      </c>
      <c r="F18" s="74" t="s">
        <v>332</v>
      </c>
      <c r="G18" s="87" t="s">
        <v>155</v>
      </c>
      <c r="H18" s="88">
        <v>0</v>
      </c>
      <c r="I18" s="88">
        <v>0</v>
      </c>
      <c r="J18" s="84">
        <v>26.508610000000001</v>
      </c>
      <c r="K18" s="85">
        <f t="shared" si="0"/>
        <v>1.5279860147949713E-3</v>
      </c>
      <c r="L18" s="85">
        <f>J18/'סכום נכסי הקרן'!$C$42</f>
        <v>9.1107873519740895E-5</v>
      </c>
      <c r="N18" s="129"/>
    </row>
    <row r="19" spans="2:14">
      <c r="B19" s="73"/>
      <c r="C19" s="74"/>
      <c r="D19" s="74"/>
      <c r="E19" s="74"/>
      <c r="F19" s="74"/>
      <c r="G19" s="74"/>
      <c r="H19" s="74"/>
      <c r="I19" s="74"/>
      <c r="J19" s="74"/>
      <c r="K19" s="85"/>
      <c r="L19" s="74"/>
      <c r="N19" s="129"/>
    </row>
    <row r="20" spans="2:14">
      <c r="B20" s="92" t="s">
        <v>39</v>
      </c>
      <c r="C20" s="72"/>
      <c r="D20" s="72"/>
      <c r="E20" s="72"/>
      <c r="F20" s="72"/>
      <c r="G20" s="72"/>
      <c r="H20" s="72"/>
      <c r="I20" s="72"/>
      <c r="J20" s="81">
        <f>SUM(J21:J31)</f>
        <v>1528.0335173390004</v>
      </c>
      <c r="K20" s="82">
        <f t="shared" ref="K20:K30" si="1">J20/$J$10</f>
        <v>8.8077565916581876E-2</v>
      </c>
      <c r="L20" s="82">
        <f>J20/'סכום נכסי הקרן'!$C$42</f>
        <v>5.251723286571662E-3</v>
      </c>
      <c r="N20" s="129"/>
    </row>
    <row r="21" spans="2:14">
      <c r="B21" s="77" t="s">
        <v>1180</v>
      </c>
      <c r="C21" s="74" t="s">
        <v>1189</v>
      </c>
      <c r="D21" s="74">
        <v>12</v>
      </c>
      <c r="E21" s="74" t="s">
        <v>331</v>
      </c>
      <c r="F21" s="74" t="s">
        <v>332</v>
      </c>
      <c r="G21" s="87" t="s">
        <v>156</v>
      </c>
      <c r="H21" s="88">
        <v>0</v>
      </c>
      <c r="I21" s="88">
        <v>0</v>
      </c>
      <c r="J21" s="130">
        <v>4.2986368050000001</v>
      </c>
      <c r="K21" s="85">
        <f t="shared" si="1"/>
        <v>2.4777824717036982E-4</v>
      </c>
      <c r="L21" s="85">
        <f>J21/'סכום נכסי הקרן'!$C$42</f>
        <v>1.4774054857544137E-5</v>
      </c>
      <c r="N21" s="129"/>
    </row>
    <row r="22" spans="2:14">
      <c r="B22" s="77" t="s">
        <v>1180</v>
      </c>
      <c r="C22" s="74" t="s">
        <v>1190</v>
      </c>
      <c r="D22" s="74">
        <v>12</v>
      </c>
      <c r="E22" s="74" t="s">
        <v>331</v>
      </c>
      <c r="F22" s="74" t="s">
        <v>332</v>
      </c>
      <c r="G22" s="87" t="s">
        <v>154</v>
      </c>
      <c r="H22" s="88">
        <v>0</v>
      </c>
      <c r="I22" s="88">
        <v>0</v>
      </c>
      <c r="J22" s="130">
        <v>1.1243109999999999E-2</v>
      </c>
      <c r="K22" s="85">
        <f t="shared" si="1"/>
        <v>6.4806547166379102E-7</v>
      </c>
      <c r="L22" s="85">
        <f>J22/'סכום נכסי הקרן'!$C$42</f>
        <v>3.8641627903105211E-8</v>
      </c>
      <c r="N22" s="129"/>
    </row>
    <row r="23" spans="2:14">
      <c r="B23" s="77" t="s">
        <v>1182</v>
      </c>
      <c r="C23" s="74" t="s">
        <v>1191</v>
      </c>
      <c r="D23" s="74">
        <v>10</v>
      </c>
      <c r="E23" s="74" t="s">
        <v>331</v>
      </c>
      <c r="F23" s="74" t="s">
        <v>332</v>
      </c>
      <c r="G23" s="87" t="s">
        <v>157</v>
      </c>
      <c r="H23" s="88">
        <v>0</v>
      </c>
      <c r="I23" s="88">
        <v>0</v>
      </c>
      <c r="J23" s="130">
        <v>2.00176</v>
      </c>
      <c r="K23" s="85">
        <f t="shared" si="1"/>
        <v>1.1538369175056638E-4</v>
      </c>
      <c r="L23" s="85">
        <f>J23/'סכום נכסי הקרן'!$C$42</f>
        <v>6.8798815515742439E-6</v>
      </c>
      <c r="N23" s="129"/>
    </row>
    <row r="24" spans="2:14">
      <c r="B24" s="77" t="s">
        <v>1182</v>
      </c>
      <c r="C24" s="74" t="s">
        <v>1192</v>
      </c>
      <c r="D24" s="74">
        <v>10</v>
      </c>
      <c r="E24" s="74" t="s">
        <v>331</v>
      </c>
      <c r="F24" s="74" t="s">
        <v>332</v>
      </c>
      <c r="G24" s="87" t="s">
        <v>157</v>
      </c>
      <c r="H24" s="88">
        <v>0</v>
      </c>
      <c r="I24" s="88">
        <v>0</v>
      </c>
      <c r="J24" s="130">
        <v>22.391271215</v>
      </c>
      <c r="K24" s="85">
        <f t="shared" si="1"/>
        <v>1.2906579888572506E-3</v>
      </c>
      <c r="L24" s="85">
        <f>J24/'סכום נכסי הקרן'!$C$42</f>
        <v>7.6956924780380217E-5</v>
      </c>
      <c r="N24" s="129"/>
    </row>
    <row r="25" spans="2:14">
      <c r="B25" s="77" t="s">
        <v>1182</v>
      </c>
      <c r="C25" s="74" t="s">
        <v>1193</v>
      </c>
      <c r="D25" s="74">
        <v>10</v>
      </c>
      <c r="E25" s="74" t="s">
        <v>331</v>
      </c>
      <c r="F25" s="74" t="s">
        <v>332</v>
      </c>
      <c r="G25" s="87" t="s">
        <v>154</v>
      </c>
      <c r="H25" s="88">
        <v>0</v>
      </c>
      <c r="I25" s="88">
        <v>0</v>
      </c>
      <c r="J25" s="130">
        <v>1535.8330368620002</v>
      </c>
      <c r="K25" s="85">
        <f t="shared" si="1"/>
        <v>8.8527138970516589E-2</v>
      </c>
      <c r="L25" s="85">
        <f>J25/'סכום נכסי הקרן'!$C$42</f>
        <v>5.2785295822701623E-3</v>
      </c>
      <c r="N25" s="129"/>
    </row>
    <row r="26" spans="2:14">
      <c r="B26" s="77" t="s">
        <v>1182</v>
      </c>
      <c r="C26" s="74" t="s">
        <v>1194</v>
      </c>
      <c r="D26" s="74">
        <v>10</v>
      </c>
      <c r="E26" s="74" t="s">
        <v>331</v>
      </c>
      <c r="F26" s="74" t="s">
        <v>332</v>
      </c>
      <c r="G26" s="87" t="s">
        <v>156</v>
      </c>
      <c r="H26" s="88">
        <v>0</v>
      </c>
      <c r="I26" s="88">
        <v>0</v>
      </c>
      <c r="J26" s="130">
        <v>4.6953000000000005</v>
      </c>
      <c r="K26" s="85">
        <f t="shared" si="1"/>
        <v>2.7064235866259412E-4</v>
      </c>
      <c r="L26" s="85">
        <f>J26/'סכום נכסי הקרן'!$C$42</f>
        <v>1.6137353053865872E-5</v>
      </c>
      <c r="N26" s="129"/>
    </row>
    <row r="27" spans="2:14">
      <c r="B27" s="77" t="s">
        <v>1182</v>
      </c>
      <c r="C27" s="74" t="s">
        <v>1195</v>
      </c>
      <c r="D27" s="74">
        <v>10</v>
      </c>
      <c r="E27" s="74" t="s">
        <v>331</v>
      </c>
      <c r="F27" s="74" t="s">
        <v>332</v>
      </c>
      <c r="G27" s="87" t="s">
        <v>156</v>
      </c>
      <c r="H27" s="88">
        <v>0</v>
      </c>
      <c r="I27" s="88">
        <v>0</v>
      </c>
      <c r="J27" s="130">
        <v>-63.462729330000002</v>
      </c>
      <c r="K27" s="85">
        <f t="shared" si="1"/>
        <v>-3.6580629039756757E-3</v>
      </c>
      <c r="L27" s="85">
        <f>J27/'סכום נכסי הקרן'!$C$42</f>
        <v>-2.1811608820738584E-4</v>
      </c>
      <c r="N27" s="129"/>
    </row>
    <row r="28" spans="2:14">
      <c r="B28" s="77" t="s">
        <v>1185</v>
      </c>
      <c r="C28" s="74" t="s">
        <v>1196</v>
      </c>
      <c r="D28" s="74">
        <v>20</v>
      </c>
      <c r="E28" s="74" t="s">
        <v>331</v>
      </c>
      <c r="F28" s="74" t="s">
        <v>332</v>
      </c>
      <c r="G28" s="87" t="s">
        <v>156</v>
      </c>
      <c r="H28" s="88">
        <v>0</v>
      </c>
      <c r="I28" s="88">
        <v>0</v>
      </c>
      <c r="J28" s="130">
        <v>2.3354510629999998</v>
      </c>
      <c r="K28" s="85">
        <f t="shared" si="1"/>
        <v>1.3461801891921337E-4</v>
      </c>
      <c r="L28" s="85">
        <f>J28/'סכום נכסי הקרן'!$C$42</f>
        <v>8.026749801643631E-6</v>
      </c>
      <c r="N28" s="129"/>
    </row>
    <row r="29" spans="2:14">
      <c r="B29" s="77" t="s">
        <v>1185</v>
      </c>
      <c r="C29" s="74" t="s">
        <v>1197</v>
      </c>
      <c r="D29" s="74">
        <v>20</v>
      </c>
      <c r="E29" s="74" t="s">
        <v>331</v>
      </c>
      <c r="F29" s="74" t="s">
        <v>332</v>
      </c>
      <c r="G29" s="87" t="s">
        <v>154</v>
      </c>
      <c r="H29" s="88">
        <v>0</v>
      </c>
      <c r="I29" s="88">
        <v>0</v>
      </c>
      <c r="J29" s="130">
        <v>14.232347614</v>
      </c>
      <c r="K29" s="85">
        <f t="shared" si="1"/>
        <v>8.203684807273024E-4</v>
      </c>
      <c r="L29" s="85">
        <f>J29/'סכום נכסי הקרן'!$C$42</f>
        <v>4.8915387351705651E-5</v>
      </c>
      <c r="N29" s="129"/>
    </row>
    <row r="30" spans="2:14">
      <c r="B30" s="77" t="s">
        <v>1185</v>
      </c>
      <c r="C30" s="74">
        <v>33820000</v>
      </c>
      <c r="D30" s="74">
        <v>20</v>
      </c>
      <c r="E30" s="74" t="s">
        <v>331</v>
      </c>
      <c r="F30" s="74" t="s">
        <v>332</v>
      </c>
      <c r="G30" s="87" t="s">
        <v>157</v>
      </c>
      <c r="H30" s="88">
        <v>0</v>
      </c>
      <c r="I30" s="88">
        <v>0</v>
      </c>
      <c r="J30" s="130">
        <v>2.7</v>
      </c>
      <c r="K30" s="85">
        <f t="shared" si="1"/>
        <v>1.5563102855813347E-4</v>
      </c>
      <c r="L30" s="85">
        <f>J30/'סכום נכסי הקרן'!$C$42</f>
        <v>9.2796739815214909E-6</v>
      </c>
      <c r="N30" s="129"/>
    </row>
    <row r="31" spans="2:14">
      <c r="B31" s="73" t="s">
        <v>1187</v>
      </c>
      <c r="C31" s="74" t="s">
        <v>1198</v>
      </c>
      <c r="D31" s="74">
        <v>26</v>
      </c>
      <c r="E31" s="74" t="s">
        <v>331</v>
      </c>
      <c r="F31" s="74" t="s">
        <v>332</v>
      </c>
      <c r="G31" s="74" t="s">
        <v>154</v>
      </c>
      <c r="H31" s="88">
        <v>0</v>
      </c>
      <c r="I31" s="88">
        <v>0</v>
      </c>
      <c r="J31" s="130">
        <v>2.9971999999999999</v>
      </c>
      <c r="K31" s="85">
        <f t="shared" ref="K31" si="2">J31/$J$10</f>
        <v>1.7276196992386576E-4</v>
      </c>
      <c r="L31" s="85">
        <f>J31/'סכום נכסי הקרן'!$C$42</f>
        <v>1.0301125502746745E-5</v>
      </c>
      <c r="N31" s="129"/>
    </row>
    <row r="32" spans="2:14">
      <c r="B32" s="71"/>
      <c r="C32" s="72"/>
      <c r="D32" s="72"/>
      <c r="E32" s="72"/>
      <c r="F32" s="72"/>
      <c r="G32" s="72"/>
      <c r="H32" s="72"/>
      <c r="I32" s="72"/>
      <c r="J32" s="81"/>
      <c r="K32" s="82"/>
      <c r="L32" s="82"/>
      <c r="N32" s="129"/>
    </row>
    <row r="33" spans="2:14">
      <c r="B33" s="73"/>
      <c r="C33" s="74"/>
      <c r="D33" s="74"/>
      <c r="E33" s="74"/>
      <c r="F33" s="74"/>
      <c r="G33" s="74"/>
      <c r="H33" s="74"/>
      <c r="I33" s="74"/>
      <c r="J33" s="84"/>
      <c r="K33" s="85"/>
      <c r="L33" s="85"/>
      <c r="N33" s="129"/>
    </row>
    <row r="34" spans="2:14">
      <c r="B34" s="77"/>
      <c r="C34" s="74"/>
      <c r="D34" s="74"/>
      <c r="E34" s="74"/>
      <c r="F34" s="74"/>
      <c r="G34" s="87"/>
      <c r="H34" s="74"/>
      <c r="I34" s="74"/>
      <c r="J34" s="84"/>
      <c r="K34" s="85"/>
      <c r="L34" s="85"/>
      <c r="N34" s="129"/>
    </row>
    <row r="35" spans="2:14">
      <c r="B35" s="6"/>
      <c r="D35" s="1"/>
      <c r="N35" s="129"/>
    </row>
    <row r="36" spans="2:14">
      <c r="D36" s="1"/>
      <c r="N36" s="129"/>
    </row>
    <row r="37" spans="2:14">
      <c r="D37" s="1"/>
      <c r="N37" s="129"/>
    </row>
    <row r="38" spans="2:14">
      <c r="D38" s="1"/>
      <c r="N38" s="129"/>
    </row>
    <row r="39" spans="2:14">
      <c r="B39" s="89" t="s">
        <v>240</v>
      </c>
      <c r="D39" s="1"/>
      <c r="N39" s="129"/>
    </row>
    <row r="40" spans="2:14">
      <c r="B40" s="105"/>
      <c r="D40" s="1"/>
      <c r="N40" s="129"/>
    </row>
    <row r="41" spans="2:14">
      <c r="D41" s="1"/>
      <c r="N41" s="129"/>
    </row>
    <row r="42" spans="2:14">
      <c r="D42" s="1"/>
      <c r="N42" s="129"/>
    </row>
    <row r="43" spans="2:14">
      <c r="D43" s="1"/>
      <c r="N43" s="129"/>
    </row>
    <row r="44" spans="2:14">
      <c r="D44" s="1"/>
      <c r="N44" s="129"/>
    </row>
    <row r="45" spans="2:14">
      <c r="D45" s="1"/>
      <c r="N45" s="129"/>
    </row>
    <row r="46" spans="2:14">
      <c r="D46" s="1"/>
      <c r="N46" s="129"/>
    </row>
    <row r="47" spans="2:14">
      <c r="D47" s="1"/>
      <c r="N47" s="129"/>
    </row>
    <row r="48" spans="2:14">
      <c r="D48" s="1"/>
      <c r="N48" s="129"/>
    </row>
    <row r="49" spans="4:14">
      <c r="D49" s="1"/>
      <c r="N49" s="129"/>
    </row>
    <row r="50" spans="4:14">
      <c r="D50" s="1"/>
      <c r="N50" s="129"/>
    </row>
    <row r="51" spans="4:14">
      <c r="D51" s="1"/>
      <c r="N51" s="129"/>
    </row>
    <row r="52" spans="4:14">
      <c r="D52" s="1"/>
      <c r="N52" s="129"/>
    </row>
    <row r="53" spans="4:14">
      <c r="D53" s="1"/>
      <c r="N53" s="129"/>
    </row>
    <row r="54" spans="4:14">
      <c r="D54" s="1"/>
      <c r="N54" s="129"/>
    </row>
    <row r="55" spans="4:14">
      <c r="D55" s="1"/>
      <c r="N55" s="129"/>
    </row>
    <row r="56" spans="4:14">
      <c r="D56" s="1"/>
      <c r="N56" s="129"/>
    </row>
    <row r="57" spans="4:14">
      <c r="D57" s="1"/>
    </row>
    <row r="58" spans="4:14">
      <c r="D58" s="1"/>
    </row>
    <row r="59" spans="4:14">
      <c r="D59" s="1"/>
    </row>
    <row r="60" spans="4:14">
      <c r="D60" s="1"/>
    </row>
    <row r="61" spans="4:14">
      <c r="D61" s="1"/>
    </row>
    <row r="62" spans="4:14">
      <c r="D62" s="1"/>
    </row>
    <row r="63" spans="4:14">
      <c r="D63" s="1"/>
    </row>
    <row r="64" spans="4:1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D506" s="1"/>
    </row>
    <row r="507" spans="4:5">
      <c r="D507" s="1"/>
    </row>
    <row r="508" spans="4:5">
      <c r="D508" s="1"/>
    </row>
    <row r="509" spans="4:5">
      <c r="D509" s="1"/>
    </row>
    <row r="510" spans="4:5">
      <c r="D510" s="1"/>
    </row>
    <row r="511" spans="4:5">
      <c r="D511" s="1"/>
    </row>
    <row r="512" spans="4:5">
      <c r="E512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3"/>
  <sheetViews>
    <sheetView rightToLeft="1" topLeftCell="A41" workbookViewId="0">
      <selection activeCell="K60" activeCellId="2" sqref="K12:K37 K39:K58 K60:K64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9.28515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170</v>
      </c>
      <c r="C1" s="68" t="s" vm="1">
        <v>247</v>
      </c>
    </row>
    <row r="2" spans="2:51">
      <c r="B2" s="47" t="s">
        <v>169</v>
      </c>
      <c r="C2" s="68" t="s">
        <v>248</v>
      </c>
    </row>
    <row r="3" spans="2:51">
      <c r="B3" s="47" t="s">
        <v>171</v>
      </c>
      <c r="C3" s="68" t="s">
        <v>249</v>
      </c>
    </row>
    <row r="4" spans="2:51">
      <c r="B4" s="47" t="s">
        <v>172</v>
      </c>
      <c r="C4" s="68">
        <v>2144</v>
      </c>
    </row>
    <row r="6" spans="2:51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51" ht="26.25" customHeight="1">
      <c r="B7" s="134" t="s">
        <v>92</v>
      </c>
      <c r="C7" s="135"/>
      <c r="D7" s="135"/>
      <c r="E7" s="135"/>
      <c r="F7" s="135"/>
      <c r="G7" s="135"/>
      <c r="H7" s="135"/>
      <c r="I7" s="135"/>
      <c r="J7" s="135"/>
      <c r="K7" s="136"/>
    </row>
    <row r="8" spans="2:51" s="3" customFormat="1" ht="63">
      <c r="B8" s="22" t="s">
        <v>107</v>
      </c>
      <c r="C8" s="30" t="s">
        <v>41</v>
      </c>
      <c r="D8" s="30" t="s">
        <v>60</v>
      </c>
      <c r="E8" s="30" t="s">
        <v>94</v>
      </c>
      <c r="F8" s="30" t="s">
        <v>95</v>
      </c>
      <c r="G8" s="30" t="s">
        <v>224</v>
      </c>
      <c r="H8" s="30" t="s">
        <v>223</v>
      </c>
      <c r="I8" s="30" t="s">
        <v>102</v>
      </c>
      <c r="J8" s="30" t="s">
        <v>173</v>
      </c>
      <c r="K8" s="31" t="s">
        <v>175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231</v>
      </c>
      <c r="H9" s="16"/>
      <c r="I9" s="16" t="s">
        <v>227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69" t="s">
        <v>44</v>
      </c>
      <c r="C11" s="70"/>
      <c r="D11" s="70"/>
      <c r="E11" s="70"/>
      <c r="F11" s="70"/>
      <c r="G11" s="78"/>
      <c r="H11" s="80"/>
      <c r="I11" s="78">
        <v>-242.27514646899996</v>
      </c>
      <c r="J11" s="79">
        <v>1</v>
      </c>
      <c r="K11" s="79">
        <f>I11/'סכום נכסי הקרן'!$C$42</f>
        <v>-8.3267939742877296E-4</v>
      </c>
      <c r="AW11" s="1"/>
    </row>
    <row r="12" spans="2:51" ht="19.5" customHeight="1">
      <c r="B12" s="71" t="s">
        <v>31</v>
      </c>
      <c r="C12" s="72"/>
      <c r="D12" s="72"/>
      <c r="E12" s="72"/>
      <c r="F12" s="72"/>
      <c r="G12" s="81"/>
      <c r="H12" s="83"/>
      <c r="I12" s="81">
        <v>-242.27514646899996</v>
      </c>
      <c r="J12" s="82">
        <v>1</v>
      </c>
      <c r="K12" s="82">
        <f>I12/'סכום נכסי הקרן'!$C$42</f>
        <v>-8.3267939742877296E-4</v>
      </c>
    </row>
    <row r="13" spans="2:51">
      <c r="B13" s="92" t="s">
        <v>1082</v>
      </c>
      <c r="C13" s="72"/>
      <c r="D13" s="72"/>
      <c r="E13" s="72"/>
      <c r="F13" s="72"/>
      <c r="G13" s="81"/>
      <c r="H13" s="83"/>
      <c r="I13" s="81">
        <v>-326.34037356199985</v>
      </c>
      <c r="J13" s="82">
        <v>1.3469824631960603</v>
      </c>
      <c r="K13" s="82">
        <f>I13/'סכום נכסי הקרן'!$C$42</f>
        <v>-1.12160454580122E-3</v>
      </c>
    </row>
    <row r="14" spans="2:51">
      <c r="B14" s="77" t="s">
        <v>1083</v>
      </c>
      <c r="C14" s="74" t="s">
        <v>1084</v>
      </c>
      <c r="D14" s="87" t="s">
        <v>1081</v>
      </c>
      <c r="E14" s="87" t="s">
        <v>154</v>
      </c>
      <c r="F14" s="96">
        <v>43894</v>
      </c>
      <c r="G14" s="84">
        <v>341368.18016500003</v>
      </c>
      <c r="H14" s="86">
        <v>-3.5465</v>
      </c>
      <c r="I14" s="84">
        <v>-12.106695704000002</v>
      </c>
      <c r="J14" s="85">
        <v>4.9970852893691679E-2</v>
      </c>
      <c r="K14" s="85">
        <f>I14/'סכום נכסי הקרן'!$C$42</f>
        <v>-4.160969967652104E-5</v>
      </c>
    </row>
    <row r="15" spans="2:51">
      <c r="B15" s="77" t="s">
        <v>1085</v>
      </c>
      <c r="C15" s="74" t="s">
        <v>1086</v>
      </c>
      <c r="D15" s="87" t="s">
        <v>1081</v>
      </c>
      <c r="E15" s="87" t="s">
        <v>154</v>
      </c>
      <c r="F15" s="96">
        <v>43888</v>
      </c>
      <c r="G15" s="84">
        <v>375759.26305499999</v>
      </c>
      <c r="H15" s="86">
        <v>-3.8509000000000002</v>
      </c>
      <c r="I15" s="84">
        <v>-14.470143581</v>
      </c>
      <c r="J15" s="85">
        <v>5.9726075051002026E-2</v>
      </c>
      <c r="K15" s="85">
        <f>I15/'סכום נכסי הקרן'!$C$42</f>
        <v>-4.9732672184254043E-5</v>
      </c>
    </row>
    <row r="16" spans="2:51" s="7" customFormat="1">
      <c r="B16" s="77" t="s">
        <v>1087</v>
      </c>
      <c r="C16" s="74" t="s">
        <v>1088</v>
      </c>
      <c r="D16" s="87" t="s">
        <v>1081</v>
      </c>
      <c r="E16" s="87" t="s">
        <v>154</v>
      </c>
      <c r="F16" s="96">
        <v>43893</v>
      </c>
      <c r="G16" s="84">
        <v>205745.16985000001</v>
      </c>
      <c r="H16" s="86">
        <v>-3.3348</v>
      </c>
      <c r="I16" s="84">
        <v>-6.8611521840000007</v>
      </c>
      <c r="J16" s="85">
        <v>2.8319669945501041E-2</v>
      </c>
      <c r="K16" s="85">
        <f>I16/'סכום נכסי הקרן'!$C$42</f>
        <v>-2.3581205705601539E-5</v>
      </c>
      <c r="AW16" s="1"/>
      <c r="AY16" s="1"/>
    </row>
    <row r="17" spans="2:51" s="7" customFormat="1">
      <c r="B17" s="77" t="s">
        <v>1089</v>
      </c>
      <c r="C17" s="74" t="s">
        <v>1090</v>
      </c>
      <c r="D17" s="87" t="s">
        <v>1081</v>
      </c>
      <c r="E17" s="87" t="s">
        <v>154</v>
      </c>
      <c r="F17" s="96">
        <v>43873</v>
      </c>
      <c r="G17" s="84">
        <v>360276.13961499999</v>
      </c>
      <c r="H17" s="86">
        <v>-4.4705000000000004</v>
      </c>
      <c r="I17" s="84">
        <v>-16.105967344</v>
      </c>
      <c r="J17" s="85">
        <v>6.6478000648163144E-2</v>
      </c>
      <c r="K17" s="85">
        <f>I17/'סכום נכסי הקרן'!$C$42</f>
        <v>-5.5354861521982069E-5</v>
      </c>
      <c r="AW17" s="1"/>
      <c r="AY17" s="1"/>
    </row>
    <row r="18" spans="2:51" s="7" customFormat="1">
      <c r="B18" s="77" t="s">
        <v>1091</v>
      </c>
      <c r="C18" s="74" t="s">
        <v>1092</v>
      </c>
      <c r="D18" s="87" t="s">
        <v>1081</v>
      </c>
      <c r="E18" s="87" t="s">
        <v>154</v>
      </c>
      <c r="F18" s="96">
        <v>43873</v>
      </c>
      <c r="G18" s="84">
        <v>308971.28957999998</v>
      </c>
      <c r="H18" s="86">
        <v>-4.4153000000000002</v>
      </c>
      <c r="I18" s="84">
        <v>-13.641988844</v>
      </c>
      <c r="J18" s="85">
        <v>5.6307834471768833E-2</v>
      </c>
      <c r="K18" s="85">
        <f>I18/'סכום נכסי הקרן'!$C$42</f>
        <v>-4.6886373678471566E-5</v>
      </c>
      <c r="AW18" s="1"/>
      <c r="AY18" s="1"/>
    </row>
    <row r="19" spans="2:51">
      <c r="B19" s="77" t="s">
        <v>1093</v>
      </c>
      <c r="C19" s="74" t="s">
        <v>1094</v>
      </c>
      <c r="D19" s="87" t="s">
        <v>1081</v>
      </c>
      <c r="E19" s="87" t="s">
        <v>154</v>
      </c>
      <c r="F19" s="96">
        <v>43894</v>
      </c>
      <c r="G19" s="84">
        <v>391141.78540200001</v>
      </c>
      <c r="H19" s="86">
        <v>-2.9980000000000002</v>
      </c>
      <c r="I19" s="84">
        <v>-11.726331975000001</v>
      </c>
      <c r="J19" s="85">
        <v>4.8400886949831766E-2</v>
      </c>
      <c r="K19" s="85">
        <f>I19/'סכום נכסי הקרן'!$C$42</f>
        <v>-4.0302421380404082E-5</v>
      </c>
    </row>
    <row r="20" spans="2:51">
      <c r="B20" s="77" t="s">
        <v>1095</v>
      </c>
      <c r="C20" s="74" t="s">
        <v>1096</v>
      </c>
      <c r="D20" s="87" t="s">
        <v>1081</v>
      </c>
      <c r="E20" s="87" t="s">
        <v>154</v>
      </c>
      <c r="F20" s="96">
        <v>43867</v>
      </c>
      <c r="G20" s="84">
        <v>258118.17846299999</v>
      </c>
      <c r="H20" s="86">
        <v>-4.1448</v>
      </c>
      <c r="I20" s="84">
        <v>-10.698354203000001</v>
      </c>
      <c r="J20" s="85">
        <v>4.4157869096031671E-2</v>
      </c>
      <c r="K20" s="85">
        <f>I20/'סכום נכסי הקרן'!$C$42</f>
        <v>-3.6769347830622289E-5</v>
      </c>
    </row>
    <row r="21" spans="2:51">
      <c r="B21" s="77" t="s">
        <v>1097</v>
      </c>
      <c r="C21" s="74" t="s">
        <v>1098</v>
      </c>
      <c r="D21" s="87" t="s">
        <v>1081</v>
      </c>
      <c r="E21" s="87" t="s">
        <v>154</v>
      </c>
      <c r="F21" s="96">
        <v>43895</v>
      </c>
      <c r="G21" s="84">
        <v>412114.11496799998</v>
      </c>
      <c r="H21" s="86">
        <v>-2.9087999999999998</v>
      </c>
      <c r="I21" s="84">
        <v>-11.987492894000001</v>
      </c>
      <c r="J21" s="85">
        <v>4.9478838703473228E-2</v>
      </c>
      <c r="K21" s="85">
        <f>I21/'סכום נכסי הקרן'!$C$42</f>
        <v>-4.1200009597083543E-5</v>
      </c>
    </row>
    <row r="22" spans="2:51">
      <c r="B22" s="77" t="s">
        <v>1099</v>
      </c>
      <c r="C22" s="74" t="s">
        <v>1100</v>
      </c>
      <c r="D22" s="87" t="s">
        <v>1081</v>
      </c>
      <c r="E22" s="87" t="s">
        <v>154</v>
      </c>
      <c r="F22" s="96">
        <v>43895</v>
      </c>
      <c r="G22" s="84">
        <v>412210.59492</v>
      </c>
      <c r="H22" s="86">
        <v>-2.9096000000000002</v>
      </c>
      <c r="I22" s="84">
        <v>-11.993560518000001</v>
      </c>
      <c r="J22" s="85">
        <v>4.9503883055270891E-2</v>
      </c>
      <c r="K22" s="85">
        <f>I22/'סכום נכסי הקרן'!$C$42</f>
        <v>-4.122086351284741E-5</v>
      </c>
    </row>
    <row r="23" spans="2:51">
      <c r="B23" s="77" t="s">
        <v>1101</v>
      </c>
      <c r="C23" s="74" t="s">
        <v>1102</v>
      </c>
      <c r="D23" s="87" t="s">
        <v>1081</v>
      </c>
      <c r="E23" s="87" t="s">
        <v>154</v>
      </c>
      <c r="F23" s="96">
        <v>43804</v>
      </c>
      <c r="G23" s="84">
        <v>342720</v>
      </c>
      <c r="H23" s="86">
        <v>-3.6657000000000002</v>
      </c>
      <c r="I23" s="84">
        <v>-12.56307</v>
      </c>
      <c r="J23" s="85">
        <v>5.1854555380931297E-2</v>
      </c>
      <c r="K23" s="85">
        <f>I23/'סכום נכסי הקרן'!$C$42</f>
        <v>-4.317821992853081E-5</v>
      </c>
    </row>
    <row r="24" spans="2:51">
      <c r="B24" s="77" t="s">
        <v>1103</v>
      </c>
      <c r="C24" s="74" t="s">
        <v>1104</v>
      </c>
      <c r="D24" s="87" t="s">
        <v>1081</v>
      </c>
      <c r="E24" s="87" t="s">
        <v>154</v>
      </c>
      <c r="F24" s="96">
        <v>43689</v>
      </c>
      <c r="G24" s="84">
        <v>480060</v>
      </c>
      <c r="H24" s="86">
        <v>-3.6113</v>
      </c>
      <c r="I24" s="84">
        <v>-17.336410000000001</v>
      </c>
      <c r="J24" s="85">
        <v>7.1556700110047236E-2</v>
      </c>
      <c r="K24" s="85">
        <f>I24/'סכום נכסי הקרן'!$C$42</f>
        <v>-5.9583789929625551E-5</v>
      </c>
    </row>
    <row r="25" spans="2:51">
      <c r="B25" s="77" t="s">
        <v>1105</v>
      </c>
      <c r="C25" s="74" t="s">
        <v>1106</v>
      </c>
      <c r="D25" s="87" t="s">
        <v>1081</v>
      </c>
      <c r="E25" s="87" t="s">
        <v>154</v>
      </c>
      <c r="F25" s="96">
        <v>43866</v>
      </c>
      <c r="G25" s="84">
        <v>414959.21111999993</v>
      </c>
      <c r="H25" s="86">
        <v>-3.6166999999999998</v>
      </c>
      <c r="I25" s="84">
        <v>-15.008007777</v>
      </c>
      <c r="J25" s="85">
        <v>6.1946130239654326E-2</v>
      </c>
      <c r="K25" s="85">
        <f>I25/'סכום נכסי הקרן'!$C$42</f>
        <v>-5.1581266400999655E-5</v>
      </c>
    </row>
    <row r="26" spans="2:51">
      <c r="B26" s="77" t="s">
        <v>1107</v>
      </c>
      <c r="C26" s="74" t="s">
        <v>1108</v>
      </c>
      <c r="D26" s="87" t="s">
        <v>1081</v>
      </c>
      <c r="E26" s="87" t="s">
        <v>154</v>
      </c>
      <c r="F26" s="96">
        <v>43657</v>
      </c>
      <c r="G26" s="84">
        <v>5316080</v>
      </c>
      <c r="H26" s="86">
        <v>-2.3363</v>
      </c>
      <c r="I26" s="84">
        <v>-124.19829</v>
      </c>
      <c r="J26" s="85">
        <v>0.51263322635486119</v>
      </c>
      <c r="K26" s="85">
        <f>I26/'סכום נכסי הקרן'!$C$42</f>
        <v>-4.2685912602313358E-4</v>
      </c>
    </row>
    <row r="27" spans="2:51">
      <c r="B27" s="77" t="s">
        <v>1109</v>
      </c>
      <c r="C27" s="74" t="s">
        <v>1110</v>
      </c>
      <c r="D27" s="87" t="s">
        <v>1081</v>
      </c>
      <c r="E27" s="87" t="s">
        <v>154</v>
      </c>
      <c r="F27" s="96">
        <v>43657</v>
      </c>
      <c r="G27" s="84">
        <v>5354580</v>
      </c>
      <c r="H27" s="86">
        <v>-2.1816</v>
      </c>
      <c r="I27" s="84">
        <v>-116.81305999999999</v>
      </c>
      <c r="J27" s="85">
        <v>0.48215040503523821</v>
      </c>
      <c r="K27" s="85">
        <f>I27/'סכום נכסי הקרן'!$C$42</f>
        <v>-4.0147670873478099E-4</v>
      </c>
    </row>
    <row r="28" spans="2:51">
      <c r="B28" s="77" t="s">
        <v>1111</v>
      </c>
      <c r="C28" s="74" t="s">
        <v>1112</v>
      </c>
      <c r="D28" s="87" t="s">
        <v>1081</v>
      </c>
      <c r="E28" s="87" t="s">
        <v>154</v>
      </c>
      <c r="F28" s="96">
        <v>43696</v>
      </c>
      <c r="G28" s="84">
        <v>557440</v>
      </c>
      <c r="H28" s="86">
        <v>-1.9762999999999999</v>
      </c>
      <c r="I28" s="84">
        <v>-11.016920000000001</v>
      </c>
      <c r="J28" s="85">
        <v>4.5472761694975009E-2</v>
      </c>
      <c r="K28" s="85">
        <f>I28/'סכום נכסי הקרן'!$C$42</f>
        <v>-3.7864231807593976E-5</v>
      </c>
    </row>
    <row r="29" spans="2:51">
      <c r="B29" s="77" t="s">
        <v>1113</v>
      </c>
      <c r="C29" s="74" t="s">
        <v>1114</v>
      </c>
      <c r="D29" s="87" t="s">
        <v>1081</v>
      </c>
      <c r="E29" s="87" t="s">
        <v>154</v>
      </c>
      <c r="F29" s="96">
        <v>43642</v>
      </c>
      <c r="G29" s="84">
        <v>420252</v>
      </c>
      <c r="H29" s="86">
        <v>-0.87409999999999999</v>
      </c>
      <c r="I29" s="84">
        <v>-3.67347</v>
      </c>
      <c r="J29" s="85">
        <v>1.516238893480572E-2</v>
      </c>
      <c r="K29" s="85">
        <f>I29/'סכום נכסי הקרן'!$C$42</f>
        <v>-1.2625408881814722E-5</v>
      </c>
    </row>
    <row r="30" spans="2:51">
      <c r="B30" s="77" t="s">
        <v>1115</v>
      </c>
      <c r="C30" s="74" t="s">
        <v>1116</v>
      </c>
      <c r="D30" s="87" t="s">
        <v>1081</v>
      </c>
      <c r="E30" s="87" t="s">
        <v>154</v>
      </c>
      <c r="F30" s="96">
        <v>43627</v>
      </c>
      <c r="G30" s="84">
        <v>1297035</v>
      </c>
      <c r="H30" s="86">
        <v>-1.3512</v>
      </c>
      <c r="I30" s="84">
        <v>-17.525119999999998</v>
      </c>
      <c r="J30" s="85">
        <v>7.2335607904554108E-2</v>
      </c>
      <c r="K30" s="85">
        <f>I30/'סכום נכסי הקרן'!$C$42</f>
        <v>-6.0232370402608103E-5</v>
      </c>
    </row>
    <row r="31" spans="2:51">
      <c r="B31" s="77" t="s">
        <v>1117</v>
      </c>
      <c r="C31" s="74" t="s">
        <v>1118</v>
      </c>
      <c r="D31" s="87" t="s">
        <v>1081</v>
      </c>
      <c r="E31" s="87" t="s">
        <v>154</v>
      </c>
      <c r="F31" s="96">
        <v>43920</v>
      </c>
      <c r="G31" s="84">
        <v>703700</v>
      </c>
      <c r="H31" s="86">
        <v>8.2400000000000001E-2</v>
      </c>
      <c r="I31" s="84">
        <v>0.57982</v>
      </c>
      <c r="J31" s="85">
        <v>-2.393229385888289E-3</v>
      </c>
      <c r="K31" s="85">
        <f>I31/'סכום נכסי הקרן'!$C$42</f>
        <v>1.9927928029502928E-6</v>
      </c>
    </row>
    <row r="32" spans="2:51">
      <c r="B32" s="77" t="s">
        <v>1119</v>
      </c>
      <c r="C32" s="74" t="s">
        <v>1120</v>
      </c>
      <c r="D32" s="87" t="s">
        <v>1081</v>
      </c>
      <c r="E32" s="87" t="s">
        <v>154</v>
      </c>
      <c r="F32" s="96">
        <v>43621</v>
      </c>
      <c r="G32" s="84">
        <v>582615</v>
      </c>
      <c r="H32" s="86">
        <v>-0.61960000000000004</v>
      </c>
      <c r="I32" s="84">
        <v>-3.60961</v>
      </c>
      <c r="J32" s="85">
        <v>1.4898804324783943E-2</v>
      </c>
      <c r="K32" s="85">
        <f>I32/'סכום נכסי הקרן'!$C$42</f>
        <v>-1.240592740757029E-5</v>
      </c>
    </row>
    <row r="33" spans="2:11">
      <c r="B33" s="77" t="s">
        <v>1121</v>
      </c>
      <c r="C33" s="74" t="s">
        <v>1122</v>
      </c>
      <c r="D33" s="87" t="s">
        <v>1081</v>
      </c>
      <c r="E33" s="87" t="s">
        <v>154</v>
      </c>
      <c r="F33" s="96">
        <v>43914</v>
      </c>
      <c r="G33" s="84">
        <v>721000</v>
      </c>
      <c r="H33" s="86">
        <v>1.4450000000000001</v>
      </c>
      <c r="I33" s="84">
        <v>10.418190000000001</v>
      </c>
      <c r="J33" s="85">
        <v>-4.3001480555633666E-2</v>
      </c>
      <c r="K33" s="85">
        <f>I33/'סכום נכסי הקרן'!$C$42</f>
        <v>3.580644691761014E-5</v>
      </c>
    </row>
    <row r="34" spans="2:11">
      <c r="B34" s="77" t="s">
        <v>1123</v>
      </c>
      <c r="C34" s="74" t="s">
        <v>1124</v>
      </c>
      <c r="D34" s="87" t="s">
        <v>1081</v>
      </c>
      <c r="E34" s="87" t="s">
        <v>154</v>
      </c>
      <c r="F34" s="96">
        <v>43909</v>
      </c>
      <c r="G34" s="84">
        <v>1095000</v>
      </c>
      <c r="H34" s="86">
        <v>2.6595</v>
      </c>
      <c r="I34" s="84">
        <v>29.12133</v>
      </c>
      <c r="J34" s="85">
        <v>-0.12019941139000069</v>
      </c>
      <c r="K34" s="85">
        <f>I34/'סכום נכסי הקרן'!$C$42</f>
        <v>1.0008757344751897E-4</v>
      </c>
    </row>
    <row r="35" spans="2:11">
      <c r="B35" s="77" t="s">
        <v>1125</v>
      </c>
      <c r="C35" s="74" t="s">
        <v>1126</v>
      </c>
      <c r="D35" s="87" t="s">
        <v>1081</v>
      </c>
      <c r="E35" s="87" t="s">
        <v>154</v>
      </c>
      <c r="F35" s="96">
        <v>43908</v>
      </c>
      <c r="G35" s="84">
        <v>115427.603</v>
      </c>
      <c r="H35" s="86">
        <v>7.1060999999999996</v>
      </c>
      <c r="I35" s="84">
        <v>8.2023514620000011</v>
      </c>
      <c r="J35" s="85">
        <v>-3.385552163126862E-2</v>
      </c>
      <c r="K35" s="85">
        <f>I35/'סכום נכסי הקרן'!$C$42</f>
        <v>2.8190795351561544E-5</v>
      </c>
    </row>
    <row r="36" spans="2:11">
      <c r="B36" s="77" t="s">
        <v>1127</v>
      </c>
      <c r="C36" s="74" t="s">
        <v>1128</v>
      </c>
      <c r="D36" s="87" t="s">
        <v>1081</v>
      </c>
      <c r="E36" s="87" t="s">
        <v>154</v>
      </c>
      <c r="F36" s="96">
        <v>43880</v>
      </c>
      <c r="G36" s="84">
        <v>249550</v>
      </c>
      <c r="H36" s="86">
        <v>4.1268000000000002</v>
      </c>
      <c r="I36" s="84">
        <v>10.29848</v>
      </c>
      <c r="J36" s="85">
        <v>-4.2507372919152193E-2</v>
      </c>
      <c r="K36" s="85">
        <f>I36/'סכום נכסי הקרן'!$C$42</f>
        <v>3.539501366859979E-5</v>
      </c>
    </row>
    <row r="37" spans="2:11">
      <c r="B37" s="77" t="s">
        <v>1129</v>
      </c>
      <c r="C37" s="74" t="s">
        <v>1130</v>
      </c>
      <c r="D37" s="87" t="s">
        <v>1081</v>
      </c>
      <c r="E37" s="87" t="s">
        <v>154</v>
      </c>
      <c r="F37" s="96">
        <v>43878</v>
      </c>
      <c r="G37" s="84">
        <v>1140800</v>
      </c>
      <c r="H37" s="86">
        <v>4.0651000000000002</v>
      </c>
      <c r="I37" s="84">
        <v>46.375099999999996</v>
      </c>
      <c r="J37" s="85">
        <v>-0.19141501171658096</v>
      </c>
      <c r="K37" s="85">
        <f>I37/'סכום נכסי הקרן'!$C$42</f>
        <v>1.5938733661498416E-4</v>
      </c>
    </row>
    <row r="38" spans="2:11">
      <c r="B38" s="73"/>
      <c r="C38" s="74"/>
      <c r="D38" s="74"/>
      <c r="E38" s="74"/>
      <c r="F38" s="74"/>
      <c r="G38" s="84"/>
      <c r="H38" s="86"/>
      <c r="I38" s="74"/>
      <c r="J38" s="85"/>
      <c r="K38" s="74"/>
    </row>
    <row r="39" spans="2:11">
      <c r="B39" s="92" t="s">
        <v>219</v>
      </c>
      <c r="C39" s="72"/>
      <c r="D39" s="72"/>
      <c r="E39" s="72"/>
      <c r="F39" s="72"/>
      <c r="G39" s="81"/>
      <c r="H39" s="83"/>
      <c r="I39" s="81">
        <v>45.732235069000005</v>
      </c>
      <c r="J39" s="82">
        <v>-0.18876156194936661</v>
      </c>
      <c r="K39" s="82">
        <f>I39/'סכום נכסי הקרן'!$C$42</f>
        <v>1.5717786366171258E-4</v>
      </c>
    </row>
    <row r="40" spans="2:11">
      <c r="B40" s="77" t="s">
        <v>1131</v>
      </c>
      <c r="C40" s="74" t="s">
        <v>1132</v>
      </c>
      <c r="D40" s="87" t="s">
        <v>1081</v>
      </c>
      <c r="E40" s="87" t="s">
        <v>156</v>
      </c>
      <c r="F40" s="96">
        <v>43920</v>
      </c>
      <c r="G40" s="84">
        <v>352781.95948700001</v>
      </c>
      <c r="H40" s="86">
        <v>-1.2967</v>
      </c>
      <c r="I40" s="84">
        <v>-4.5746565810000002</v>
      </c>
      <c r="J40" s="85">
        <v>1.8882071263489442E-2</v>
      </c>
      <c r="K40" s="85">
        <f>I40/'סכום נכסי הקרן'!$C$42</f>
        <v>-1.5722711721889539E-5</v>
      </c>
    </row>
    <row r="41" spans="2:11">
      <c r="B41" s="77" t="s">
        <v>1133</v>
      </c>
      <c r="C41" s="74" t="s">
        <v>1134</v>
      </c>
      <c r="D41" s="87" t="s">
        <v>1081</v>
      </c>
      <c r="E41" s="87" t="s">
        <v>156</v>
      </c>
      <c r="F41" s="96">
        <v>43920</v>
      </c>
      <c r="G41" s="84">
        <v>9407.5189200000004</v>
      </c>
      <c r="H41" s="86">
        <v>-1.3667</v>
      </c>
      <c r="I41" s="84">
        <v>-0.128572139</v>
      </c>
      <c r="J41" s="85">
        <v>5.3068645659224193E-4</v>
      </c>
      <c r="K41" s="85">
        <f>I41/'סכום נכסי הקרן'!$C$42</f>
        <v>-4.4189167889883869E-7</v>
      </c>
    </row>
    <row r="42" spans="2:11">
      <c r="B42" s="77" t="s">
        <v>1135</v>
      </c>
      <c r="C42" s="74" t="s">
        <v>1136</v>
      </c>
      <c r="D42" s="87" t="s">
        <v>1081</v>
      </c>
      <c r="E42" s="87" t="s">
        <v>156</v>
      </c>
      <c r="F42" s="96">
        <v>43699</v>
      </c>
      <c r="G42" s="84">
        <v>144311.1</v>
      </c>
      <c r="H42" s="86">
        <v>-2.9838</v>
      </c>
      <c r="I42" s="84">
        <v>-4.3060200000000002</v>
      </c>
      <c r="J42" s="85">
        <v>1.7773263426964728E-2</v>
      </c>
      <c r="K42" s="85">
        <f>I42/'סכום נכסי הקרן'!$C$42</f>
        <v>-1.479943028070784E-5</v>
      </c>
    </row>
    <row r="43" spans="2:11">
      <c r="B43" s="77" t="s">
        <v>1137</v>
      </c>
      <c r="C43" s="74" t="s">
        <v>1138</v>
      </c>
      <c r="D43" s="87" t="s">
        <v>1081</v>
      </c>
      <c r="E43" s="87" t="s">
        <v>156</v>
      </c>
      <c r="F43" s="96">
        <v>43703</v>
      </c>
      <c r="G43" s="84">
        <v>70556.391896999994</v>
      </c>
      <c r="H43" s="86">
        <v>-3.3182</v>
      </c>
      <c r="I43" s="84">
        <v>-2.3412199620000003</v>
      </c>
      <c r="J43" s="85">
        <v>9.6634755818817281E-3</v>
      </c>
      <c r="K43" s="85">
        <f>I43/'סכום נכסי הקרן'!$C$42</f>
        <v>-8.0465770245889385E-6</v>
      </c>
    </row>
    <row r="44" spans="2:11">
      <c r="B44" s="77" t="s">
        <v>1139</v>
      </c>
      <c r="C44" s="74" t="s">
        <v>1140</v>
      </c>
      <c r="D44" s="87" t="s">
        <v>1081</v>
      </c>
      <c r="E44" s="87" t="s">
        <v>157</v>
      </c>
      <c r="F44" s="96">
        <v>43844</v>
      </c>
      <c r="G44" s="84">
        <v>272713.2</v>
      </c>
      <c r="H44" s="86">
        <v>-5.5403000000000002</v>
      </c>
      <c r="I44" s="84">
        <v>-15.10904</v>
      </c>
      <c r="J44" s="85">
        <v>6.2363144632060968E-2</v>
      </c>
      <c r="K44" s="85">
        <f>I44/'סכום נכסי הקרן'!$C$42</f>
        <v>-5.1928505693987947E-5</v>
      </c>
    </row>
    <row r="45" spans="2:11">
      <c r="B45" s="77" t="s">
        <v>1141</v>
      </c>
      <c r="C45" s="74" t="s">
        <v>1142</v>
      </c>
      <c r="D45" s="87" t="s">
        <v>1081</v>
      </c>
      <c r="E45" s="87" t="s">
        <v>156</v>
      </c>
      <c r="F45" s="96">
        <v>43914</v>
      </c>
      <c r="G45" s="84">
        <v>573030.9</v>
      </c>
      <c r="H45" s="86">
        <v>-0.53</v>
      </c>
      <c r="I45" s="84">
        <v>-3.03695</v>
      </c>
      <c r="J45" s="85">
        <v>1.2535128114713943E-2</v>
      </c>
      <c r="K45" s="85">
        <f>I45/'סכום נכסי הקרן'!$C$42</f>
        <v>-1.0437742925252477E-5</v>
      </c>
    </row>
    <row r="46" spans="2:11">
      <c r="B46" s="77" t="s">
        <v>1143</v>
      </c>
      <c r="C46" s="74" t="s">
        <v>1144</v>
      </c>
      <c r="D46" s="87" t="s">
        <v>1081</v>
      </c>
      <c r="E46" s="87" t="s">
        <v>156</v>
      </c>
      <c r="F46" s="96">
        <v>43872</v>
      </c>
      <c r="G46" s="84">
        <v>351106.16</v>
      </c>
      <c r="H46" s="86">
        <v>-4.4999999999999997E-3</v>
      </c>
      <c r="I46" s="84">
        <v>-1.593E-2</v>
      </c>
      <c r="J46" s="85">
        <v>6.5751688657170231E-5</v>
      </c>
      <c r="K46" s="85">
        <f>I46/'סכום נכסי הקרן'!$C$42</f>
        <v>-5.4750076490976793E-8</v>
      </c>
    </row>
    <row r="47" spans="2:11">
      <c r="B47" s="77" t="s">
        <v>1145</v>
      </c>
      <c r="C47" s="74" t="s">
        <v>1146</v>
      </c>
      <c r="D47" s="87" t="s">
        <v>1081</v>
      </c>
      <c r="E47" s="87" t="s">
        <v>156</v>
      </c>
      <c r="F47" s="96">
        <v>43753</v>
      </c>
      <c r="G47" s="84">
        <v>199885.70730400001</v>
      </c>
      <c r="H47" s="86">
        <v>1.8218000000000001</v>
      </c>
      <c r="I47" s="84">
        <v>3.641510384</v>
      </c>
      <c r="J47" s="85">
        <v>-1.5030474388613961E-2</v>
      </c>
      <c r="K47" s="85">
        <f>I47/'סכום נכסי הקרן'!$C$42</f>
        <v>1.2515566356979679E-5</v>
      </c>
    </row>
    <row r="48" spans="2:11">
      <c r="B48" s="77" t="s">
        <v>1147</v>
      </c>
      <c r="C48" s="74" t="s">
        <v>1148</v>
      </c>
      <c r="D48" s="87" t="s">
        <v>1081</v>
      </c>
      <c r="E48" s="87" t="s">
        <v>156</v>
      </c>
      <c r="F48" s="96">
        <v>43808</v>
      </c>
      <c r="G48" s="84">
        <v>457511.6</v>
      </c>
      <c r="H48" s="86">
        <v>1.9353</v>
      </c>
      <c r="I48" s="84">
        <v>8.8541000000000007</v>
      </c>
      <c r="J48" s="85">
        <v>-3.6545638828590771E-2</v>
      </c>
      <c r="K48" s="85">
        <f>I48/'סכום נכסי הקרן'!$C$42</f>
        <v>3.0430800518440532E-5</v>
      </c>
    </row>
    <row r="49" spans="2:11">
      <c r="B49" s="77" t="s">
        <v>1149</v>
      </c>
      <c r="C49" s="74" t="s">
        <v>1150</v>
      </c>
      <c r="D49" s="87" t="s">
        <v>1081</v>
      </c>
      <c r="E49" s="87" t="s">
        <v>156</v>
      </c>
      <c r="F49" s="96">
        <v>43822</v>
      </c>
      <c r="G49" s="84">
        <v>160094.87265100001</v>
      </c>
      <c r="H49" s="86">
        <v>1.9359</v>
      </c>
      <c r="I49" s="84">
        <v>3.0992304019999999</v>
      </c>
      <c r="J49" s="85">
        <v>-1.2792192873141275E-2</v>
      </c>
      <c r="K49" s="85">
        <f>I49/'סכום נכסי הקרן'!$C$42</f>
        <v>1.0651795453399921E-5</v>
      </c>
    </row>
    <row r="50" spans="2:11">
      <c r="B50" s="77" t="s">
        <v>1151</v>
      </c>
      <c r="C50" s="74" t="s">
        <v>1152</v>
      </c>
      <c r="D50" s="87" t="s">
        <v>1081</v>
      </c>
      <c r="E50" s="87" t="s">
        <v>156</v>
      </c>
      <c r="F50" s="96">
        <v>43894</v>
      </c>
      <c r="G50" s="84">
        <v>9678.7819529999997</v>
      </c>
      <c r="H50" s="86">
        <v>2.2446999999999999</v>
      </c>
      <c r="I50" s="84">
        <v>0.217257274</v>
      </c>
      <c r="J50" s="85">
        <v>-8.9673776764303355E-4</v>
      </c>
      <c r="K50" s="85">
        <f>I50/'סכום נכסי הקרן'!$C$42</f>
        <v>7.4669506401262426E-7</v>
      </c>
    </row>
    <row r="51" spans="2:11">
      <c r="B51" s="77" t="s">
        <v>1153</v>
      </c>
      <c r="C51" s="74" t="s">
        <v>1154</v>
      </c>
      <c r="D51" s="87" t="s">
        <v>1081</v>
      </c>
      <c r="E51" s="87" t="s">
        <v>156</v>
      </c>
      <c r="F51" s="96">
        <v>43678</v>
      </c>
      <c r="G51" s="84">
        <v>242528.469239</v>
      </c>
      <c r="H51" s="86">
        <v>2.8992</v>
      </c>
      <c r="I51" s="84">
        <v>7.0313593870000002</v>
      </c>
      <c r="J51" s="85">
        <v>-2.9022206732623686E-2</v>
      </c>
      <c r="K51" s="85">
        <f>I51/'סכום נכסי הקרן'!$C$42</f>
        <v>2.4166193614174368E-5</v>
      </c>
    </row>
    <row r="52" spans="2:11">
      <c r="B52" s="77" t="s">
        <v>1155</v>
      </c>
      <c r="C52" s="74" t="s">
        <v>1156</v>
      </c>
      <c r="D52" s="87" t="s">
        <v>1081</v>
      </c>
      <c r="E52" s="87" t="s">
        <v>156</v>
      </c>
      <c r="F52" s="96">
        <v>43650</v>
      </c>
      <c r="G52" s="84">
        <v>757256.09</v>
      </c>
      <c r="H52" s="86">
        <v>4.9969000000000001</v>
      </c>
      <c r="I52" s="84">
        <v>37.839550000000003</v>
      </c>
      <c r="J52" s="85">
        <v>-0.15618420028420751</v>
      </c>
      <c r="K52" s="85">
        <f>I52/'סכום נכסי הקרן'!$C$42</f>
        <v>1.3005136578054871E-4</v>
      </c>
    </row>
    <row r="53" spans="2:11">
      <c r="B53" s="77" t="s">
        <v>1157</v>
      </c>
      <c r="C53" s="74" t="s">
        <v>1158</v>
      </c>
      <c r="D53" s="87" t="s">
        <v>1081</v>
      </c>
      <c r="E53" s="87" t="s">
        <v>157</v>
      </c>
      <c r="F53" s="96">
        <v>43908</v>
      </c>
      <c r="G53" s="84">
        <v>337960.54846000002</v>
      </c>
      <c r="H53" s="86">
        <v>-5.0171000000000001</v>
      </c>
      <c r="I53" s="84">
        <v>-16.955825065000003</v>
      </c>
      <c r="J53" s="85">
        <v>6.9985821129901024E-2</v>
      </c>
      <c r="K53" s="85">
        <f>I53/'סכום נכסי הקרן'!$C$42</f>
        <v>-5.8275751367003873E-5</v>
      </c>
    </row>
    <row r="54" spans="2:11">
      <c r="B54" s="77" t="s">
        <v>1159</v>
      </c>
      <c r="C54" s="74" t="s">
        <v>1160</v>
      </c>
      <c r="D54" s="87" t="s">
        <v>1081</v>
      </c>
      <c r="E54" s="87" t="s">
        <v>157</v>
      </c>
      <c r="F54" s="96">
        <v>43720</v>
      </c>
      <c r="G54" s="84">
        <v>1020239.19</v>
      </c>
      <c r="H54" s="86">
        <v>0.68330000000000002</v>
      </c>
      <c r="I54" s="84">
        <v>6.9713700000000003</v>
      </c>
      <c r="J54" s="85">
        <v>-2.8774598226863578E-2</v>
      </c>
      <c r="K54" s="85">
        <f>I54/'סכום נכסי הקרן'!$C$42</f>
        <v>2.3960015112799807E-5</v>
      </c>
    </row>
    <row r="55" spans="2:11">
      <c r="B55" s="77" t="s">
        <v>1161</v>
      </c>
      <c r="C55" s="74" t="s">
        <v>1162</v>
      </c>
      <c r="D55" s="87" t="s">
        <v>1081</v>
      </c>
      <c r="E55" s="87" t="s">
        <v>157</v>
      </c>
      <c r="F55" s="96">
        <v>43787</v>
      </c>
      <c r="G55" s="84">
        <v>69666.16</v>
      </c>
      <c r="H55" s="86">
        <v>5.1352000000000002</v>
      </c>
      <c r="I55" s="84">
        <v>3.5774899999999996</v>
      </c>
      <c r="J55" s="85">
        <v>-1.4766227787453854E-2</v>
      </c>
      <c r="K55" s="85">
        <f>I55/'סכום נכסי הקרן'!$C$42</f>
        <v>1.2295533656353079E-5</v>
      </c>
    </row>
    <row r="56" spans="2:11">
      <c r="B56" s="77" t="s">
        <v>1163</v>
      </c>
      <c r="C56" s="74" t="s">
        <v>1164</v>
      </c>
      <c r="D56" s="87" t="s">
        <v>1081</v>
      </c>
      <c r="E56" s="87" t="s">
        <v>157</v>
      </c>
      <c r="F56" s="96">
        <v>43874</v>
      </c>
      <c r="G56" s="84">
        <v>69843.7</v>
      </c>
      <c r="H56" s="86">
        <v>5.3757999999999999</v>
      </c>
      <c r="I56" s="84">
        <v>3.7546900000000001</v>
      </c>
      <c r="J56" s="85">
        <v>-1.5497627613571279E-2</v>
      </c>
      <c r="K56" s="85">
        <f>I56/'סכום נכסי הקרן'!$C$42</f>
        <v>1.2904555222844047E-5</v>
      </c>
    </row>
    <row r="57" spans="2:11">
      <c r="B57" s="77" t="s">
        <v>1165</v>
      </c>
      <c r="C57" s="74" t="s">
        <v>1166</v>
      </c>
      <c r="D57" s="87" t="s">
        <v>1081</v>
      </c>
      <c r="E57" s="87" t="s">
        <v>157</v>
      </c>
      <c r="F57" s="96">
        <v>43845</v>
      </c>
      <c r="G57" s="84">
        <v>140514.74376700001</v>
      </c>
      <c r="H57" s="86">
        <v>5.2285000000000004</v>
      </c>
      <c r="I57" s="84">
        <v>7.346837614</v>
      </c>
      <c r="J57" s="85">
        <v>-3.0324355267452315E-2</v>
      </c>
      <c r="K57" s="85">
        <f>I57/'סכום נכסי הקרן'!$C$42</f>
        <v>2.5250465871518233E-5</v>
      </c>
    </row>
    <row r="58" spans="2:11">
      <c r="B58" s="77" t="s">
        <v>1167</v>
      </c>
      <c r="C58" s="74" t="s">
        <v>1168</v>
      </c>
      <c r="D58" s="87" t="s">
        <v>1081</v>
      </c>
      <c r="E58" s="87" t="s">
        <v>157</v>
      </c>
      <c r="F58" s="96">
        <v>43845</v>
      </c>
      <c r="G58" s="84">
        <v>187424.64815399999</v>
      </c>
      <c r="H58" s="86">
        <v>5.2645</v>
      </c>
      <c r="I58" s="84">
        <v>9.8670537550000006</v>
      </c>
      <c r="J58" s="85">
        <v>-4.0726644473466571E-2</v>
      </c>
      <c r="K58" s="85">
        <f>I58/'סכום נכסי הקרן'!$C$42</f>
        <v>3.391223777946201E-5</v>
      </c>
    </row>
    <row r="59" spans="2:11">
      <c r="B59" s="73"/>
      <c r="C59" s="74"/>
      <c r="D59" s="74"/>
      <c r="E59" s="74"/>
      <c r="F59" s="74"/>
      <c r="G59" s="84"/>
      <c r="H59" s="86"/>
      <c r="I59" s="74"/>
      <c r="J59" s="85"/>
      <c r="K59" s="74"/>
    </row>
    <row r="60" spans="2:11">
      <c r="B60" s="92" t="s">
        <v>218</v>
      </c>
      <c r="C60" s="72"/>
      <c r="D60" s="72"/>
      <c r="E60" s="72"/>
      <c r="F60" s="72"/>
      <c r="G60" s="81"/>
      <c r="H60" s="83"/>
      <c r="I60" s="81">
        <v>38.332992023999999</v>
      </c>
      <c r="J60" s="82">
        <v>-0.15822090124669413</v>
      </c>
      <c r="K60" s="82">
        <f>I60/'סכום נכסי הקרן'!$C$42</f>
        <v>1.3174728471073468E-4</v>
      </c>
    </row>
    <row r="61" spans="2:11">
      <c r="B61" s="77" t="s">
        <v>1169</v>
      </c>
      <c r="C61" s="74" t="s">
        <v>1170</v>
      </c>
      <c r="D61" s="87" t="s">
        <v>1081</v>
      </c>
      <c r="E61" s="87" t="s">
        <v>155</v>
      </c>
      <c r="F61" s="96">
        <v>43614</v>
      </c>
      <c r="G61" s="84">
        <v>5164.7340000000004</v>
      </c>
      <c r="H61" s="86">
        <v>0.28270000000000001</v>
      </c>
      <c r="I61" s="84">
        <v>1.4602665999999999E-2</v>
      </c>
      <c r="J61" s="85">
        <v>-6.0273066440467369E-5</v>
      </c>
      <c r="K61" s="85">
        <f>I61/'סכום נכסי הקרן'!$C$42</f>
        <v>5.0188140644832773E-8</v>
      </c>
    </row>
    <row r="62" spans="2:11">
      <c r="B62" s="77" t="s">
        <v>1169</v>
      </c>
      <c r="C62" s="74" t="s">
        <v>1096</v>
      </c>
      <c r="D62" s="87" t="s">
        <v>1081</v>
      </c>
      <c r="E62" s="87" t="s">
        <v>155</v>
      </c>
      <c r="F62" s="96">
        <v>43626</v>
      </c>
      <c r="G62" s="84">
        <v>1032946.8</v>
      </c>
      <c r="H62" s="86">
        <v>0.91120000000000001</v>
      </c>
      <c r="I62" s="84">
        <v>9.4125947749999987</v>
      </c>
      <c r="J62" s="85">
        <v>-3.8850847526798946E-2</v>
      </c>
      <c r="K62" s="85">
        <f>I62/'סכום נכסי הקרן'!$C$42</f>
        <v>3.2350300308212082E-5</v>
      </c>
    </row>
    <row r="63" spans="2:11">
      <c r="B63" s="77" t="s">
        <v>1169</v>
      </c>
      <c r="C63" s="74" t="s">
        <v>1090</v>
      </c>
      <c r="D63" s="87" t="s">
        <v>1081</v>
      </c>
      <c r="E63" s="87" t="s">
        <v>155</v>
      </c>
      <c r="F63" s="96">
        <v>43887</v>
      </c>
      <c r="G63" s="84">
        <v>516473.4</v>
      </c>
      <c r="H63" s="86">
        <v>2.5811000000000002</v>
      </c>
      <c r="I63" s="84">
        <v>13.330926049</v>
      </c>
      <c r="J63" s="85">
        <v>-5.5023910802611951E-2</v>
      </c>
      <c r="K63" s="85">
        <f>I63/'סכום נכסי הקרן'!$C$42</f>
        <v>4.5817276891293475E-5</v>
      </c>
    </row>
    <row r="64" spans="2:11">
      <c r="B64" s="77" t="s">
        <v>1169</v>
      </c>
      <c r="C64" s="74" t="s">
        <v>1171</v>
      </c>
      <c r="D64" s="87" t="s">
        <v>1081</v>
      </c>
      <c r="E64" s="87" t="s">
        <v>155</v>
      </c>
      <c r="F64" s="96">
        <v>43881</v>
      </c>
      <c r="G64" s="84">
        <v>1032946.8</v>
      </c>
      <c r="H64" s="86">
        <v>1.5078</v>
      </c>
      <c r="I64" s="84">
        <v>15.574868534</v>
      </c>
      <c r="J64" s="85">
        <v>-6.4285869850842767E-2</v>
      </c>
      <c r="K64" s="85">
        <f>I64/'סכום נכסי הקרן'!$C$42</f>
        <v>5.3529519370584282E-5</v>
      </c>
    </row>
    <row r="65" spans="2:4">
      <c r="C65" s="1"/>
      <c r="D65" s="1"/>
    </row>
    <row r="66" spans="2:4">
      <c r="C66" s="1"/>
      <c r="D66" s="1"/>
    </row>
    <row r="67" spans="2:4">
      <c r="C67" s="1"/>
      <c r="D67" s="1"/>
    </row>
    <row r="68" spans="2:4">
      <c r="B68" s="89" t="s">
        <v>240</v>
      </c>
      <c r="C68" s="1"/>
      <c r="D68" s="1"/>
    </row>
    <row r="69" spans="2:4">
      <c r="B69" s="89" t="s">
        <v>103</v>
      </c>
      <c r="C69" s="1"/>
      <c r="D69" s="1"/>
    </row>
    <row r="70" spans="2:4">
      <c r="B70" s="89" t="s">
        <v>222</v>
      </c>
      <c r="C70" s="1"/>
      <c r="D70" s="1"/>
    </row>
    <row r="71" spans="2:4">
      <c r="B71" s="89" t="s">
        <v>230</v>
      </c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1:XFD40 D44:XFD1048576 D41:AF43 AH41:XFD43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170</v>
      </c>
      <c r="C1" s="68" t="s" vm="1">
        <v>247</v>
      </c>
    </row>
    <row r="2" spans="2:78">
      <c r="B2" s="47" t="s">
        <v>169</v>
      </c>
      <c r="C2" s="68" t="s">
        <v>248</v>
      </c>
    </row>
    <row r="3" spans="2:78">
      <c r="B3" s="47" t="s">
        <v>171</v>
      </c>
      <c r="C3" s="68" t="s">
        <v>249</v>
      </c>
    </row>
    <row r="4" spans="2:78">
      <c r="B4" s="47" t="s">
        <v>172</v>
      </c>
      <c r="C4" s="68">
        <v>2144</v>
      </c>
    </row>
    <row r="6" spans="2:78" ht="26.25" customHeight="1">
      <c r="B6" s="134" t="s">
        <v>201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6"/>
    </row>
    <row r="7" spans="2:78" ht="26.25" customHeight="1">
      <c r="B7" s="134" t="s">
        <v>93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</row>
    <row r="8" spans="2:78" s="3" customFormat="1" ht="47.25">
      <c r="B8" s="22" t="s">
        <v>107</v>
      </c>
      <c r="C8" s="30" t="s">
        <v>41</v>
      </c>
      <c r="D8" s="30" t="s">
        <v>45</v>
      </c>
      <c r="E8" s="30" t="s">
        <v>14</v>
      </c>
      <c r="F8" s="30" t="s">
        <v>61</v>
      </c>
      <c r="G8" s="30" t="s">
        <v>95</v>
      </c>
      <c r="H8" s="30" t="s">
        <v>17</v>
      </c>
      <c r="I8" s="30" t="s">
        <v>94</v>
      </c>
      <c r="J8" s="30" t="s">
        <v>16</v>
      </c>
      <c r="K8" s="30" t="s">
        <v>18</v>
      </c>
      <c r="L8" s="30" t="s">
        <v>224</v>
      </c>
      <c r="M8" s="30" t="s">
        <v>223</v>
      </c>
      <c r="N8" s="30" t="s">
        <v>102</v>
      </c>
      <c r="O8" s="30" t="s">
        <v>53</v>
      </c>
      <c r="P8" s="30" t="s">
        <v>173</v>
      </c>
      <c r="Q8" s="31" t="s">
        <v>175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231</v>
      </c>
      <c r="M9" s="16"/>
      <c r="N9" s="16" t="s">
        <v>227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104</v>
      </c>
      <c r="R10" s="1"/>
      <c r="S10" s="1"/>
      <c r="T10" s="1"/>
      <c r="U10" s="1"/>
      <c r="V10" s="1"/>
    </row>
    <row r="11" spans="2:78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1"/>
      <c r="S11" s="1"/>
      <c r="T11" s="1"/>
      <c r="U11" s="1"/>
      <c r="V11" s="1"/>
      <c r="BZ11" s="1"/>
    </row>
    <row r="12" spans="2:78" ht="18" customHeight="1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</row>
    <row r="13" spans="2:78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</row>
    <row r="14" spans="2:78">
      <c r="B14" s="89" t="s">
        <v>222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</row>
    <row r="15" spans="2:78">
      <c r="B15" s="89" t="s">
        <v>230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2:7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</row>
    <row r="17" spans="2:17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</row>
    <row r="18" spans="2:17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</row>
    <row r="19" spans="2:17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</row>
    <row r="20" spans="2:17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</row>
    <row r="21" spans="2:17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</row>
    <row r="22" spans="2:17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</row>
    <row r="23" spans="2:17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</row>
    <row r="24" spans="2:17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2:17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</row>
    <row r="26" spans="2:17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7" spans="2:17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</row>
    <row r="28" spans="2:17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</row>
    <row r="29" spans="2:17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</row>
    <row r="30" spans="2:17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</row>
    <row r="31" spans="2:17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</row>
    <row r="32" spans="2:17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</row>
    <row r="33" spans="2:17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</row>
    <row r="34" spans="2:17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</row>
    <row r="35" spans="2:17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</row>
    <row r="36" spans="2:17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</row>
    <row r="37" spans="2:17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</row>
    <row r="38" spans="2:17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</row>
    <row r="39" spans="2:17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</row>
    <row r="40" spans="2:17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</row>
    <row r="41" spans="2:17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</row>
    <row r="42" spans="2:17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</row>
    <row r="43" spans="2:17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</row>
    <row r="44" spans="2:17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  <row r="45" spans="2:17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</row>
    <row r="46" spans="2:17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</row>
    <row r="47" spans="2:17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</row>
    <row r="48" spans="2:17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</row>
    <row r="49" spans="2:17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</row>
    <row r="50" spans="2:17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1" spans="2:17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</row>
    <row r="52" spans="2:17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</row>
    <row r="53" spans="2:17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</row>
    <row r="54" spans="2:17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</row>
    <row r="55" spans="2:17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</row>
    <row r="56" spans="2:17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</row>
    <row r="57" spans="2:17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</row>
    <row r="58" spans="2:17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</row>
    <row r="59" spans="2:17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</row>
    <row r="60" spans="2:17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</row>
    <row r="61" spans="2:17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</row>
    <row r="62" spans="2:17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</row>
    <row r="63" spans="2:17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</row>
    <row r="64" spans="2:17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</row>
    <row r="65" spans="2:17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</row>
    <row r="66" spans="2:17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</row>
    <row r="67" spans="2:17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</row>
    <row r="68" spans="2:17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</row>
    <row r="69" spans="2:17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</row>
    <row r="70" spans="2:17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</row>
    <row r="71" spans="2:17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2" spans="2:17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</row>
    <row r="73" spans="2:17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</row>
    <row r="74" spans="2:17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5" spans="2:17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</row>
    <row r="76" spans="2:17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</row>
    <row r="77" spans="2:17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</row>
    <row r="78" spans="2:17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</row>
    <row r="79" spans="2:17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</row>
    <row r="80" spans="2:17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</row>
    <row r="81" spans="2:17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</row>
    <row r="82" spans="2:17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</row>
    <row r="83" spans="2:17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</row>
    <row r="84" spans="2:17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</row>
    <row r="85" spans="2:17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</row>
    <row r="86" spans="2:17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</row>
    <row r="87" spans="2:17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</row>
    <row r="88" spans="2:17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</row>
    <row r="89" spans="2:17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</row>
    <row r="90" spans="2:17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</row>
    <row r="91" spans="2:17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</row>
    <row r="92" spans="2:17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</row>
    <row r="93" spans="2:17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</row>
    <row r="94" spans="2:17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</row>
    <row r="95" spans="2:17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</row>
    <row r="96" spans="2:17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2:17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</row>
    <row r="98" spans="2:17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</row>
    <row r="99" spans="2:17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</row>
    <row r="100" spans="2:17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</row>
    <row r="101" spans="2:17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</row>
    <row r="102" spans="2:17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2:17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</row>
    <row r="104" spans="2:17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</row>
    <row r="105" spans="2:17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</row>
    <row r="106" spans="2:17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</row>
    <row r="107" spans="2:17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</row>
    <row r="108" spans="2:17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</row>
    <row r="109" spans="2:17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</row>
    <row r="110" spans="2:17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E190"/>
  <sheetViews>
    <sheetView rightToLeft="1" topLeftCell="A163" zoomScale="90" zoomScaleNormal="90" workbookViewId="0">
      <selection activeCell="C186" sqref="C186"/>
    </sheetView>
  </sheetViews>
  <sheetFormatPr defaultColWidth="9.140625" defaultRowHeight="18"/>
  <cols>
    <col min="1" max="1" width="6.28515625" style="1" customWidth="1"/>
    <col min="2" max="2" width="46" style="2" bestFit="1" customWidth="1"/>
    <col min="3" max="3" width="49.28515625" style="2" bestFit="1" customWidth="1"/>
    <col min="4" max="4" width="10.140625" style="2" bestFit="1" customWidth="1"/>
    <col min="5" max="5" width="11.2851562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4.7109375" style="1" bestFit="1" customWidth="1"/>
    <col min="11" max="11" width="12.28515625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9" style="1" bestFit="1" customWidth="1"/>
    <col min="17" max="17" width="10" style="1" bestFit="1" customWidth="1"/>
    <col min="18" max="18" width="9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7">
      <c r="B1" s="47" t="s">
        <v>170</v>
      </c>
      <c r="C1" s="68" t="s" vm="1">
        <v>247</v>
      </c>
    </row>
    <row r="2" spans="2:57">
      <c r="B2" s="47" t="s">
        <v>169</v>
      </c>
      <c r="C2" s="68" t="s">
        <v>248</v>
      </c>
    </row>
    <row r="3" spans="2:57">
      <c r="B3" s="47" t="s">
        <v>171</v>
      </c>
      <c r="C3" s="68" t="s">
        <v>249</v>
      </c>
    </row>
    <row r="4" spans="2:57">
      <c r="B4" s="47" t="s">
        <v>172</v>
      </c>
      <c r="C4" s="68">
        <v>2144</v>
      </c>
    </row>
    <row r="6" spans="2:57" ht="26.25" customHeight="1">
      <c r="B6" s="134" t="s">
        <v>202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/>
    </row>
    <row r="7" spans="2:57" s="3" customFormat="1" ht="78.75">
      <c r="B7" s="48" t="s">
        <v>107</v>
      </c>
      <c r="C7" s="49" t="s">
        <v>214</v>
      </c>
      <c r="D7" s="49" t="s">
        <v>41</v>
      </c>
      <c r="E7" s="49" t="s">
        <v>108</v>
      </c>
      <c r="F7" s="49" t="s">
        <v>14</v>
      </c>
      <c r="G7" s="49" t="s">
        <v>95</v>
      </c>
      <c r="H7" s="49" t="s">
        <v>61</v>
      </c>
      <c r="I7" s="49" t="s">
        <v>17</v>
      </c>
      <c r="J7" s="49" t="s">
        <v>246</v>
      </c>
      <c r="K7" s="49" t="s">
        <v>94</v>
      </c>
      <c r="L7" s="49" t="s">
        <v>32</v>
      </c>
      <c r="M7" s="49" t="s">
        <v>18</v>
      </c>
      <c r="N7" s="49" t="s">
        <v>224</v>
      </c>
      <c r="O7" s="49" t="s">
        <v>223</v>
      </c>
      <c r="P7" s="49" t="s">
        <v>102</v>
      </c>
      <c r="Q7" s="49" t="s">
        <v>173</v>
      </c>
      <c r="R7" s="51" t="s">
        <v>175</v>
      </c>
      <c r="S7" s="1"/>
      <c r="BD7" s="3" t="s">
        <v>153</v>
      </c>
      <c r="BE7" s="3" t="s">
        <v>155</v>
      </c>
    </row>
    <row r="8" spans="2:57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231</v>
      </c>
      <c r="O8" s="16"/>
      <c r="P8" s="16" t="s">
        <v>227</v>
      </c>
      <c r="Q8" s="16" t="s">
        <v>19</v>
      </c>
      <c r="R8" s="17" t="s">
        <v>19</v>
      </c>
      <c r="S8" s="1"/>
      <c r="BD8" s="3" t="s">
        <v>151</v>
      </c>
      <c r="BE8" s="3" t="s">
        <v>154</v>
      </c>
    </row>
    <row r="9" spans="2:57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104</v>
      </c>
      <c r="R9" s="20" t="s">
        <v>105</v>
      </c>
      <c r="S9" s="1"/>
      <c r="BD9" s="4" t="s">
        <v>152</v>
      </c>
      <c r="BE9" s="4" t="s">
        <v>156</v>
      </c>
    </row>
    <row r="10" spans="2:57" s="4" customFormat="1" ht="18" customHeight="1">
      <c r="B10" s="69" t="s">
        <v>37</v>
      </c>
      <c r="C10" s="70"/>
      <c r="D10" s="70"/>
      <c r="E10" s="70"/>
      <c r="F10" s="70"/>
      <c r="G10" s="70"/>
      <c r="H10" s="70"/>
      <c r="I10" s="78">
        <v>5.554095783164783</v>
      </c>
      <c r="J10" s="70"/>
      <c r="K10" s="70"/>
      <c r="L10" s="70"/>
      <c r="M10" s="93">
        <v>3.5840000215125713E-2</v>
      </c>
      <c r="N10" s="78"/>
      <c r="O10" s="80"/>
      <c r="P10" s="78">
        <f>P11+P128</f>
        <v>9841.6869200000001</v>
      </c>
      <c r="Q10" s="79">
        <f>P10/$P$10</f>
        <v>1</v>
      </c>
      <c r="R10" s="79">
        <f>P10/'סכום נכסי הקרן'!$C$42</f>
        <v>3.3825054091038656E-2</v>
      </c>
      <c r="S10" s="1"/>
      <c r="BD10" s="1" t="s">
        <v>27</v>
      </c>
      <c r="BE10" s="4" t="s">
        <v>157</v>
      </c>
    </row>
    <row r="11" spans="2:57" ht="21.75" customHeight="1">
      <c r="B11" s="71" t="s">
        <v>35</v>
      </c>
      <c r="C11" s="72"/>
      <c r="D11" s="72"/>
      <c r="E11" s="72"/>
      <c r="F11" s="72"/>
      <c r="G11" s="72"/>
      <c r="H11" s="72"/>
      <c r="I11" s="81">
        <v>6.0923686474214662</v>
      </c>
      <c r="J11" s="72"/>
      <c r="K11" s="72"/>
      <c r="L11" s="72"/>
      <c r="M11" s="94">
        <v>3.4283638813635914E-2</v>
      </c>
      <c r="N11" s="81"/>
      <c r="O11" s="83"/>
      <c r="P11" s="81">
        <f>P12+P33</f>
        <v>6569.5299599999998</v>
      </c>
      <c r="Q11" s="82">
        <f t="shared" ref="Q11:Q30" si="0">P11/$P$10</f>
        <v>0.66752072214871871</v>
      </c>
      <c r="R11" s="82">
        <f>P11/'סכום נכסי הקרן'!$C$42</f>
        <v>2.2578924533569598E-2</v>
      </c>
      <c r="BE11" s="1" t="s">
        <v>163</v>
      </c>
    </row>
    <row r="12" spans="2:57">
      <c r="B12" s="92" t="s">
        <v>33</v>
      </c>
      <c r="C12" s="72"/>
      <c r="D12" s="72"/>
      <c r="E12" s="72"/>
      <c r="F12" s="72"/>
      <c r="G12" s="72"/>
      <c r="H12" s="72"/>
      <c r="I12" s="81">
        <v>8.0012292372418408</v>
      </c>
      <c r="J12" s="72"/>
      <c r="K12" s="72"/>
      <c r="L12" s="72"/>
      <c r="M12" s="94">
        <v>2.1780958632163904E-2</v>
      </c>
      <c r="N12" s="81"/>
      <c r="O12" s="83"/>
      <c r="P12" s="81">
        <f>SUM(P13:P31)</f>
        <v>2657.3386599999994</v>
      </c>
      <c r="Q12" s="82">
        <f t="shared" si="0"/>
        <v>0.27000845298175769</v>
      </c>
      <c r="R12" s="82">
        <f>P12/'סכום נכסי הקרן'!$C$42</f>
        <v>9.1330505271456208E-3</v>
      </c>
      <c r="BE12" s="1" t="s">
        <v>158</v>
      </c>
    </row>
    <row r="13" spans="2:57">
      <c r="B13" s="77" t="s">
        <v>1278</v>
      </c>
      <c r="C13" s="87" t="s">
        <v>1200</v>
      </c>
      <c r="D13" s="74">
        <v>6028</v>
      </c>
      <c r="E13" s="74"/>
      <c r="F13" s="74" t="s">
        <v>550</v>
      </c>
      <c r="G13" s="96">
        <v>43100</v>
      </c>
      <c r="H13" s="74"/>
      <c r="I13" s="84">
        <v>9.8899999999999988</v>
      </c>
      <c r="J13" s="87" t="s">
        <v>27</v>
      </c>
      <c r="K13" s="87" t="s">
        <v>155</v>
      </c>
      <c r="L13" s="88">
        <v>2.5900000000000003E-2</v>
      </c>
      <c r="M13" s="88">
        <v>2.5900000000000003E-2</v>
      </c>
      <c r="N13" s="84">
        <v>72155.64</v>
      </c>
      <c r="O13" s="86">
        <v>101.67</v>
      </c>
      <c r="P13" s="84">
        <v>73.360640000000004</v>
      </c>
      <c r="Q13" s="85">
        <f t="shared" si="0"/>
        <v>7.4540717050161969E-3</v>
      </c>
      <c r="R13" s="85">
        <f>P13/'סכום נכסי הקרן'!$C$42</f>
        <v>2.521343786206536E-4</v>
      </c>
      <c r="BE13" s="1" t="s">
        <v>159</v>
      </c>
    </row>
    <row r="14" spans="2:57">
      <c r="B14" s="77" t="s">
        <v>1278</v>
      </c>
      <c r="C14" s="87" t="s">
        <v>1200</v>
      </c>
      <c r="D14" s="74">
        <v>6869</v>
      </c>
      <c r="E14" s="74"/>
      <c r="F14" s="74" t="s">
        <v>550</v>
      </c>
      <c r="G14" s="96">
        <v>43555</v>
      </c>
      <c r="H14" s="74"/>
      <c r="I14" s="84">
        <v>4.8599999999999994</v>
      </c>
      <c r="J14" s="87" t="s">
        <v>27</v>
      </c>
      <c r="K14" s="87" t="s">
        <v>155</v>
      </c>
      <c r="L14" s="88">
        <v>3.6799999999999999E-2</v>
      </c>
      <c r="M14" s="88">
        <v>3.6799999999999999E-2</v>
      </c>
      <c r="N14" s="84">
        <v>18856.22</v>
      </c>
      <c r="O14" s="86">
        <v>110.23</v>
      </c>
      <c r="P14" s="84">
        <v>20.785209999999999</v>
      </c>
      <c r="Q14" s="85">
        <f t="shared" si="0"/>
        <v>2.1119560263353713E-3</v>
      </c>
      <c r="R14" s="85">
        <f>P14/'סכום נכסי הקרן'!$C$42</f>
        <v>7.1437026828688997E-5</v>
      </c>
      <c r="BE14" s="1" t="s">
        <v>160</v>
      </c>
    </row>
    <row r="15" spans="2:57">
      <c r="B15" s="77" t="s">
        <v>1278</v>
      </c>
      <c r="C15" s="87" t="s">
        <v>1200</v>
      </c>
      <c r="D15" s="74">
        <v>6870</v>
      </c>
      <c r="E15" s="74"/>
      <c r="F15" s="74" t="s">
        <v>550</v>
      </c>
      <c r="G15" s="96">
        <v>43555</v>
      </c>
      <c r="H15" s="74"/>
      <c r="I15" s="84">
        <v>6.74</v>
      </c>
      <c r="J15" s="87" t="s">
        <v>27</v>
      </c>
      <c r="K15" s="87" t="s">
        <v>155</v>
      </c>
      <c r="L15" s="88">
        <v>1.61E-2</v>
      </c>
      <c r="M15" s="88">
        <v>1.61E-2</v>
      </c>
      <c r="N15" s="84">
        <v>184688.69</v>
      </c>
      <c r="O15" s="86">
        <v>101.61</v>
      </c>
      <c r="P15" s="84">
        <v>187.66218000000001</v>
      </c>
      <c r="Q15" s="85">
        <f t="shared" si="0"/>
        <v>1.9068090818723179E-2</v>
      </c>
      <c r="R15" s="85">
        <f>P15/'סכום נכסי הקרן'!$C$42</f>
        <v>6.4497920335614915E-4</v>
      </c>
      <c r="BE15" s="1" t="s">
        <v>162</v>
      </c>
    </row>
    <row r="16" spans="2:57">
      <c r="B16" s="77" t="s">
        <v>1278</v>
      </c>
      <c r="C16" s="87" t="s">
        <v>1200</v>
      </c>
      <c r="D16" s="74">
        <v>6868</v>
      </c>
      <c r="E16" s="74"/>
      <c r="F16" s="74" t="s">
        <v>550</v>
      </c>
      <c r="G16" s="96">
        <v>43555</v>
      </c>
      <c r="H16" s="74"/>
      <c r="I16" s="84">
        <v>6.6399999999999988</v>
      </c>
      <c r="J16" s="87" t="s">
        <v>27</v>
      </c>
      <c r="K16" s="87" t="s">
        <v>155</v>
      </c>
      <c r="L16" s="88">
        <v>2.0999999999999998E-2</v>
      </c>
      <c r="M16" s="88">
        <v>2.0999999999999998E-2</v>
      </c>
      <c r="N16" s="84">
        <v>33760.629999999997</v>
      </c>
      <c r="O16" s="86">
        <v>109.23</v>
      </c>
      <c r="P16" s="84">
        <v>36.876730000000002</v>
      </c>
      <c r="Q16" s="85">
        <f t="shared" si="0"/>
        <v>3.7469927970437819E-3</v>
      </c>
      <c r="R16" s="85">
        <f>P16/'סכום נכסי הקרן'!$C$42</f>
        <v>1.2674223403873815E-4</v>
      </c>
      <c r="BE16" s="1" t="s">
        <v>161</v>
      </c>
    </row>
    <row r="17" spans="2:57">
      <c r="B17" s="77" t="s">
        <v>1278</v>
      </c>
      <c r="C17" s="87" t="s">
        <v>1200</v>
      </c>
      <c r="D17" s="74">
        <v>6867</v>
      </c>
      <c r="E17" s="74"/>
      <c r="F17" s="74" t="s">
        <v>550</v>
      </c>
      <c r="G17" s="96">
        <v>43555</v>
      </c>
      <c r="H17" s="74"/>
      <c r="I17" s="84">
        <v>6.61</v>
      </c>
      <c r="J17" s="87" t="s">
        <v>27</v>
      </c>
      <c r="K17" s="87" t="s">
        <v>155</v>
      </c>
      <c r="L17" s="88">
        <v>1.2699999999999999E-2</v>
      </c>
      <c r="M17" s="88">
        <v>1.2699999999999999E-2</v>
      </c>
      <c r="N17" s="84">
        <v>85359.9</v>
      </c>
      <c r="O17" s="86">
        <v>107.7</v>
      </c>
      <c r="P17" s="84">
        <v>91.93258999999999</v>
      </c>
      <c r="Q17" s="85">
        <f t="shared" si="0"/>
        <v>9.3411414879675924E-3</v>
      </c>
      <c r="R17" s="85">
        <f>P17/'סכום נכסי הקרן'!$C$42</f>
        <v>3.1596461610254914E-4</v>
      </c>
      <c r="BE17" s="1" t="s">
        <v>164</v>
      </c>
    </row>
    <row r="18" spans="2:57">
      <c r="B18" s="77" t="s">
        <v>1278</v>
      </c>
      <c r="C18" s="87" t="s">
        <v>1200</v>
      </c>
      <c r="D18" s="74">
        <v>6866</v>
      </c>
      <c r="E18" s="74"/>
      <c r="F18" s="74" t="s">
        <v>550</v>
      </c>
      <c r="G18" s="96">
        <v>43555</v>
      </c>
      <c r="H18" s="74"/>
      <c r="I18" s="84">
        <v>7.3100000000000005</v>
      </c>
      <c r="J18" s="87" t="s">
        <v>27</v>
      </c>
      <c r="K18" s="87" t="s">
        <v>155</v>
      </c>
      <c r="L18" s="88">
        <v>7.0999999999999995E-3</v>
      </c>
      <c r="M18" s="88">
        <v>7.0999999999999995E-3</v>
      </c>
      <c r="N18" s="84">
        <v>119084.35</v>
      </c>
      <c r="O18" s="86">
        <v>103.72</v>
      </c>
      <c r="P18" s="84">
        <v>123.51427000000001</v>
      </c>
      <c r="Q18" s="85">
        <f t="shared" si="0"/>
        <v>1.2550111683495822E-2</v>
      </c>
      <c r="R18" s="85">
        <f>P18/'סכום נכסי הקרן'!$C$42</f>
        <v>4.2450820654282238E-4</v>
      </c>
      <c r="BE18" s="1" t="s">
        <v>165</v>
      </c>
    </row>
    <row r="19" spans="2:57">
      <c r="B19" s="77" t="s">
        <v>1278</v>
      </c>
      <c r="C19" s="87" t="s">
        <v>1200</v>
      </c>
      <c r="D19" s="74">
        <v>6865</v>
      </c>
      <c r="E19" s="74"/>
      <c r="F19" s="74" t="s">
        <v>550</v>
      </c>
      <c r="G19" s="96">
        <v>43555</v>
      </c>
      <c r="H19" s="74"/>
      <c r="I19" s="84">
        <v>4.8</v>
      </c>
      <c r="J19" s="87" t="s">
        <v>27</v>
      </c>
      <c r="K19" s="87" t="s">
        <v>155</v>
      </c>
      <c r="L19" s="88">
        <v>2.5600000000000001E-2</v>
      </c>
      <c r="M19" s="88">
        <v>2.5600000000000001E-2</v>
      </c>
      <c r="N19" s="84">
        <v>82030.149999999994</v>
      </c>
      <c r="O19" s="86">
        <v>111.51</v>
      </c>
      <c r="P19" s="84">
        <v>91.471829999999997</v>
      </c>
      <c r="Q19" s="85">
        <f t="shared" si="0"/>
        <v>9.2943243108164226E-3</v>
      </c>
      <c r="R19" s="85">
        <f>P19/'סכום נכסי הקרן'!$C$42</f>
        <v>3.1438102255302105E-4</v>
      </c>
      <c r="BE19" s="1" t="s">
        <v>166</v>
      </c>
    </row>
    <row r="20" spans="2:57">
      <c r="B20" s="77" t="s">
        <v>1278</v>
      </c>
      <c r="C20" s="87" t="s">
        <v>1200</v>
      </c>
      <c r="D20" s="74">
        <v>5212</v>
      </c>
      <c r="E20" s="74"/>
      <c r="F20" s="74" t="s">
        <v>550</v>
      </c>
      <c r="G20" s="96">
        <v>42643</v>
      </c>
      <c r="H20" s="74"/>
      <c r="I20" s="84">
        <v>8.52</v>
      </c>
      <c r="J20" s="87" t="s">
        <v>27</v>
      </c>
      <c r="K20" s="87" t="s">
        <v>155</v>
      </c>
      <c r="L20" s="88">
        <v>2.1100000000000004E-2</v>
      </c>
      <c r="M20" s="88">
        <v>2.1100000000000004E-2</v>
      </c>
      <c r="N20" s="84">
        <v>164186.96</v>
      </c>
      <c r="O20" s="86">
        <v>99.82</v>
      </c>
      <c r="P20" s="84">
        <f>163.89142-0.05795</f>
        <v>163.83347000000001</v>
      </c>
      <c r="Q20" s="85">
        <f t="shared" si="0"/>
        <v>1.6646889027435146E-2</v>
      </c>
      <c r="R20" s="85">
        <f>P20/'סכום נכסי הקרן'!$C$42</f>
        <v>5.6308192180051168E-4</v>
      </c>
      <c r="BE20" s="1" t="s">
        <v>167</v>
      </c>
    </row>
    <row r="21" spans="2:57">
      <c r="B21" s="77" t="s">
        <v>1278</v>
      </c>
      <c r="C21" s="87" t="s">
        <v>1200</v>
      </c>
      <c r="D21" s="74">
        <v>5211</v>
      </c>
      <c r="E21" s="74"/>
      <c r="F21" s="74" t="s">
        <v>550</v>
      </c>
      <c r="G21" s="96">
        <v>42643</v>
      </c>
      <c r="H21" s="74"/>
      <c r="I21" s="84">
        <v>5.6499999999999995</v>
      </c>
      <c r="J21" s="87" t="s">
        <v>27</v>
      </c>
      <c r="K21" s="87" t="s">
        <v>155</v>
      </c>
      <c r="L21" s="88">
        <v>3.0899999999999997E-2</v>
      </c>
      <c r="M21" s="88">
        <v>3.0899999999999997E-2</v>
      </c>
      <c r="N21" s="84">
        <v>152938.53</v>
      </c>
      <c r="O21" s="86">
        <v>104.45</v>
      </c>
      <c r="P21" s="84">
        <v>159.74429000000001</v>
      </c>
      <c r="Q21" s="85">
        <f t="shared" si="0"/>
        <v>1.6231393184777312E-2</v>
      </c>
      <c r="R21" s="85">
        <f>P21/'סכום נכסי הקרן'!$C$42</f>
        <v>5.4902775244800874E-4</v>
      </c>
      <c r="BE21" s="1" t="s">
        <v>168</v>
      </c>
    </row>
    <row r="22" spans="2:57">
      <c r="B22" s="77" t="s">
        <v>1278</v>
      </c>
      <c r="C22" s="87" t="s">
        <v>1200</v>
      </c>
      <c r="D22" s="74">
        <v>6027</v>
      </c>
      <c r="E22" s="74"/>
      <c r="F22" s="74" t="s">
        <v>550</v>
      </c>
      <c r="G22" s="96">
        <v>43100</v>
      </c>
      <c r="H22" s="74"/>
      <c r="I22" s="84">
        <v>10.06</v>
      </c>
      <c r="J22" s="87" t="s">
        <v>27</v>
      </c>
      <c r="K22" s="87" t="s">
        <v>155</v>
      </c>
      <c r="L22" s="88">
        <v>2.0900000000000002E-2</v>
      </c>
      <c r="M22" s="88">
        <v>2.0900000000000002E-2</v>
      </c>
      <c r="N22" s="84">
        <v>275484.36</v>
      </c>
      <c r="O22" s="86">
        <v>101.61</v>
      </c>
      <c r="P22" s="84">
        <v>279.91965999999996</v>
      </c>
      <c r="Q22" s="85">
        <f t="shared" si="0"/>
        <v>2.84422439237683E-2</v>
      </c>
      <c r="R22" s="85">
        <f>P22/'סכום נכסי הקרן'!$C$42</f>
        <v>9.6206043919197829E-4</v>
      </c>
      <c r="BE22" s="1" t="s">
        <v>27</v>
      </c>
    </row>
    <row r="23" spans="2:57">
      <c r="B23" s="77" t="s">
        <v>1278</v>
      </c>
      <c r="C23" s="87" t="s">
        <v>1200</v>
      </c>
      <c r="D23" s="74">
        <v>5025</v>
      </c>
      <c r="E23" s="74"/>
      <c r="F23" s="74" t="s">
        <v>550</v>
      </c>
      <c r="G23" s="96">
        <v>42551</v>
      </c>
      <c r="H23" s="74"/>
      <c r="I23" s="84">
        <v>9.4599999999999991</v>
      </c>
      <c r="J23" s="87" t="s">
        <v>27</v>
      </c>
      <c r="K23" s="87" t="s">
        <v>155</v>
      </c>
      <c r="L23" s="88">
        <v>2.3599999999999999E-2</v>
      </c>
      <c r="M23" s="88">
        <v>2.3599999999999999E-2</v>
      </c>
      <c r="N23" s="84">
        <v>157682.28</v>
      </c>
      <c r="O23" s="86">
        <v>98.34</v>
      </c>
      <c r="P23" s="84">
        <v>155.06475</v>
      </c>
      <c r="Q23" s="85">
        <f t="shared" si="0"/>
        <v>1.5755911690797823E-2</v>
      </c>
      <c r="R23" s="85">
        <f>P23/'סכום נכסי הקרן'!$C$42</f>
        <v>5.3294456519486469E-4</v>
      </c>
    </row>
    <row r="24" spans="2:57">
      <c r="B24" s="77" t="s">
        <v>1278</v>
      </c>
      <c r="C24" s="87" t="s">
        <v>1200</v>
      </c>
      <c r="D24" s="74">
        <v>5024</v>
      </c>
      <c r="E24" s="74"/>
      <c r="F24" s="74" t="s">
        <v>550</v>
      </c>
      <c r="G24" s="96">
        <v>42551</v>
      </c>
      <c r="H24" s="74"/>
      <c r="I24" s="84">
        <v>6.81</v>
      </c>
      <c r="J24" s="87" t="s">
        <v>27</v>
      </c>
      <c r="K24" s="87" t="s">
        <v>155</v>
      </c>
      <c r="L24" s="88">
        <v>3.2599999999999997E-2</v>
      </c>
      <c r="M24" s="88">
        <v>3.2599999999999997E-2</v>
      </c>
      <c r="N24" s="84">
        <v>119990.45</v>
      </c>
      <c r="O24" s="86">
        <v>107.73</v>
      </c>
      <c r="P24" s="84">
        <v>129.26571000000001</v>
      </c>
      <c r="Q24" s="85">
        <f t="shared" si="0"/>
        <v>1.3134507432593681E-2</v>
      </c>
      <c r="R24" s="85">
        <f>P24/'סכום נכסי הקרן'!$C$42</f>
        <v>4.4427542436663054E-4</v>
      </c>
    </row>
    <row r="25" spans="2:57">
      <c r="B25" s="77" t="s">
        <v>1278</v>
      </c>
      <c r="C25" s="87" t="s">
        <v>1200</v>
      </c>
      <c r="D25" s="74">
        <v>6026</v>
      </c>
      <c r="E25" s="74"/>
      <c r="F25" s="74" t="s">
        <v>550</v>
      </c>
      <c r="G25" s="96">
        <v>43100</v>
      </c>
      <c r="H25" s="74"/>
      <c r="I25" s="84">
        <v>7.54</v>
      </c>
      <c r="J25" s="87" t="s">
        <v>27</v>
      </c>
      <c r="K25" s="87" t="s">
        <v>155</v>
      </c>
      <c r="L25" s="88">
        <v>3.0700000000000002E-2</v>
      </c>
      <c r="M25" s="88">
        <v>3.0700000000000002E-2</v>
      </c>
      <c r="N25" s="84">
        <v>367261.69</v>
      </c>
      <c r="O25" s="86">
        <v>105.49</v>
      </c>
      <c r="P25" s="84">
        <v>387.42435999999998</v>
      </c>
      <c r="Q25" s="85">
        <f t="shared" si="0"/>
        <v>3.9365645661079411E-2</v>
      </c>
      <c r="R25" s="85">
        <f>P25/'סכום נכסי הקרן'!$C$42</f>
        <v>1.3315450938146721E-3</v>
      </c>
    </row>
    <row r="26" spans="2:57">
      <c r="B26" s="77" t="s">
        <v>1278</v>
      </c>
      <c r="C26" s="87" t="s">
        <v>1200</v>
      </c>
      <c r="D26" s="74">
        <v>5023</v>
      </c>
      <c r="E26" s="74"/>
      <c r="F26" s="74" t="s">
        <v>550</v>
      </c>
      <c r="G26" s="96">
        <v>42551</v>
      </c>
      <c r="H26" s="74"/>
      <c r="I26" s="84">
        <v>9.49</v>
      </c>
      <c r="J26" s="87" t="s">
        <v>27</v>
      </c>
      <c r="K26" s="87" t="s">
        <v>155</v>
      </c>
      <c r="L26" s="88">
        <v>1.55E-2</v>
      </c>
      <c r="M26" s="88">
        <v>1.55E-2</v>
      </c>
      <c r="N26" s="84">
        <v>141630.75</v>
      </c>
      <c r="O26" s="86">
        <v>99.13</v>
      </c>
      <c r="P26" s="84">
        <v>140.39848999999998</v>
      </c>
      <c r="Q26" s="85">
        <f t="shared" si="0"/>
        <v>1.4265693589041744E-2</v>
      </c>
      <c r="R26" s="85">
        <f>P26/'סכום נכסי הקרן'!$C$42</f>
        <v>4.8253785729552033E-4</v>
      </c>
    </row>
    <row r="27" spans="2:57">
      <c r="B27" s="77" t="s">
        <v>1278</v>
      </c>
      <c r="C27" s="87" t="s">
        <v>1200</v>
      </c>
      <c r="D27" s="74">
        <v>5210</v>
      </c>
      <c r="E27" s="74"/>
      <c r="F27" s="74" t="s">
        <v>550</v>
      </c>
      <c r="G27" s="96">
        <v>42643</v>
      </c>
      <c r="H27" s="74"/>
      <c r="I27" s="84">
        <v>8.67</v>
      </c>
      <c r="J27" s="87" t="s">
        <v>27</v>
      </c>
      <c r="K27" s="87" t="s">
        <v>155</v>
      </c>
      <c r="L27" s="88">
        <v>8.6999999999999994E-3</v>
      </c>
      <c r="M27" s="88">
        <v>8.6999999999999994E-3</v>
      </c>
      <c r="N27" s="84">
        <v>119787.15</v>
      </c>
      <c r="O27" s="86">
        <v>104.81</v>
      </c>
      <c r="P27" s="84">
        <f>125.54885-0.01126</f>
        <v>125.53759000000001</v>
      </c>
      <c r="Q27" s="85">
        <f t="shared" si="0"/>
        <v>1.2755698389966668E-2</v>
      </c>
      <c r="R27" s="85">
        <f>P27/'סכום נכסי הקרן'!$C$42</f>
        <v>4.3146218800959723E-4</v>
      </c>
    </row>
    <row r="28" spans="2:57">
      <c r="B28" s="77" t="s">
        <v>1278</v>
      </c>
      <c r="C28" s="87" t="s">
        <v>1200</v>
      </c>
      <c r="D28" s="74">
        <v>6025</v>
      </c>
      <c r="E28" s="74"/>
      <c r="F28" s="74" t="s">
        <v>550</v>
      </c>
      <c r="G28" s="96">
        <v>43100</v>
      </c>
      <c r="H28" s="74"/>
      <c r="I28" s="84">
        <v>9.8800000000000008</v>
      </c>
      <c r="J28" s="87" t="s">
        <v>27</v>
      </c>
      <c r="K28" s="87" t="s">
        <v>155</v>
      </c>
      <c r="L28" s="88">
        <v>1.54E-2</v>
      </c>
      <c r="M28" s="88">
        <v>1.54E-2</v>
      </c>
      <c r="N28" s="84">
        <v>153726.32</v>
      </c>
      <c r="O28" s="86">
        <v>106.84</v>
      </c>
      <c r="P28" s="84">
        <v>164.24117999999999</v>
      </c>
      <c r="Q28" s="85">
        <f t="shared" si="0"/>
        <v>1.6688315868515758E-2</v>
      </c>
      <c r="R28" s="85">
        <f>P28/'סכום נכסי הקרן'!$C$42</f>
        <v>5.6448318694088428E-4</v>
      </c>
    </row>
    <row r="29" spans="2:57">
      <c r="B29" s="77" t="s">
        <v>1278</v>
      </c>
      <c r="C29" s="87" t="s">
        <v>1200</v>
      </c>
      <c r="D29" s="74">
        <v>5022</v>
      </c>
      <c r="E29" s="74"/>
      <c r="F29" s="74" t="s">
        <v>550</v>
      </c>
      <c r="G29" s="96">
        <v>42551</v>
      </c>
      <c r="H29" s="74"/>
      <c r="I29" s="84">
        <v>7.870000000000001</v>
      </c>
      <c r="J29" s="87" t="s">
        <v>27</v>
      </c>
      <c r="K29" s="87" t="s">
        <v>155</v>
      </c>
      <c r="L29" s="88">
        <v>2.5099999999999997E-2</v>
      </c>
      <c r="M29" s="88">
        <v>2.5099999999999997E-2</v>
      </c>
      <c r="N29" s="84">
        <v>103784.15</v>
      </c>
      <c r="O29" s="86">
        <v>102.6</v>
      </c>
      <c r="P29" s="84">
        <v>106.48250999999999</v>
      </c>
      <c r="Q29" s="85">
        <f t="shared" si="0"/>
        <v>1.0819538445549332E-2</v>
      </c>
      <c r="R29" s="85">
        <f>P29/'סכום נכסי הקרן'!$C$42</f>
        <v>3.6597147316077844E-4</v>
      </c>
    </row>
    <row r="30" spans="2:57">
      <c r="B30" s="77" t="s">
        <v>1278</v>
      </c>
      <c r="C30" s="87" t="s">
        <v>1200</v>
      </c>
      <c r="D30" s="74">
        <v>6024</v>
      </c>
      <c r="E30" s="74"/>
      <c r="F30" s="74" t="s">
        <v>550</v>
      </c>
      <c r="G30" s="96">
        <v>43100</v>
      </c>
      <c r="H30" s="74"/>
      <c r="I30" s="84">
        <v>8.56</v>
      </c>
      <c r="J30" s="87" t="s">
        <v>27</v>
      </c>
      <c r="K30" s="87" t="s">
        <v>155</v>
      </c>
      <c r="L30" s="88">
        <v>1.9500000000000003E-2</v>
      </c>
      <c r="M30" s="88">
        <v>1.9500000000000003E-2</v>
      </c>
      <c r="N30" s="84">
        <v>119354.37</v>
      </c>
      <c r="O30" s="86">
        <v>107.64</v>
      </c>
      <c r="P30" s="84">
        <v>128.47306</v>
      </c>
      <c r="Q30" s="85">
        <f t="shared" si="0"/>
        <v>1.3053967378186015E-2</v>
      </c>
      <c r="R30" s="85">
        <f>P30/'סכום נכסי הקרן'!$C$42</f>
        <v>4.4155115266979606E-4</v>
      </c>
    </row>
    <row r="31" spans="2:57">
      <c r="B31" s="77" t="s">
        <v>1278</v>
      </c>
      <c r="C31" s="87" t="s">
        <v>1200</v>
      </c>
      <c r="D31" s="74">
        <v>5209</v>
      </c>
      <c r="E31" s="74"/>
      <c r="F31" s="74" t="s">
        <v>550</v>
      </c>
      <c r="G31" s="96">
        <v>42643</v>
      </c>
      <c r="H31" s="74"/>
      <c r="I31" s="84">
        <v>6.7</v>
      </c>
      <c r="J31" s="87" t="s">
        <v>27</v>
      </c>
      <c r="K31" s="87" t="s">
        <v>155</v>
      </c>
      <c r="L31" s="88">
        <v>2.2400000000000003E-2</v>
      </c>
      <c r="M31" s="88">
        <v>2.2400000000000003E-2</v>
      </c>
      <c r="N31" s="84">
        <v>88372.92</v>
      </c>
      <c r="O31" s="86">
        <v>103.4</v>
      </c>
      <c r="P31" s="84">
        <f>91.37762-0.02748</f>
        <v>91.350139999999996</v>
      </c>
      <c r="Q31" s="85">
        <f>P31/$P$10</f>
        <v>9.2819595606481661E-3</v>
      </c>
      <c r="R31" s="85">
        <f>P31/'סכום נכסי הקרן'!$C$42</f>
        <v>3.1396278420975761E-4</v>
      </c>
    </row>
    <row r="32" spans="2:57">
      <c r="B32" s="73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84"/>
      <c r="O32" s="86"/>
      <c r="P32" s="74"/>
      <c r="Q32" s="85"/>
      <c r="R32" s="74"/>
    </row>
    <row r="33" spans="2:18">
      <c r="B33" s="92" t="s">
        <v>34</v>
      </c>
      <c r="C33" s="72"/>
      <c r="D33" s="72"/>
      <c r="E33" s="72"/>
      <c r="F33" s="72"/>
      <c r="G33" s="72"/>
      <c r="H33" s="72"/>
      <c r="I33" s="81">
        <v>4.7957042987004854</v>
      </c>
      <c r="J33" s="72"/>
      <c r="K33" s="72"/>
      <c r="L33" s="72"/>
      <c r="M33" s="94">
        <v>4.277654800838266E-2</v>
      </c>
      <c r="N33" s="81"/>
      <c r="O33" s="83"/>
      <c r="P33" s="81">
        <f>SUM(P34:P126)</f>
        <v>3912.1913</v>
      </c>
      <c r="Q33" s="82">
        <f t="shared" ref="Q33:Q96" si="1">P33/$P$10</f>
        <v>0.39751226916696103</v>
      </c>
      <c r="R33" s="82">
        <f>P33/'סכום נכסי הקרן'!$C$42</f>
        <v>1.3445874006423976E-2</v>
      </c>
    </row>
    <row r="34" spans="2:18">
      <c r="B34" s="77" t="s">
        <v>1279</v>
      </c>
      <c r="C34" s="87" t="s">
        <v>1200</v>
      </c>
      <c r="D34" s="74">
        <v>6686</v>
      </c>
      <c r="E34" s="74"/>
      <c r="F34" s="74" t="s">
        <v>1201</v>
      </c>
      <c r="G34" s="96">
        <v>43471</v>
      </c>
      <c r="H34" s="74" t="s">
        <v>1199</v>
      </c>
      <c r="I34" s="84">
        <v>0.7599999999999999</v>
      </c>
      <c r="J34" s="87" t="s">
        <v>147</v>
      </c>
      <c r="K34" s="87" t="s">
        <v>155</v>
      </c>
      <c r="L34" s="88">
        <v>2.2970000000000001E-2</v>
      </c>
      <c r="M34" s="88">
        <v>2.58E-2</v>
      </c>
      <c r="N34" s="84">
        <v>191850</v>
      </c>
      <c r="O34" s="86">
        <v>100.33</v>
      </c>
      <c r="P34" s="84">
        <v>192.48310000000001</v>
      </c>
      <c r="Q34" s="85">
        <f t="shared" si="1"/>
        <v>1.9557937736145746E-2</v>
      </c>
      <c r="R34" s="85">
        <f>P34/'סכום נכסי הקרן'!$C$42</f>
        <v>6.6154830183429603E-4</v>
      </c>
    </row>
    <row r="35" spans="2:18">
      <c r="B35" s="77" t="s">
        <v>1280</v>
      </c>
      <c r="C35" s="87" t="s">
        <v>1202</v>
      </c>
      <c r="D35" s="74" t="s">
        <v>1203</v>
      </c>
      <c r="E35" s="74"/>
      <c r="F35" s="74" t="s">
        <v>446</v>
      </c>
      <c r="G35" s="96">
        <v>43431</v>
      </c>
      <c r="H35" s="74" t="s">
        <v>332</v>
      </c>
      <c r="I35" s="84">
        <v>9.4</v>
      </c>
      <c r="J35" s="87" t="s">
        <v>1204</v>
      </c>
      <c r="K35" s="87" t="s">
        <v>155</v>
      </c>
      <c r="L35" s="88">
        <v>3.9599999999999996E-2</v>
      </c>
      <c r="M35" s="88">
        <v>4.3299999999999998E-2</v>
      </c>
      <c r="N35" s="84">
        <v>11508.29</v>
      </c>
      <c r="O35" s="86">
        <v>97.21</v>
      </c>
      <c r="P35" s="84">
        <v>11.187209999999999</v>
      </c>
      <c r="Q35" s="85">
        <f t="shared" si="1"/>
        <v>1.1367167123824743E-3</v>
      </c>
      <c r="R35" s="85">
        <f>P35/'סכום נכסי הקרן'!$C$42</f>
        <v>3.844950428252482E-5</v>
      </c>
    </row>
    <row r="36" spans="2:18">
      <c r="B36" s="77" t="s">
        <v>1280</v>
      </c>
      <c r="C36" s="87" t="s">
        <v>1202</v>
      </c>
      <c r="D36" s="74" t="s">
        <v>1205</v>
      </c>
      <c r="E36" s="74"/>
      <c r="F36" s="74" t="s">
        <v>446</v>
      </c>
      <c r="G36" s="96">
        <v>43276</v>
      </c>
      <c r="H36" s="74" t="s">
        <v>332</v>
      </c>
      <c r="I36" s="84">
        <v>9.4600000000000009</v>
      </c>
      <c r="J36" s="87" t="s">
        <v>1204</v>
      </c>
      <c r="K36" s="87" t="s">
        <v>155</v>
      </c>
      <c r="L36" s="88">
        <v>3.56E-2</v>
      </c>
      <c r="M36" s="88">
        <v>4.4500000000000005E-2</v>
      </c>
      <c r="N36" s="84">
        <v>11501.16</v>
      </c>
      <c r="O36" s="86">
        <v>92.6</v>
      </c>
      <c r="P36" s="84">
        <v>10.650079999999999</v>
      </c>
      <c r="Q36" s="85">
        <f t="shared" si="1"/>
        <v>1.0821396866788359E-3</v>
      </c>
      <c r="R36" s="85">
        <f>P36/'סכום נכסי הקרן'!$C$42</f>
        <v>3.6603433435971252E-5</v>
      </c>
    </row>
    <row r="37" spans="2:18">
      <c r="B37" s="77" t="s">
        <v>1280</v>
      </c>
      <c r="C37" s="87" t="s">
        <v>1202</v>
      </c>
      <c r="D37" s="74" t="s">
        <v>1206</v>
      </c>
      <c r="E37" s="74"/>
      <c r="F37" s="74" t="s">
        <v>446</v>
      </c>
      <c r="G37" s="96">
        <v>43222</v>
      </c>
      <c r="H37" s="74" t="s">
        <v>332</v>
      </c>
      <c r="I37" s="84">
        <v>9.4699999999999989</v>
      </c>
      <c r="J37" s="87" t="s">
        <v>1204</v>
      </c>
      <c r="K37" s="87" t="s">
        <v>155</v>
      </c>
      <c r="L37" s="88">
        <v>3.5200000000000002E-2</v>
      </c>
      <c r="M37" s="88">
        <v>4.4599999999999994E-2</v>
      </c>
      <c r="N37" s="84">
        <v>54976.63</v>
      </c>
      <c r="O37" s="86">
        <v>93.01</v>
      </c>
      <c r="P37" s="84">
        <v>51.133760000000002</v>
      </c>
      <c r="Q37" s="85">
        <f t="shared" si="1"/>
        <v>5.1956296126518114E-3</v>
      </c>
      <c r="R37" s="85">
        <f>P37/'סכום נכסי הקרן'!$C$42</f>
        <v>1.7574245268494975E-4</v>
      </c>
    </row>
    <row r="38" spans="2:18">
      <c r="B38" s="77" t="s">
        <v>1280</v>
      </c>
      <c r="C38" s="87" t="s">
        <v>1202</v>
      </c>
      <c r="D38" s="74" t="s">
        <v>1207</v>
      </c>
      <c r="E38" s="74"/>
      <c r="F38" s="74" t="s">
        <v>446</v>
      </c>
      <c r="G38" s="96">
        <v>43500</v>
      </c>
      <c r="H38" s="74" t="s">
        <v>332</v>
      </c>
      <c r="I38" s="84">
        <v>9.5299999999999994</v>
      </c>
      <c r="J38" s="87" t="s">
        <v>1204</v>
      </c>
      <c r="K38" s="87" t="s">
        <v>155</v>
      </c>
      <c r="L38" s="88">
        <v>3.7499999999999999E-2</v>
      </c>
      <c r="M38" s="88">
        <v>4.0200000000000007E-2</v>
      </c>
      <c r="N38" s="84">
        <v>21636.61</v>
      </c>
      <c r="O38" s="86">
        <v>98.1</v>
      </c>
      <c r="P38" s="84">
        <v>21.225519999999999</v>
      </c>
      <c r="Q38" s="85">
        <f t="shared" si="1"/>
        <v>2.1566953076780052E-3</v>
      </c>
      <c r="R38" s="85">
        <f>P38/'סכום נכסי הקרן'!$C$42</f>
        <v>7.2950335440097788E-5</v>
      </c>
    </row>
    <row r="39" spans="2:18">
      <c r="B39" s="77" t="s">
        <v>1280</v>
      </c>
      <c r="C39" s="87" t="s">
        <v>1202</v>
      </c>
      <c r="D39" s="74" t="s">
        <v>1208</v>
      </c>
      <c r="E39" s="74"/>
      <c r="F39" s="74" t="s">
        <v>446</v>
      </c>
      <c r="G39" s="96">
        <v>43585</v>
      </c>
      <c r="H39" s="74" t="s">
        <v>332</v>
      </c>
      <c r="I39" s="84">
        <v>9.629999999999999</v>
      </c>
      <c r="J39" s="87" t="s">
        <v>1204</v>
      </c>
      <c r="K39" s="87" t="s">
        <v>155</v>
      </c>
      <c r="L39" s="88">
        <v>3.3500000000000002E-2</v>
      </c>
      <c r="M39" s="88">
        <v>4.0300000000000002E-2</v>
      </c>
      <c r="N39" s="84">
        <v>21884.01</v>
      </c>
      <c r="O39" s="86">
        <v>94.27</v>
      </c>
      <c r="P39" s="84">
        <v>20.630050000000001</v>
      </c>
      <c r="Q39" s="85">
        <f t="shared" si="1"/>
        <v>2.0961904364257098E-3</v>
      </c>
      <c r="R39" s="85">
        <f>P39/'סכום נכסי הקרן'!$C$42</f>
        <v>7.0903754897217567E-5</v>
      </c>
    </row>
    <row r="40" spans="2:18">
      <c r="B40" s="77" t="s">
        <v>1280</v>
      </c>
      <c r="C40" s="87" t="s">
        <v>1202</v>
      </c>
      <c r="D40" s="74" t="s">
        <v>1209</v>
      </c>
      <c r="E40" s="74"/>
      <c r="F40" s="74" t="s">
        <v>446</v>
      </c>
      <c r="G40" s="96">
        <v>43677</v>
      </c>
      <c r="H40" s="74" t="s">
        <v>332</v>
      </c>
      <c r="I40" s="84">
        <v>9.5399999999999991</v>
      </c>
      <c r="J40" s="87" t="s">
        <v>1204</v>
      </c>
      <c r="K40" s="87" t="s">
        <v>155</v>
      </c>
      <c r="L40" s="88">
        <v>3.2000000000000001E-2</v>
      </c>
      <c r="M40" s="88">
        <v>4.4999999999999998E-2</v>
      </c>
      <c r="N40" s="84">
        <v>20337.73</v>
      </c>
      <c r="O40" s="86">
        <v>88.82</v>
      </c>
      <c r="P40" s="84">
        <v>18.063970000000001</v>
      </c>
      <c r="Q40" s="85">
        <f t="shared" si="1"/>
        <v>1.8354546478501473E-3</v>
      </c>
      <c r="R40" s="85">
        <f>P40/'סכום נכסי הקרן'!$C$42</f>
        <v>6.2084352745179539E-5</v>
      </c>
    </row>
    <row r="41" spans="2:18">
      <c r="B41" s="77" t="s">
        <v>1280</v>
      </c>
      <c r="C41" s="87" t="s">
        <v>1202</v>
      </c>
      <c r="D41" s="74" t="s">
        <v>1210</v>
      </c>
      <c r="E41" s="74"/>
      <c r="F41" s="74" t="s">
        <v>446</v>
      </c>
      <c r="G41" s="96">
        <v>43708</v>
      </c>
      <c r="H41" s="74" t="s">
        <v>332</v>
      </c>
      <c r="I41" s="84">
        <v>9.7199999999999971</v>
      </c>
      <c r="J41" s="87" t="s">
        <v>1204</v>
      </c>
      <c r="K41" s="87" t="s">
        <v>155</v>
      </c>
      <c r="L41" s="88">
        <v>2.6800000000000001E-2</v>
      </c>
      <c r="M41" s="88">
        <v>4.3400000000000008E-2</v>
      </c>
      <c r="N41" s="84">
        <v>1449.82</v>
      </c>
      <c r="O41" s="86">
        <v>85.44</v>
      </c>
      <c r="P41" s="84">
        <v>1.2387300000000001</v>
      </c>
      <c r="Q41" s="85">
        <f t="shared" si="1"/>
        <v>1.2586561735495648E-4</v>
      </c>
      <c r="R41" s="85">
        <f>P41/'סכום נכסי הקרן'!$C$42</f>
        <v>4.2574113152333768E-6</v>
      </c>
    </row>
    <row r="42" spans="2:18">
      <c r="B42" s="77" t="s">
        <v>1280</v>
      </c>
      <c r="C42" s="87" t="s">
        <v>1202</v>
      </c>
      <c r="D42" s="74" t="s">
        <v>1211</v>
      </c>
      <c r="E42" s="74"/>
      <c r="F42" s="74" t="s">
        <v>446</v>
      </c>
      <c r="G42" s="96">
        <v>43769</v>
      </c>
      <c r="H42" s="74" t="s">
        <v>332</v>
      </c>
      <c r="I42" s="84">
        <v>9.58</v>
      </c>
      <c r="J42" s="87" t="s">
        <v>1204</v>
      </c>
      <c r="K42" s="87" t="s">
        <v>155</v>
      </c>
      <c r="L42" s="88">
        <v>2.7300000000000001E-2</v>
      </c>
      <c r="M42" s="88">
        <v>4.7700000000000006E-2</v>
      </c>
      <c r="N42" s="84">
        <v>21417.49</v>
      </c>
      <c r="O42" s="86">
        <v>82.56</v>
      </c>
      <c r="P42" s="84">
        <v>17.682279999999999</v>
      </c>
      <c r="Q42" s="85">
        <f t="shared" si="1"/>
        <v>1.7966716624633289E-3</v>
      </c>
      <c r="R42" s="85">
        <f>P42/'סכום נכסי הקרן'!$C$42</f>
        <v>6.0772516166658447E-5</v>
      </c>
    </row>
    <row r="43" spans="2:18">
      <c r="B43" s="77" t="s">
        <v>1280</v>
      </c>
      <c r="C43" s="87" t="s">
        <v>1202</v>
      </c>
      <c r="D43" s="74" t="s">
        <v>1212</v>
      </c>
      <c r="E43" s="74"/>
      <c r="F43" s="74" t="s">
        <v>446</v>
      </c>
      <c r="G43" s="96">
        <v>43831</v>
      </c>
      <c r="H43" s="74" t="s">
        <v>332</v>
      </c>
      <c r="I43" s="84">
        <v>9.51</v>
      </c>
      <c r="J43" s="87" t="s">
        <v>1204</v>
      </c>
      <c r="K43" s="87" t="s">
        <v>155</v>
      </c>
      <c r="L43" s="88">
        <v>2.6800000000000001E-2</v>
      </c>
      <c r="M43" s="88">
        <v>5.0999999999999997E-2</v>
      </c>
      <c r="N43" s="84">
        <v>22237.47</v>
      </c>
      <c r="O43" s="86">
        <v>79.67</v>
      </c>
      <c r="P43" s="84">
        <v>17.71659</v>
      </c>
      <c r="Q43" s="85">
        <f t="shared" si="1"/>
        <v>1.8001578534262092E-3</v>
      </c>
      <c r="R43" s="85">
        <f>P43/'סכום נכסי הקרן'!$C$42</f>
        <v>6.0890436764549564E-5</v>
      </c>
    </row>
    <row r="44" spans="2:18">
      <c r="B44" s="77" t="s">
        <v>1280</v>
      </c>
      <c r="C44" s="87" t="s">
        <v>1202</v>
      </c>
      <c r="D44" s="74" t="s">
        <v>1213</v>
      </c>
      <c r="E44" s="74"/>
      <c r="F44" s="74" t="s">
        <v>446</v>
      </c>
      <c r="G44" s="96">
        <v>43905</v>
      </c>
      <c r="H44" s="74" t="s">
        <v>332</v>
      </c>
      <c r="I44" s="84">
        <v>0</v>
      </c>
      <c r="J44" s="87" t="s">
        <v>1204</v>
      </c>
      <c r="K44" s="87" t="s">
        <v>155</v>
      </c>
      <c r="L44" s="88">
        <v>3.2500000000000001E-2</v>
      </c>
      <c r="M44" s="88">
        <v>3.4999999999999996E-3</v>
      </c>
      <c r="N44" s="84">
        <v>13252.86</v>
      </c>
      <c r="O44" s="86">
        <v>100.15</v>
      </c>
      <c r="P44" s="84">
        <v>13.272740000000001</v>
      </c>
      <c r="Q44" s="85">
        <f t="shared" si="1"/>
        <v>1.3486244896723457E-3</v>
      </c>
      <c r="R44" s="85">
        <f>P44/'סכום נכסי הקרן'!$C$42</f>
        <v>4.5617296311666502E-5</v>
      </c>
    </row>
    <row r="45" spans="2:18">
      <c r="B45" s="77" t="s">
        <v>1281</v>
      </c>
      <c r="C45" s="87" t="s">
        <v>1202</v>
      </c>
      <c r="D45" s="74">
        <v>7127</v>
      </c>
      <c r="E45" s="74"/>
      <c r="F45" s="74" t="s">
        <v>934</v>
      </c>
      <c r="G45" s="96">
        <v>43708</v>
      </c>
      <c r="H45" s="74" t="s">
        <v>1199</v>
      </c>
      <c r="I45" s="84">
        <v>6.51</v>
      </c>
      <c r="J45" s="87" t="s">
        <v>1274</v>
      </c>
      <c r="K45" s="87" t="s">
        <v>155</v>
      </c>
      <c r="L45" s="88">
        <v>3.1E-2</v>
      </c>
      <c r="M45" s="88">
        <v>4.1200000000000001E-2</v>
      </c>
      <c r="N45" s="84">
        <v>93157.5</v>
      </c>
      <c r="O45" s="86">
        <v>94.08</v>
      </c>
      <c r="P45" s="84">
        <v>87.642579999999995</v>
      </c>
      <c r="Q45" s="85">
        <f t="shared" si="1"/>
        <v>8.905239590775358E-3</v>
      </c>
      <c r="R45" s="85">
        <f>P45/'סכום נכסי הקרן'!$C$42</f>
        <v>3.0122021085163546E-4</v>
      </c>
    </row>
    <row r="46" spans="2:18">
      <c r="B46" s="77" t="s">
        <v>1281</v>
      </c>
      <c r="C46" s="87" t="s">
        <v>1202</v>
      </c>
      <c r="D46" s="74">
        <v>7128</v>
      </c>
      <c r="E46" s="74"/>
      <c r="F46" s="74" t="s">
        <v>934</v>
      </c>
      <c r="G46" s="96">
        <v>43708</v>
      </c>
      <c r="H46" s="74" t="s">
        <v>1199</v>
      </c>
      <c r="I46" s="84">
        <v>6.5299999999999994</v>
      </c>
      <c r="J46" s="87" t="s">
        <v>1274</v>
      </c>
      <c r="K46" s="87" t="s">
        <v>155</v>
      </c>
      <c r="L46" s="88">
        <v>2.4900000000000002E-2</v>
      </c>
      <c r="M46" s="88">
        <v>4.0999999999999995E-2</v>
      </c>
      <c r="N46" s="84">
        <v>39523.120000000003</v>
      </c>
      <c r="O46" s="86">
        <v>91.92</v>
      </c>
      <c r="P46" s="84">
        <v>36.329660000000004</v>
      </c>
      <c r="Q46" s="85">
        <f t="shared" si="1"/>
        <v>3.6914057818860186E-3</v>
      </c>
      <c r="R46" s="85">
        <f>P46/'סכום נכסי הקרן'!$C$42</f>
        <v>1.2486200024426744E-4</v>
      </c>
    </row>
    <row r="47" spans="2:18">
      <c r="B47" s="77" t="s">
        <v>1281</v>
      </c>
      <c r="C47" s="87" t="s">
        <v>1202</v>
      </c>
      <c r="D47" s="74">
        <v>7130</v>
      </c>
      <c r="E47" s="74"/>
      <c r="F47" s="74" t="s">
        <v>934</v>
      </c>
      <c r="G47" s="96">
        <v>43708</v>
      </c>
      <c r="H47" s="74" t="s">
        <v>1199</v>
      </c>
      <c r="I47" s="84">
        <v>6.88</v>
      </c>
      <c r="J47" s="87" t="s">
        <v>1274</v>
      </c>
      <c r="K47" s="87" t="s">
        <v>155</v>
      </c>
      <c r="L47" s="88">
        <v>3.6000000000000004E-2</v>
      </c>
      <c r="M47" s="88">
        <v>4.1299999999999996E-2</v>
      </c>
      <c r="N47" s="84">
        <v>24830.62</v>
      </c>
      <c r="O47" s="86">
        <v>96.93</v>
      </c>
      <c r="P47" s="84">
        <v>24.06832</v>
      </c>
      <c r="Q47" s="85">
        <f t="shared" si="1"/>
        <v>2.4455482272138767E-3</v>
      </c>
      <c r="R47" s="85">
        <f>P47/'סכום נכסי הקרן'!$C$42</f>
        <v>8.2720801067753073E-5</v>
      </c>
    </row>
    <row r="48" spans="2:18">
      <c r="B48" s="77" t="s">
        <v>1282</v>
      </c>
      <c r="C48" s="87" t="s">
        <v>1200</v>
      </c>
      <c r="D48" s="74">
        <v>7567</v>
      </c>
      <c r="E48" s="74"/>
      <c r="F48" s="74" t="s">
        <v>934</v>
      </c>
      <c r="G48" s="96">
        <v>43919</v>
      </c>
      <c r="H48" s="74" t="s">
        <v>1199</v>
      </c>
      <c r="I48" s="84">
        <v>10.09</v>
      </c>
      <c r="J48" s="87" t="s">
        <v>1274</v>
      </c>
      <c r="K48" s="87" t="s">
        <v>155</v>
      </c>
      <c r="L48" s="88">
        <v>2.69E-2</v>
      </c>
      <c r="M48" s="88">
        <v>2.75E-2</v>
      </c>
      <c r="N48" s="84">
        <v>42797.85</v>
      </c>
      <c r="O48" s="86">
        <v>99.7</v>
      </c>
      <c r="P48" s="84">
        <v>42.669460000000001</v>
      </c>
      <c r="Q48" s="85">
        <f t="shared" si="1"/>
        <v>4.3355839651115424E-3</v>
      </c>
      <c r="R48" s="85">
        <f>P48/'סכום נכסי הקרן'!$C$42</f>
        <v>1.4665136213613776E-4</v>
      </c>
    </row>
    <row r="49" spans="2:18">
      <c r="B49" s="77" t="s">
        <v>1282</v>
      </c>
      <c r="C49" s="87" t="s">
        <v>1200</v>
      </c>
      <c r="D49" s="74">
        <v>7566</v>
      </c>
      <c r="E49" s="74"/>
      <c r="F49" s="74" t="s">
        <v>934</v>
      </c>
      <c r="G49" s="96">
        <v>43919</v>
      </c>
      <c r="H49" s="74" t="s">
        <v>1199</v>
      </c>
      <c r="I49" s="84">
        <v>9.7200000000000006</v>
      </c>
      <c r="J49" s="87" t="s">
        <v>1274</v>
      </c>
      <c r="K49" s="87" t="s">
        <v>155</v>
      </c>
      <c r="L49" s="88">
        <v>2.69E-2</v>
      </c>
      <c r="M49" s="88">
        <v>2.75E-2</v>
      </c>
      <c r="N49" s="84">
        <v>42797.85</v>
      </c>
      <c r="O49" s="86">
        <v>99.7</v>
      </c>
      <c r="P49" s="84">
        <v>42.669460000000001</v>
      </c>
      <c r="Q49" s="85">
        <f t="shared" si="1"/>
        <v>4.3355839651115424E-3</v>
      </c>
      <c r="R49" s="85">
        <f>P49/'סכום נכסי הקרן'!$C$42</f>
        <v>1.4665136213613776E-4</v>
      </c>
    </row>
    <row r="50" spans="2:18">
      <c r="B50" s="77" t="s">
        <v>1283</v>
      </c>
      <c r="C50" s="87" t="s">
        <v>1200</v>
      </c>
      <c r="D50" s="74" t="s">
        <v>1214</v>
      </c>
      <c r="E50" s="74"/>
      <c r="F50" s="74" t="s">
        <v>934</v>
      </c>
      <c r="G50" s="96">
        <v>42759</v>
      </c>
      <c r="H50" s="74" t="s">
        <v>1199</v>
      </c>
      <c r="I50" s="84">
        <v>3.4000000000000004</v>
      </c>
      <c r="J50" s="87" t="s">
        <v>142</v>
      </c>
      <c r="K50" s="87" t="s">
        <v>155</v>
      </c>
      <c r="L50" s="88">
        <v>2.5499999999999998E-2</v>
      </c>
      <c r="M50" s="88">
        <v>1.9000000000000003E-2</v>
      </c>
      <c r="N50" s="84">
        <v>49318.36</v>
      </c>
      <c r="O50" s="86">
        <v>102.71</v>
      </c>
      <c r="P50" s="84">
        <v>50.654879999999999</v>
      </c>
      <c r="Q50" s="85">
        <f t="shared" si="1"/>
        <v>5.1469712877231007E-3</v>
      </c>
      <c r="R50" s="85">
        <f>P50/'סכום נכסי הקרן'!$C$42</f>
        <v>1.7409658221225678E-4</v>
      </c>
    </row>
    <row r="51" spans="2:18">
      <c r="B51" s="77" t="s">
        <v>1283</v>
      </c>
      <c r="C51" s="87" t="s">
        <v>1200</v>
      </c>
      <c r="D51" s="74" t="s">
        <v>1215</v>
      </c>
      <c r="E51" s="74"/>
      <c r="F51" s="74" t="s">
        <v>934</v>
      </c>
      <c r="G51" s="96">
        <v>42759</v>
      </c>
      <c r="H51" s="74" t="s">
        <v>1199</v>
      </c>
      <c r="I51" s="84">
        <v>3.2800000000000002</v>
      </c>
      <c r="J51" s="87" t="s">
        <v>142</v>
      </c>
      <c r="K51" s="87" t="s">
        <v>155</v>
      </c>
      <c r="L51" s="88">
        <v>3.8800000000000001E-2</v>
      </c>
      <c r="M51" s="88">
        <v>3.6900000000000002E-2</v>
      </c>
      <c r="N51" s="84">
        <v>49318.36</v>
      </c>
      <c r="O51" s="86">
        <v>101.42</v>
      </c>
      <c r="P51" s="84">
        <v>50.018680000000003</v>
      </c>
      <c r="Q51" s="85">
        <f t="shared" si="1"/>
        <v>5.082327898315221E-3</v>
      </c>
      <c r="R51" s="85">
        <f>P51/'סכום נכסי הקרן'!$C$42</f>
        <v>1.7191001606890716E-4</v>
      </c>
    </row>
    <row r="52" spans="2:18">
      <c r="B52" s="77" t="s">
        <v>1284</v>
      </c>
      <c r="C52" s="87" t="s">
        <v>1200</v>
      </c>
      <c r="D52" s="74">
        <v>7497</v>
      </c>
      <c r="E52" s="74"/>
      <c r="F52" s="74" t="s">
        <v>325</v>
      </c>
      <c r="G52" s="96">
        <v>43921</v>
      </c>
      <c r="H52" s="74" t="s">
        <v>1199</v>
      </c>
      <c r="I52" s="84">
        <v>8.18</v>
      </c>
      <c r="J52" s="87" t="s">
        <v>1274</v>
      </c>
      <c r="K52" s="87" t="s">
        <v>155</v>
      </c>
      <c r="L52" s="88">
        <v>2.8500000000000001E-2</v>
      </c>
      <c r="M52" s="88">
        <v>2.6300000000000004E-2</v>
      </c>
      <c r="N52" s="84">
        <v>88876</v>
      </c>
      <c r="O52" s="86">
        <v>102.04</v>
      </c>
      <c r="P52" s="84">
        <v>90.689059999999998</v>
      </c>
      <c r="Q52" s="85">
        <f t="shared" si="1"/>
        <v>9.2147881493470623E-3</v>
      </c>
      <c r="R52" s="85">
        <f>P52/'סכום נכסי הקרן'!$C$42</f>
        <v>3.1169070758912639E-4</v>
      </c>
    </row>
    <row r="53" spans="2:18">
      <c r="B53" s="77" t="s">
        <v>1285</v>
      </c>
      <c r="C53" s="87" t="s">
        <v>1200</v>
      </c>
      <c r="D53" s="74">
        <v>7490</v>
      </c>
      <c r="E53" s="74"/>
      <c r="F53" s="74" t="s">
        <v>325</v>
      </c>
      <c r="G53" s="96">
        <v>43921</v>
      </c>
      <c r="H53" s="74" t="s">
        <v>1199</v>
      </c>
      <c r="I53" s="84">
        <v>4.8099999999999996</v>
      </c>
      <c r="J53" s="87" t="s">
        <v>147</v>
      </c>
      <c r="K53" s="87" t="s">
        <v>155</v>
      </c>
      <c r="L53" s="88">
        <v>2.3889999999999998E-2</v>
      </c>
      <c r="M53" s="88">
        <v>3.2199999999999999E-2</v>
      </c>
      <c r="N53" s="84">
        <v>63479.19</v>
      </c>
      <c r="O53" s="86">
        <v>96.35</v>
      </c>
      <c r="P53" s="84">
        <v>61.162199999999999</v>
      </c>
      <c r="Q53" s="85">
        <f t="shared" si="1"/>
        <v>6.2146053310950071E-3</v>
      </c>
      <c r="R53" s="85">
        <f>P53/'סכום נכסי הקרן'!$C$42</f>
        <v>2.102093614787458E-4</v>
      </c>
    </row>
    <row r="54" spans="2:18">
      <c r="B54" s="77" t="s">
        <v>1285</v>
      </c>
      <c r="C54" s="87" t="s">
        <v>1200</v>
      </c>
      <c r="D54" s="74">
        <v>7491</v>
      </c>
      <c r="E54" s="74"/>
      <c r="F54" s="74" t="s">
        <v>325</v>
      </c>
      <c r="G54" s="96">
        <v>43921</v>
      </c>
      <c r="H54" s="74" t="s">
        <v>1199</v>
      </c>
      <c r="I54" s="84">
        <v>4.9800000000000004</v>
      </c>
      <c r="J54" s="87" t="s">
        <v>147</v>
      </c>
      <c r="K54" s="87" t="s">
        <v>155</v>
      </c>
      <c r="L54" s="88">
        <v>1.2969999999999999E-2</v>
      </c>
      <c r="M54" s="88">
        <v>2.0100000000000003E-2</v>
      </c>
      <c r="N54" s="84">
        <v>126958.37</v>
      </c>
      <c r="O54" s="86">
        <v>96.63</v>
      </c>
      <c r="P54" s="84">
        <v>122.67986999999999</v>
      </c>
      <c r="Q54" s="85">
        <f t="shared" si="1"/>
        <v>1.2465329470163636E-2</v>
      </c>
      <c r="R54" s="85">
        <f>P54/'סכום נכסי הקרן'!$C$42</f>
        <v>4.2164044359090325E-4</v>
      </c>
    </row>
    <row r="55" spans="2:18">
      <c r="B55" s="77" t="s">
        <v>1286</v>
      </c>
      <c r="C55" s="87" t="s">
        <v>1202</v>
      </c>
      <c r="D55" s="74" t="s">
        <v>1216</v>
      </c>
      <c r="E55" s="74"/>
      <c r="F55" s="74" t="s">
        <v>506</v>
      </c>
      <c r="G55" s="96">
        <v>43011</v>
      </c>
      <c r="H55" s="74" t="s">
        <v>151</v>
      </c>
      <c r="I55" s="84">
        <v>8.0299999999999994</v>
      </c>
      <c r="J55" s="87" t="s">
        <v>1204</v>
      </c>
      <c r="K55" s="87" t="s">
        <v>155</v>
      </c>
      <c r="L55" s="88">
        <v>3.9E-2</v>
      </c>
      <c r="M55" s="88">
        <v>4.7900000000000012E-2</v>
      </c>
      <c r="N55" s="84">
        <v>9699.44</v>
      </c>
      <c r="O55" s="86">
        <v>94.84</v>
      </c>
      <c r="P55" s="84">
        <v>9.19895</v>
      </c>
      <c r="Q55" s="85">
        <f t="shared" si="1"/>
        <v>9.3469240332225481E-4</v>
      </c>
      <c r="R55" s="85">
        <f>P55/'סכום נכסי הקרן'!$C$42</f>
        <v>3.1616021100858193E-5</v>
      </c>
    </row>
    <row r="56" spans="2:18">
      <c r="B56" s="77" t="s">
        <v>1286</v>
      </c>
      <c r="C56" s="87" t="s">
        <v>1202</v>
      </c>
      <c r="D56" s="74" t="s">
        <v>1217</v>
      </c>
      <c r="E56" s="74"/>
      <c r="F56" s="74" t="s">
        <v>506</v>
      </c>
      <c r="G56" s="96">
        <v>43104</v>
      </c>
      <c r="H56" s="74" t="s">
        <v>151</v>
      </c>
      <c r="I56" s="84">
        <v>8.0200000000000014</v>
      </c>
      <c r="J56" s="87" t="s">
        <v>1204</v>
      </c>
      <c r="K56" s="87" t="s">
        <v>155</v>
      </c>
      <c r="L56" s="88">
        <v>3.8199999999999998E-2</v>
      </c>
      <c r="M56" s="88">
        <v>5.2300000000000006E-2</v>
      </c>
      <c r="N56" s="84">
        <v>17258.77</v>
      </c>
      <c r="O56" s="86">
        <v>89.21</v>
      </c>
      <c r="P56" s="84">
        <v>15.39655</v>
      </c>
      <c r="Q56" s="85">
        <f t="shared" si="1"/>
        <v>1.5644218440551653E-3</v>
      </c>
      <c r="R56" s="85">
        <f>P56/'סכום נכסי הקרן'!$C$42</f>
        <v>5.2916653496368408E-5</v>
      </c>
    </row>
    <row r="57" spans="2:18">
      <c r="B57" s="77" t="s">
        <v>1286</v>
      </c>
      <c r="C57" s="87" t="s">
        <v>1202</v>
      </c>
      <c r="D57" s="74" t="s">
        <v>1218</v>
      </c>
      <c r="E57" s="74"/>
      <c r="F57" s="74" t="s">
        <v>506</v>
      </c>
      <c r="G57" s="96">
        <v>43194</v>
      </c>
      <c r="H57" s="74" t="s">
        <v>151</v>
      </c>
      <c r="I57" s="84">
        <v>8.0900000000000016</v>
      </c>
      <c r="J57" s="87" t="s">
        <v>1204</v>
      </c>
      <c r="K57" s="87" t="s">
        <v>155</v>
      </c>
      <c r="L57" s="88">
        <v>3.7900000000000003E-2</v>
      </c>
      <c r="M57" s="88">
        <v>4.7200000000000006E-2</v>
      </c>
      <c r="N57" s="84">
        <v>11141.11</v>
      </c>
      <c r="O57" s="86">
        <v>92.75</v>
      </c>
      <c r="P57" s="84">
        <v>10.33339</v>
      </c>
      <c r="Q57" s="85">
        <f t="shared" si="1"/>
        <v>1.0499612600966583E-3</v>
      </c>
      <c r="R57" s="85">
        <f>P57/'סכום נכסי הקרן'!$C$42</f>
        <v>3.5514996416264574E-5</v>
      </c>
    </row>
    <row r="58" spans="2:18">
      <c r="B58" s="77" t="s">
        <v>1286</v>
      </c>
      <c r="C58" s="87" t="s">
        <v>1202</v>
      </c>
      <c r="D58" s="74" t="s">
        <v>1219</v>
      </c>
      <c r="E58" s="74"/>
      <c r="F58" s="74" t="s">
        <v>506</v>
      </c>
      <c r="G58" s="96">
        <v>43285</v>
      </c>
      <c r="H58" s="74" t="s">
        <v>151</v>
      </c>
      <c r="I58" s="84">
        <v>8.06</v>
      </c>
      <c r="J58" s="87" t="s">
        <v>1204</v>
      </c>
      <c r="K58" s="87" t="s">
        <v>155</v>
      </c>
      <c r="L58" s="88">
        <v>4.0099999999999997E-2</v>
      </c>
      <c r="M58" s="88">
        <v>4.7100000000000003E-2</v>
      </c>
      <c r="N58" s="84">
        <v>14806.4</v>
      </c>
      <c r="O58" s="86">
        <v>93.41</v>
      </c>
      <c r="P58" s="84">
        <v>13.83066</v>
      </c>
      <c r="Q58" s="85">
        <f t="shared" si="1"/>
        <v>1.405313958107499E-3</v>
      </c>
      <c r="R58" s="85">
        <f>P58/'סכום נכסי הקרן'!$C$42</f>
        <v>4.753482064787778E-5</v>
      </c>
    </row>
    <row r="59" spans="2:18">
      <c r="B59" s="77" t="s">
        <v>1286</v>
      </c>
      <c r="C59" s="87" t="s">
        <v>1202</v>
      </c>
      <c r="D59" s="74" t="s">
        <v>1220</v>
      </c>
      <c r="E59" s="74"/>
      <c r="F59" s="74" t="s">
        <v>506</v>
      </c>
      <c r="G59" s="96">
        <v>43377</v>
      </c>
      <c r="H59" s="74" t="s">
        <v>151</v>
      </c>
      <c r="I59" s="84">
        <v>8.0399999999999991</v>
      </c>
      <c r="J59" s="87" t="s">
        <v>1204</v>
      </c>
      <c r="K59" s="87" t="s">
        <v>155</v>
      </c>
      <c r="L59" s="88">
        <v>3.9699999999999999E-2</v>
      </c>
      <c r="M59" s="88">
        <v>4.8899999999999999E-2</v>
      </c>
      <c r="N59" s="84">
        <v>29623.29</v>
      </c>
      <c r="O59" s="86">
        <v>91.77</v>
      </c>
      <c r="P59" s="84">
        <v>27.185290000000002</v>
      </c>
      <c r="Q59" s="85">
        <f t="shared" si="1"/>
        <v>2.7622591757877216E-3</v>
      </c>
      <c r="R59" s="85">
        <f>P59/'סכום נכסי הקרן'!$C$42</f>
        <v>9.3433566034487549E-5</v>
      </c>
    </row>
    <row r="60" spans="2:18">
      <c r="B60" s="77" t="s">
        <v>1286</v>
      </c>
      <c r="C60" s="87" t="s">
        <v>1202</v>
      </c>
      <c r="D60" s="74" t="s">
        <v>1221</v>
      </c>
      <c r="E60" s="74"/>
      <c r="F60" s="74" t="s">
        <v>506</v>
      </c>
      <c r="G60" s="96">
        <v>43469</v>
      </c>
      <c r="H60" s="74" t="s">
        <v>151</v>
      </c>
      <c r="I60" s="84">
        <v>9.57</v>
      </c>
      <c r="J60" s="87" t="s">
        <v>1204</v>
      </c>
      <c r="K60" s="87" t="s">
        <v>155</v>
      </c>
      <c r="L60" s="88">
        <v>4.1700000000000001E-2</v>
      </c>
      <c r="M60" s="88">
        <v>3.8100000000000002E-2</v>
      </c>
      <c r="N60" s="84">
        <v>20853.650000000001</v>
      </c>
      <c r="O60" s="86">
        <v>101.51</v>
      </c>
      <c r="P60" s="84">
        <v>21.16854</v>
      </c>
      <c r="Q60" s="85">
        <f t="shared" si="1"/>
        <v>2.1509056498212604E-3</v>
      </c>
      <c r="R60" s="85">
        <f>P60/'סכום נכסי הקרן'!$C$42</f>
        <v>7.2754499949924791E-5</v>
      </c>
    </row>
    <row r="61" spans="2:18">
      <c r="B61" s="77" t="s">
        <v>1286</v>
      </c>
      <c r="C61" s="87" t="s">
        <v>1202</v>
      </c>
      <c r="D61" s="74" t="s">
        <v>1222</v>
      </c>
      <c r="E61" s="74"/>
      <c r="F61" s="74" t="s">
        <v>506</v>
      </c>
      <c r="G61" s="96">
        <v>43559</v>
      </c>
      <c r="H61" s="74" t="s">
        <v>151</v>
      </c>
      <c r="I61" s="84">
        <v>9.52</v>
      </c>
      <c r="J61" s="87" t="s">
        <v>1204</v>
      </c>
      <c r="K61" s="87" t="s">
        <v>155</v>
      </c>
      <c r="L61" s="88">
        <v>3.7200000000000004E-2</v>
      </c>
      <c r="M61" s="88">
        <v>4.3299999999999998E-2</v>
      </c>
      <c r="N61" s="84">
        <v>49905.22</v>
      </c>
      <c r="O61" s="86">
        <v>92.77</v>
      </c>
      <c r="P61" s="84">
        <v>46.297080000000001</v>
      </c>
      <c r="Q61" s="85">
        <f t="shared" si="1"/>
        <v>4.7041813437406115E-3</v>
      </c>
      <c r="R61" s="85">
        <f>P61/'סכום נכסי הקרן'!$C$42</f>
        <v>1.5911918840608109E-4</v>
      </c>
    </row>
    <row r="62" spans="2:18">
      <c r="B62" s="77" t="s">
        <v>1286</v>
      </c>
      <c r="C62" s="87" t="s">
        <v>1202</v>
      </c>
      <c r="D62" s="74" t="s">
        <v>1223</v>
      </c>
      <c r="E62" s="74"/>
      <c r="F62" s="74" t="s">
        <v>506</v>
      </c>
      <c r="G62" s="96">
        <v>43742</v>
      </c>
      <c r="H62" s="74" t="s">
        <v>151</v>
      </c>
      <c r="I62" s="84">
        <v>9.3500000000000014</v>
      </c>
      <c r="J62" s="87" t="s">
        <v>1204</v>
      </c>
      <c r="K62" s="87" t="s">
        <v>155</v>
      </c>
      <c r="L62" s="88">
        <v>3.1E-2</v>
      </c>
      <c r="M62" s="88">
        <v>5.340000000000001E-2</v>
      </c>
      <c r="N62" s="84">
        <v>58729.2</v>
      </c>
      <c r="O62" s="86">
        <v>81.64</v>
      </c>
      <c r="P62" s="84">
        <v>47.94652</v>
      </c>
      <c r="Q62" s="85">
        <f t="shared" si="1"/>
        <v>4.8717786279671655E-3</v>
      </c>
      <c r="R62" s="85">
        <f>P62/'סכום נכסי הקרן'!$C$42</f>
        <v>1.6478817561055547E-4</v>
      </c>
    </row>
    <row r="63" spans="2:18">
      <c r="B63" s="77" t="s">
        <v>1286</v>
      </c>
      <c r="C63" s="87" t="s">
        <v>1202</v>
      </c>
      <c r="D63" s="74" t="s">
        <v>1224</v>
      </c>
      <c r="E63" s="74"/>
      <c r="F63" s="74" t="s">
        <v>506</v>
      </c>
      <c r="G63" s="96">
        <v>42935</v>
      </c>
      <c r="H63" s="74" t="s">
        <v>151</v>
      </c>
      <c r="I63" s="84">
        <v>9.4700000000000006</v>
      </c>
      <c r="J63" s="87" t="s">
        <v>1204</v>
      </c>
      <c r="K63" s="87" t="s">
        <v>155</v>
      </c>
      <c r="L63" s="88">
        <v>4.0800000000000003E-2</v>
      </c>
      <c r="M63" s="88">
        <v>4.2699999999999995E-2</v>
      </c>
      <c r="N63" s="84">
        <v>45290.83</v>
      </c>
      <c r="O63" s="86">
        <v>97.78</v>
      </c>
      <c r="P63" s="84">
        <v>44.28537</v>
      </c>
      <c r="Q63" s="85">
        <f t="shared" si="1"/>
        <v>4.4997743130808718E-3</v>
      </c>
      <c r="R63" s="85">
        <f>P63/'סכום נכסי הקרן'!$C$42</f>
        <v>1.522051095374268E-4</v>
      </c>
    </row>
    <row r="64" spans="2:18">
      <c r="B64" s="77" t="s">
        <v>1287</v>
      </c>
      <c r="C64" s="87" t="s">
        <v>1202</v>
      </c>
      <c r="D64" s="74" t="s">
        <v>1225</v>
      </c>
      <c r="E64" s="74"/>
      <c r="F64" s="74" t="s">
        <v>325</v>
      </c>
      <c r="G64" s="96">
        <v>42680</v>
      </c>
      <c r="H64" s="74" t="s">
        <v>1199</v>
      </c>
      <c r="I64" s="84">
        <v>3.2899999999999996</v>
      </c>
      <c r="J64" s="87" t="s">
        <v>147</v>
      </c>
      <c r="K64" s="87" t="s">
        <v>155</v>
      </c>
      <c r="L64" s="88">
        <v>2.3E-2</v>
      </c>
      <c r="M64" s="88">
        <v>4.4899999999999995E-2</v>
      </c>
      <c r="N64" s="84">
        <v>16743.490000000002</v>
      </c>
      <c r="O64" s="86">
        <v>94.96</v>
      </c>
      <c r="P64" s="84">
        <v>15.899620000000001</v>
      </c>
      <c r="Q64" s="85">
        <f t="shared" si="1"/>
        <v>1.6155380809451719E-3</v>
      </c>
      <c r="R64" s="85">
        <f>P64/'סכום נכסי הקרן'!$C$42</f>
        <v>5.4645662974103231E-5</v>
      </c>
    </row>
    <row r="65" spans="2:18">
      <c r="B65" s="77" t="s">
        <v>1287</v>
      </c>
      <c r="C65" s="87" t="s">
        <v>1202</v>
      </c>
      <c r="D65" s="74" t="s">
        <v>1226</v>
      </c>
      <c r="E65" s="74"/>
      <c r="F65" s="74" t="s">
        <v>325</v>
      </c>
      <c r="G65" s="96">
        <v>42680</v>
      </c>
      <c r="H65" s="74" t="s">
        <v>1199</v>
      </c>
      <c r="I65" s="84">
        <v>2.1900000000000004</v>
      </c>
      <c r="J65" s="87" t="s">
        <v>147</v>
      </c>
      <c r="K65" s="87" t="s">
        <v>155</v>
      </c>
      <c r="L65" s="88">
        <v>2.35E-2</v>
      </c>
      <c r="M65" s="88">
        <v>4.0299999999999996E-2</v>
      </c>
      <c r="N65" s="84">
        <v>32248.53</v>
      </c>
      <c r="O65" s="86">
        <v>96.63</v>
      </c>
      <c r="P65" s="84">
        <v>31.161759999999997</v>
      </c>
      <c r="Q65" s="85">
        <f t="shared" si="1"/>
        <v>3.1663027134783105E-3</v>
      </c>
      <c r="R65" s="85">
        <f>P65/'סכום נכסי הקרן'!$C$42</f>
        <v>1.0710036055200633E-4</v>
      </c>
    </row>
    <row r="66" spans="2:18">
      <c r="B66" s="77" t="s">
        <v>1287</v>
      </c>
      <c r="C66" s="87" t="s">
        <v>1202</v>
      </c>
      <c r="D66" s="74" t="s">
        <v>1227</v>
      </c>
      <c r="E66" s="74"/>
      <c r="F66" s="74" t="s">
        <v>325</v>
      </c>
      <c r="G66" s="96">
        <v>42680</v>
      </c>
      <c r="H66" s="74" t="s">
        <v>1199</v>
      </c>
      <c r="I66" s="84">
        <v>3.2899999999999991</v>
      </c>
      <c r="J66" s="87" t="s">
        <v>147</v>
      </c>
      <c r="K66" s="87" t="s">
        <v>155</v>
      </c>
      <c r="L66" s="88">
        <v>3.3700000000000001E-2</v>
      </c>
      <c r="M66" s="88">
        <v>4.4199999999999989E-2</v>
      </c>
      <c r="N66" s="84">
        <v>8565.7999999999993</v>
      </c>
      <c r="O66" s="86">
        <v>97.02</v>
      </c>
      <c r="P66" s="84">
        <v>8.3105400000000014</v>
      </c>
      <c r="Q66" s="85">
        <f t="shared" si="1"/>
        <v>8.4442230966640032E-4</v>
      </c>
      <c r="R66" s="85">
        <f>P66/'סכום נכסי הקרן'!$C$42</f>
        <v>2.8562630300145785E-5</v>
      </c>
    </row>
    <row r="67" spans="2:18">
      <c r="B67" s="77" t="s">
        <v>1287</v>
      </c>
      <c r="C67" s="87" t="s">
        <v>1202</v>
      </c>
      <c r="D67" s="74" t="s">
        <v>1228</v>
      </c>
      <c r="E67" s="74"/>
      <c r="F67" s="74" t="s">
        <v>325</v>
      </c>
      <c r="G67" s="96">
        <v>42717</v>
      </c>
      <c r="H67" s="74" t="s">
        <v>1199</v>
      </c>
      <c r="I67" s="84">
        <v>3.05</v>
      </c>
      <c r="J67" s="87" t="s">
        <v>147</v>
      </c>
      <c r="K67" s="87" t="s">
        <v>155</v>
      </c>
      <c r="L67" s="88">
        <v>3.85E-2</v>
      </c>
      <c r="M67" s="88">
        <v>5.4699999999999999E-2</v>
      </c>
      <c r="N67" s="84">
        <v>2203.9699999999998</v>
      </c>
      <c r="O67" s="86">
        <v>95.71</v>
      </c>
      <c r="P67" s="84">
        <v>2.1094200000000001</v>
      </c>
      <c r="Q67" s="85">
        <f t="shared" si="1"/>
        <v>2.1433520667206917E-4</v>
      </c>
      <c r="R67" s="85">
        <f>P67/'סכום נכסי הקרן'!$C$42</f>
        <v>7.2498999592966896E-6</v>
      </c>
    </row>
    <row r="68" spans="2:18">
      <c r="B68" s="77" t="s">
        <v>1287</v>
      </c>
      <c r="C68" s="87" t="s">
        <v>1202</v>
      </c>
      <c r="D68" s="74" t="s">
        <v>1229</v>
      </c>
      <c r="E68" s="74"/>
      <c r="F68" s="74" t="s">
        <v>325</v>
      </c>
      <c r="G68" s="96">
        <v>42710</v>
      </c>
      <c r="H68" s="74" t="s">
        <v>1199</v>
      </c>
      <c r="I68" s="84">
        <v>3.05</v>
      </c>
      <c r="J68" s="87" t="s">
        <v>147</v>
      </c>
      <c r="K68" s="87" t="s">
        <v>155</v>
      </c>
      <c r="L68" s="88">
        <v>3.8399999999999997E-2</v>
      </c>
      <c r="M68" s="88">
        <v>5.45E-2</v>
      </c>
      <c r="N68" s="84">
        <v>6589.27</v>
      </c>
      <c r="O68" s="86">
        <v>95.73</v>
      </c>
      <c r="P68" s="84">
        <v>6.3079099999999997</v>
      </c>
      <c r="Q68" s="85">
        <f t="shared" si="1"/>
        <v>6.4093788506737015E-4</v>
      </c>
      <c r="R68" s="85">
        <f>P68/'סכום נכסי הקרן'!$C$42</f>
        <v>2.1679758631399711E-5</v>
      </c>
    </row>
    <row r="69" spans="2:18">
      <c r="B69" s="77" t="s">
        <v>1287</v>
      </c>
      <c r="C69" s="87" t="s">
        <v>1202</v>
      </c>
      <c r="D69" s="74" t="s">
        <v>1230</v>
      </c>
      <c r="E69" s="74"/>
      <c r="F69" s="74" t="s">
        <v>325</v>
      </c>
      <c r="G69" s="96">
        <v>42680</v>
      </c>
      <c r="H69" s="74" t="s">
        <v>1199</v>
      </c>
      <c r="I69" s="84">
        <v>4.21</v>
      </c>
      <c r="J69" s="87" t="s">
        <v>147</v>
      </c>
      <c r="K69" s="87" t="s">
        <v>155</v>
      </c>
      <c r="L69" s="88">
        <v>3.6699999999999997E-2</v>
      </c>
      <c r="M69" s="88">
        <v>4.58E-2</v>
      </c>
      <c r="N69" s="84">
        <v>29444.05</v>
      </c>
      <c r="O69" s="86">
        <v>96.76</v>
      </c>
      <c r="P69" s="84">
        <v>28.49006</v>
      </c>
      <c r="Q69" s="85">
        <f t="shared" si="1"/>
        <v>2.8948350248881928E-3</v>
      </c>
      <c r="R69" s="85">
        <f>P69/'סכום נכסי הקרן'!$C$42</f>
        <v>9.7917951301476345E-5</v>
      </c>
    </row>
    <row r="70" spans="2:18">
      <c r="B70" s="77" t="s">
        <v>1287</v>
      </c>
      <c r="C70" s="87" t="s">
        <v>1202</v>
      </c>
      <c r="D70" s="74" t="s">
        <v>1231</v>
      </c>
      <c r="E70" s="74"/>
      <c r="F70" s="74" t="s">
        <v>325</v>
      </c>
      <c r="G70" s="96">
        <v>42680</v>
      </c>
      <c r="H70" s="74" t="s">
        <v>1199</v>
      </c>
      <c r="I70" s="84">
        <v>2.1800000000000002</v>
      </c>
      <c r="J70" s="87" t="s">
        <v>147</v>
      </c>
      <c r="K70" s="87" t="s">
        <v>155</v>
      </c>
      <c r="L70" s="88">
        <v>3.1800000000000002E-2</v>
      </c>
      <c r="M70" s="88">
        <v>4.5000000000000012E-2</v>
      </c>
      <c r="N70" s="84">
        <v>32944.089999999997</v>
      </c>
      <c r="O70" s="86">
        <v>97.49</v>
      </c>
      <c r="P70" s="84">
        <v>32.117190000000001</v>
      </c>
      <c r="Q70" s="85">
        <f t="shared" si="1"/>
        <v>3.2633826153047347E-3</v>
      </c>
      <c r="R70" s="85">
        <f>P70/'סכום נכסי הקרן'!$C$42</f>
        <v>1.1038409348243785E-4</v>
      </c>
    </row>
    <row r="71" spans="2:18">
      <c r="B71" s="77" t="s">
        <v>1288</v>
      </c>
      <c r="C71" s="87" t="s">
        <v>1200</v>
      </c>
      <c r="D71" s="74" t="s">
        <v>1232</v>
      </c>
      <c r="E71" s="74"/>
      <c r="F71" s="74" t="s">
        <v>325</v>
      </c>
      <c r="G71" s="96">
        <v>42884</v>
      </c>
      <c r="H71" s="74" t="s">
        <v>1199</v>
      </c>
      <c r="I71" s="84">
        <v>0.66000000000000014</v>
      </c>
      <c r="J71" s="87" t="s">
        <v>147</v>
      </c>
      <c r="K71" s="87" t="s">
        <v>155</v>
      </c>
      <c r="L71" s="88">
        <v>2.2099999999999998E-2</v>
      </c>
      <c r="M71" s="88">
        <v>3.2899999999999999E-2</v>
      </c>
      <c r="N71" s="84">
        <v>16334.92</v>
      </c>
      <c r="O71" s="86">
        <v>99.5</v>
      </c>
      <c r="P71" s="84">
        <v>16.253239999999998</v>
      </c>
      <c r="Q71" s="85">
        <f t="shared" si="1"/>
        <v>1.6514689130143552E-3</v>
      </c>
      <c r="R71" s="85">
        <f>P71/'סכום נכסי הקרן'!$C$42</f>
        <v>5.5861025312379382E-5</v>
      </c>
    </row>
    <row r="72" spans="2:18">
      <c r="B72" s="77" t="s">
        <v>1288</v>
      </c>
      <c r="C72" s="87" t="s">
        <v>1200</v>
      </c>
      <c r="D72" s="74" t="s">
        <v>1233</v>
      </c>
      <c r="E72" s="74"/>
      <c r="F72" s="74" t="s">
        <v>325</v>
      </c>
      <c r="G72" s="96">
        <v>43006</v>
      </c>
      <c r="H72" s="74" t="s">
        <v>1199</v>
      </c>
      <c r="I72" s="84">
        <v>0.85999999999999988</v>
      </c>
      <c r="J72" s="87" t="s">
        <v>147</v>
      </c>
      <c r="K72" s="87" t="s">
        <v>155</v>
      </c>
      <c r="L72" s="88">
        <v>2.0799999999999999E-2</v>
      </c>
      <c r="M72" s="88">
        <v>3.5599999999999993E-2</v>
      </c>
      <c r="N72" s="84">
        <v>19601.91</v>
      </c>
      <c r="O72" s="86">
        <v>98.79</v>
      </c>
      <c r="P72" s="84">
        <v>19.364720000000002</v>
      </c>
      <c r="Q72" s="85">
        <f t="shared" si="1"/>
        <v>1.9676220303907008E-3</v>
      </c>
      <c r="R72" s="85">
        <f>P72/'סכום נכסי הקרן'!$C$42</f>
        <v>6.6554921608684753E-5</v>
      </c>
    </row>
    <row r="73" spans="2:18">
      <c r="B73" s="77" t="s">
        <v>1288</v>
      </c>
      <c r="C73" s="87" t="s">
        <v>1200</v>
      </c>
      <c r="D73" s="74" t="s">
        <v>1234</v>
      </c>
      <c r="E73" s="74"/>
      <c r="F73" s="74" t="s">
        <v>325</v>
      </c>
      <c r="G73" s="96">
        <v>43321</v>
      </c>
      <c r="H73" s="74" t="s">
        <v>1199</v>
      </c>
      <c r="I73" s="84">
        <v>1.21</v>
      </c>
      <c r="J73" s="87" t="s">
        <v>147</v>
      </c>
      <c r="K73" s="87" t="s">
        <v>155</v>
      </c>
      <c r="L73" s="88">
        <v>2.3980000000000001E-2</v>
      </c>
      <c r="M73" s="88">
        <v>3.1899999999999998E-2</v>
      </c>
      <c r="N73" s="84">
        <v>37829.06</v>
      </c>
      <c r="O73" s="86">
        <v>99.43</v>
      </c>
      <c r="P73" s="84">
        <v>37.613430000000001</v>
      </c>
      <c r="Q73" s="85">
        <f t="shared" si="1"/>
        <v>3.8218478504496059E-3</v>
      </c>
      <c r="R73" s="85">
        <f>P73/'סכום נכסי הקרן'!$C$42</f>
        <v>1.2927421026917774E-4</v>
      </c>
    </row>
    <row r="74" spans="2:18">
      <c r="B74" s="77" t="s">
        <v>1288</v>
      </c>
      <c r="C74" s="87" t="s">
        <v>1200</v>
      </c>
      <c r="D74" s="74" t="s">
        <v>1235</v>
      </c>
      <c r="E74" s="74"/>
      <c r="F74" s="74" t="s">
        <v>325</v>
      </c>
      <c r="G74" s="96">
        <v>43343</v>
      </c>
      <c r="H74" s="74" t="s">
        <v>1199</v>
      </c>
      <c r="I74" s="84">
        <v>1.2599999999999998</v>
      </c>
      <c r="J74" s="87" t="s">
        <v>147</v>
      </c>
      <c r="K74" s="87" t="s">
        <v>155</v>
      </c>
      <c r="L74" s="88">
        <v>2.3789999999999999E-2</v>
      </c>
      <c r="M74" s="88">
        <v>3.3799999999999997E-2</v>
      </c>
      <c r="N74" s="84">
        <v>37829.06</v>
      </c>
      <c r="O74" s="86">
        <v>98.99</v>
      </c>
      <c r="P74" s="84">
        <v>37.446980000000003</v>
      </c>
      <c r="Q74" s="85">
        <f t="shared" si="1"/>
        <v>3.8049350994798768E-3</v>
      </c>
      <c r="R74" s="85">
        <f>P74/'סכום נכסי הקרן'!$C$42</f>
        <v>1.2870213555279839E-4</v>
      </c>
    </row>
    <row r="75" spans="2:18">
      <c r="B75" s="77" t="s">
        <v>1288</v>
      </c>
      <c r="C75" s="87" t="s">
        <v>1200</v>
      </c>
      <c r="D75" s="74" t="s">
        <v>1236</v>
      </c>
      <c r="E75" s="74"/>
      <c r="F75" s="74" t="s">
        <v>325</v>
      </c>
      <c r="G75" s="96">
        <v>42828</v>
      </c>
      <c r="H75" s="74" t="s">
        <v>1199</v>
      </c>
      <c r="I75" s="84">
        <v>0.51</v>
      </c>
      <c r="J75" s="87" t="s">
        <v>147</v>
      </c>
      <c r="K75" s="87" t="s">
        <v>155</v>
      </c>
      <c r="L75" s="88">
        <v>2.2700000000000001E-2</v>
      </c>
      <c r="M75" s="88">
        <v>3.1199999999999995E-2</v>
      </c>
      <c r="N75" s="84">
        <v>16334.92</v>
      </c>
      <c r="O75" s="86">
        <v>100.14</v>
      </c>
      <c r="P75" s="84">
        <v>16.357790000000001</v>
      </c>
      <c r="Q75" s="85">
        <f t="shared" si="1"/>
        <v>1.662092091830127E-3</v>
      </c>
      <c r="R75" s="85">
        <f>P75/'סכום נכסי הקרן'!$C$42</f>
        <v>5.6220354910441639E-5</v>
      </c>
    </row>
    <row r="76" spans="2:18">
      <c r="B76" s="77" t="s">
        <v>1288</v>
      </c>
      <c r="C76" s="87" t="s">
        <v>1200</v>
      </c>
      <c r="D76" s="74" t="s">
        <v>1237</v>
      </c>
      <c r="E76" s="74"/>
      <c r="F76" s="74" t="s">
        <v>325</v>
      </c>
      <c r="G76" s="96">
        <v>42859</v>
      </c>
      <c r="H76" s="74" t="s">
        <v>1199</v>
      </c>
      <c r="I76" s="84">
        <v>0.59</v>
      </c>
      <c r="J76" s="87" t="s">
        <v>147</v>
      </c>
      <c r="K76" s="87" t="s">
        <v>155</v>
      </c>
      <c r="L76" s="88">
        <v>2.2799999999999997E-2</v>
      </c>
      <c r="M76" s="88">
        <v>3.1300000000000001E-2</v>
      </c>
      <c r="N76" s="84">
        <v>16334.92</v>
      </c>
      <c r="O76" s="86">
        <v>99.87</v>
      </c>
      <c r="P76" s="84">
        <v>16.313680000000002</v>
      </c>
      <c r="Q76" s="85">
        <f t="shared" si="1"/>
        <v>1.6576101366167011E-3</v>
      </c>
      <c r="R76" s="85">
        <f>P76/'סכום נכסי הקרן'!$C$42</f>
        <v>5.6068752532913899E-5</v>
      </c>
    </row>
    <row r="77" spans="2:18">
      <c r="B77" s="77" t="s">
        <v>1288</v>
      </c>
      <c r="C77" s="87" t="s">
        <v>1200</v>
      </c>
      <c r="D77" s="74" t="s">
        <v>1238</v>
      </c>
      <c r="E77" s="74"/>
      <c r="F77" s="74" t="s">
        <v>325</v>
      </c>
      <c r="G77" s="96">
        <v>43614</v>
      </c>
      <c r="H77" s="74" t="s">
        <v>1199</v>
      </c>
      <c r="I77" s="84">
        <v>1.61</v>
      </c>
      <c r="J77" s="87" t="s">
        <v>147</v>
      </c>
      <c r="K77" s="87" t="s">
        <v>155</v>
      </c>
      <c r="L77" s="88">
        <v>2.427E-2</v>
      </c>
      <c r="M77" s="88">
        <v>3.61E-2</v>
      </c>
      <c r="N77" s="84">
        <v>49177.79</v>
      </c>
      <c r="O77" s="86">
        <v>98.39</v>
      </c>
      <c r="P77" s="84">
        <v>48.386029999999998</v>
      </c>
      <c r="Q77" s="85">
        <f t="shared" si="1"/>
        <v>4.9164366224322036E-3</v>
      </c>
      <c r="R77" s="85">
        <f>P77/'סכום נכסי הקרן'!$C$42</f>
        <v>1.6629873468893268E-4</v>
      </c>
    </row>
    <row r="78" spans="2:18">
      <c r="B78" s="77" t="s">
        <v>1288</v>
      </c>
      <c r="C78" s="87" t="s">
        <v>1200</v>
      </c>
      <c r="D78" s="74">
        <v>7355</v>
      </c>
      <c r="E78" s="74"/>
      <c r="F78" s="74" t="s">
        <v>325</v>
      </c>
      <c r="G78" s="96">
        <v>43842</v>
      </c>
      <c r="H78" s="74" t="s">
        <v>1199</v>
      </c>
      <c r="I78" s="84">
        <v>1.8200000000000003</v>
      </c>
      <c r="J78" s="87" t="s">
        <v>147</v>
      </c>
      <c r="K78" s="87" t="s">
        <v>155</v>
      </c>
      <c r="L78" s="88">
        <v>2.0838000000000002E-2</v>
      </c>
      <c r="M78" s="88">
        <v>4.4500000000000005E-2</v>
      </c>
      <c r="N78" s="84">
        <v>60526.52</v>
      </c>
      <c r="O78" s="86">
        <v>96.33</v>
      </c>
      <c r="P78" s="84">
        <v>58.305199999999999</v>
      </c>
      <c r="Q78" s="85">
        <f t="shared" si="1"/>
        <v>5.9243095694818141E-3</v>
      </c>
      <c r="R78" s="85">
        <f>P78/'סכום נכסי הקרן'!$C$42</f>
        <v>2.0039009163978029E-4</v>
      </c>
    </row>
    <row r="79" spans="2:18">
      <c r="B79" s="77" t="s">
        <v>1289</v>
      </c>
      <c r="C79" s="87" t="s">
        <v>1202</v>
      </c>
      <c r="D79" s="74" t="s">
        <v>1239</v>
      </c>
      <c r="E79" s="74"/>
      <c r="F79" s="74" t="s">
        <v>712</v>
      </c>
      <c r="G79" s="96">
        <v>43093</v>
      </c>
      <c r="H79" s="74" t="s">
        <v>1199</v>
      </c>
      <c r="I79" s="84">
        <v>3.67</v>
      </c>
      <c r="J79" s="87" t="s">
        <v>547</v>
      </c>
      <c r="K79" s="87" t="s">
        <v>155</v>
      </c>
      <c r="L79" s="88">
        <v>2.6089999999999999E-2</v>
      </c>
      <c r="M79" s="88">
        <v>4.9099999999999991E-2</v>
      </c>
      <c r="N79" s="84">
        <v>50782.5</v>
      </c>
      <c r="O79" s="86">
        <v>93.69</v>
      </c>
      <c r="P79" s="84">
        <v>47.578120000000006</v>
      </c>
      <c r="Q79" s="85">
        <f t="shared" si="1"/>
        <v>4.8343460208344043E-3</v>
      </c>
      <c r="R79" s="85">
        <f>P79/'סכום נכסי הקרן'!$C$42</f>
        <v>1.6352201564952121E-4</v>
      </c>
    </row>
    <row r="80" spans="2:18">
      <c r="B80" s="77" t="s">
        <v>1289</v>
      </c>
      <c r="C80" s="87" t="s">
        <v>1202</v>
      </c>
      <c r="D80" s="74" t="s">
        <v>1240</v>
      </c>
      <c r="E80" s="74"/>
      <c r="F80" s="74" t="s">
        <v>712</v>
      </c>
      <c r="G80" s="96">
        <v>43374</v>
      </c>
      <c r="H80" s="74" t="s">
        <v>1199</v>
      </c>
      <c r="I80" s="84">
        <v>3.6700000000000004</v>
      </c>
      <c r="J80" s="87" t="s">
        <v>547</v>
      </c>
      <c r="K80" s="87" t="s">
        <v>155</v>
      </c>
      <c r="L80" s="88">
        <v>2.6849999999999999E-2</v>
      </c>
      <c r="M80" s="88">
        <v>4.4800000000000006E-2</v>
      </c>
      <c r="N80" s="84">
        <v>71095.5</v>
      </c>
      <c r="O80" s="86">
        <v>94.46</v>
      </c>
      <c r="P80" s="84">
        <v>67.156809999999993</v>
      </c>
      <c r="Q80" s="85">
        <f t="shared" si="1"/>
        <v>6.82370924272401E-3</v>
      </c>
      <c r="R80" s="85">
        <f>P80/'סכום נכסי הקרן'!$C$42</f>
        <v>2.3081233423666005E-4</v>
      </c>
    </row>
    <row r="81" spans="2:18">
      <c r="B81" s="77" t="s">
        <v>1290</v>
      </c>
      <c r="C81" s="87" t="s">
        <v>1202</v>
      </c>
      <c r="D81" s="74" t="s">
        <v>1241</v>
      </c>
      <c r="E81" s="74"/>
      <c r="F81" s="74" t="s">
        <v>519</v>
      </c>
      <c r="G81" s="96">
        <v>43552</v>
      </c>
      <c r="H81" s="74" t="s">
        <v>151</v>
      </c>
      <c r="I81" s="84">
        <v>7.3499999999999988</v>
      </c>
      <c r="J81" s="87" t="s">
        <v>413</v>
      </c>
      <c r="K81" s="87" t="s">
        <v>155</v>
      </c>
      <c r="L81" s="88">
        <v>3.5500999999999998E-2</v>
      </c>
      <c r="M81" s="88">
        <v>5.0700000000000002E-2</v>
      </c>
      <c r="N81" s="84">
        <v>88873.09</v>
      </c>
      <c r="O81" s="86">
        <v>90.55</v>
      </c>
      <c r="P81" s="84">
        <v>80.474580000000003</v>
      </c>
      <c r="Q81" s="85">
        <f t="shared" si="1"/>
        <v>8.1769091675190173E-3</v>
      </c>
      <c r="R81" s="85">
        <f>P81/'סכום נכסי הקרן'!$C$42</f>
        <v>2.7658439488884061E-4</v>
      </c>
    </row>
    <row r="82" spans="2:18">
      <c r="B82" s="77" t="s">
        <v>1291</v>
      </c>
      <c r="C82" s="87" t="s">
        <v>1202</v>
      </c>
      <c r="D82" s="74" t="s">
        <v>1242</v>
      </c>
      <c r="E82" s="74"/>
      <c r="F82" s="74" t="s">
        <v>525</v>
      </c>
      <c r="G82" s="96">
        <v>43301</v>
      </c>
      <c r="H82" s="74" t="s">
        <v>332</v>
      </c>
      <c r="I82" s="84">
        <v>0.87</v>
      </c>
      <c r="J82" s="87" t="s">
        <v>137</v>
      </c>
      <c r="K82" s="87" t="s">
        <v>154</v>
      </c>
      <c r="L82" s="88">
        <v>6.0563000000000006E-2</v>
      </c>
      <c r="M82" s="88">
        <v>6.6500000000000004E-2</v>
      </c>
      <c r="N82" s="84">
        <v>69310.039999999994</v>
      </c>
      <c r="O82" s="86">
        <v>100.43</v>
      </c>
      <c r="P82" s="84">
        <v>248.15280999999999</v>
      </c>
      <c r="Q82" s="85">
        <f t="shared" si="1"/>
        <v>2.5214458864334609E-2</v>
      </c>
      <c r="R82" s="85">
        <f>P82/'סכום נכסי הקרן'!$C$42</f>
        <v>8.5288043496238738E-4</v>
      </c>
    </row>
    <row r="83" spans="2:18">
      <c r="B83" s="77" t="s">
        <v>1291</v>
      </c>
      <c r="C83" s="87" t="s">
        <v>1202</v>
      </c>
      <c r="D83" s="74" t="s">
        <v>1243</v>
      </c>
      <c r="E83" s="74"/>
      <c r="F83" s="74" t="s">
        <v>525</v>
      </c>
      <c r="G83" s="96">
        <v>43496</v>
      </c>
      <c r="H83" s="74" t="s">
        <v>332</v>
      </c>
      <c r="I83" s="84">
        <v>0.87</v>
      </c>
      <c r="J83" s="87" t="s">
        <v>137</v>
      </c>
      <c r="K83" s="87" t="s">
        <v>154</v>
      </c>
      <c r="L83" s="88">
        <v>6.0563000000000006E-2</v>
      </c>
      <c r="M83" s="88">
        <v>6.6500000000000004E-2</v>
      </c>
      <c r="N83" s="84">
        <v>30830.25</v>
      </c>
      <c r="O83" s="86">
        <v>100.43</v>
      </c>
      <c r="P83" s="84">
        <v>110.38246000000001</v>
      </c>
      <c r="Q83" s="85">
        <f t="shared" si="1"/>
        <v>1.1215806893397906E-2</v>
      </c>
      <c r="R83" s="85">
        <f>P83/'סכום נכסי הקרן'!$C$42</f>
        <v>3.7937527484382841E-4</v>
      </c>
    </row>
    <row r="84" spans="2:18">
      <c r="B84" s="77" t="s">
        <v>1291</v>
      </c>
      <c r="C84" s="87" t="s">
        <v>1202</v>
      </c>
      <c r="D84" s="74" t="s">
        <v>1244</v>
      </c>
      <c r="E84" s="74"/>
      <c r="F84" s="74" t="s">
        <v>525</v>
      </c>
      <c r="G84" s="96">
        <v>43738</v>
      </c>
      <c r="H84" s="74" t="s">
        <v>332</v>
      </c>
      <c r="I84" s="84">
        <v>0.87</v>
      </c>
      <c r="J84" s="87" t="s">
        <v>137</v>
      </c>
      <c r="K84" s="87" t="s">
        <v>154</v>
      </c>
      <c r="L84" s="88">
        <v>6.0563000000000006E-2</v>
      </c>
      <c r="M84" s="88">
        <v>6.7100000000000021E-2</v>
      </c>
      <c r="N84" s="84">
        <v>7054.57</v>
      </c>
      <c r="O84" s="86">
        <v>100.38</v>
      </c>
      <c r="P84" s="84">
        <v>25.24512</v>
      </c>
      <c r="Q84" s="85">
        <f t="shared" si="1"/>
        <v>2.5651212241569661E-3</v>
      </c>
      <c r="R84" s="85">
        <f>P84/'סכום נכסי הקרן'!$C$42</f>
        <v>8.6765364157180674E-5</v>
      </c>
    </row>
    <row r="85" spans="2:18">
      <c r="B85" s="77" t="s">
        <v>1291</v>
      </c>
      <c r="C85" s="87" t="s">
        <v>1202</v>
      </c>
      <c r="D85" s="74">
        <v>6615</v>
      </c>
      <c r="E85" s="74"/>
      <c r="F85" s="74" t="s">
        <v>525</v>
      </c>
      <c r="G85" s="96">
        <v>43496</v>
      </c>
      <c r="H85" s="74" t="s">
        <v>332</v>
      </c>
      <c r="I85" s="84">
        <v>0.87</v>
      </c>
      <c r="J85" s="87" t="s">
        <v>137</v>
      </c>
      <c r="K85" s="87" t="s">
        <v>154</v>
      </c>
      <c r="L85" s="88">
        <v>6.0563000000000006E-2</v>
      </c>
      <c r="M85" s="88">
        <v>6.7100000000000007E-2</v>
      </c>
      <c r="N85" s="84">
        <v>4943.12</v>
      </c>
      <c r="O85" s="86">
        <v>100.38</v>
      </c>
      <c r="P85" s="84">
        <v>17.689209999999999</v>
      </c>
      <c r="Q85" s="85">
        <f t="shared" si="1"/>
        <v>1.7973758100405005E-3</v>
      </c>
      <c r="R85" s="85">
        <f>P85/'סכום נכסי הקרן'!$C$42</f>
        <v>6.0796333996544355E-5</v>
      </c>
    </row>
    <row r="86" spans="2:18">
      <c r="B86" s="77" t="s">
        <v>1291</v>
      </c>
      <c r="C86" s="87" t="s">
        <v>1202</v>
      </c>
      <c r="D86" s="74" t="s">
        <v>1245</v>
      </c>
      <c r="E86" s="74"/>
      <c r="F86" s="74" t="s">
        <v>525</v>
      </c>
      <c r="G86" s="96">
        <v>43496</v>
      </c>
      <c r="H86" s="74" t="s">
        <v>332</v>
      </c>
      <c r="I86" s="84">
        <v>0.87000000000000011</v>
      </c>
      <c r="J86" s="87" t="s">
        <v>137</v>
      </c>
      <c r="K86" s="87" t="s">
        <v>154</v>
      </c>
      <c r="L86" s="88">
        <v>6.0563000000000006E-2</v>
      </c>
      <c r="M86" s="88">
        <v>6.7099999999999993E-2</v>
      </c>
      <c r="N86" s="84">
        <v>4270.9399999999996</v>
      </c>
      <c r="O86" s="86">
        <v>100.38</v>
      </c>
      <c r="P86" s="84">
        <v>15.28373</v>
      </c>
      <c r="Q86" s="85">
        <f t="shared" si="1"/>
        <v>1.5529583621422495E-3</v>
      </c>
      <c r="R86" s="85">
        <f>P86/'סכום נכסי הקרן'!$C$42</f>
        <v>5.2528900600592389E-5</v>
      </c>
    </row>
    <row r="87" spans="2:18">
      <c r="B87" s="77" t="s">
        <v>1291</v>
      </c>
      <c r="C87" s="87" t="s">
        <v>1202</v>
      </c>
      <c r="D87" s="74">
        <v>6719</v>
      </c>
      <c r="E87" s="74"/>
      <c r="F87" s="74" t="s">
        <v>525</v>
      </c>
      <c r="G87" s="96">
        <v>43487</v>
      </c>
      <c r="H87" s="74" t="s">
        <v>332</v>
      </c>
      <c r="I87" s="84">
        <v>0.87000000000000011</v>
      </c>
      <c r="J87" s="87" t="s">
        <v>137</v>
      </c>
      <c r="K87" s="87" t="s">
        <v>154</v>
      </c>
      <c r="L87" s="88">
        <v>6.0563000000000006E-2</v>
      </c>
      <c r="M87" s="88">
        <v>6.7099999999999993E-2</v>
      </c>
      <c r="N87" s="84">
        <v>1978.77</v>
      </c>
      <c r="O87" s="86">
        <v>100.38</v>
      </c>
      <c r="P87" s="84">
        <v>7.0811200000000003</v>
      </c>
      <c r="Q87" s="85">
        <f t="shared" si="1"/>
        <v>7.1950266834946226E-4</v>
      </c>
      <c r="R87" s="85">
        <f>P87/'סכום נכסי הקרן'!$C$42</f>
        <v>2.4337216675567206E-5</v>
      </c>
    </row>
    <row r="88" spans="2:18">
      <c r="B88" s="77" t="s">
        <v>1291</v>
      </c>
      <c r="C88" s="87" t="s">
        <v>1202</v>
      </c>
      <c r="D88" s="74">
        <v>6735</v>
      </c>
      <c r="E88" s="74"/>
      <c r="F88" s="74" t="s">
        <v>525</v>
      </c>
      <c r="G88" s="96">
        <v>43493</v>
      </c>
      <c r="H88" s="74" t="s">
        <v>332</v>
      </c>
      <c r="I88" s="84">
        <v>0.86999999999999988</v>
      </c>
      <c r="J88" s="87" t="s">
        <v>137</v>
      </c>
      <c r="K88" s="87" t="s">
        <v>154</v>
      </c>
      <c r="L88" s="88">
        <v>6.0563000000000006E-2</v>
      </c>
      <c r="M88" s="88">
        <v>6.7099999999999993E-2</v>
      </c>
      <c r="N88" s="84">
        <v>4875.1000000000004</v>
      </c>
      <c r="O88" s="86">
        <v>100.38</v>
      </c>
      <c r="P88" s="84">
        <v>17.445790000000002</v>
      </c>
      <c r="Q88" s="85">
        <f t="shared" si="1"/>
        <v>1.7726422453601077E-3</v>
      </c>
      <c r="R88" s="85">
        <f>P88/'סכום נכסי הקרן'!$C$42</f>
        <v>5.995971983336586E-5</v>
      </c>
    </row>
    <row r="89" spans="2:18">
      <c r="B89" s="77" t="s">
        <v>1291</v>
      </c>
      <c r="C89" s="87" t="s">
        <v>1202</v>
      </c>
      <c r="D89" s="74">
        <v>6956</v>
      </c>
      <c r="E89" s="74"/>
      <c r="F89" s="74" t="s">
        <v>525</v>
      </c>
      <c r="G89" s="96">
        <v>43628</v>
      </c>
      <c r="H89" s="74" t="s">
        <v>332</v>
      </c>
      <c r="I89" s="84">
        <v>0.86999999999999988</v>
      </c>
      <c r="J89" s="87" t="s">
        <v>137</v>
      </c>
      <c r="K89" s="87" t="s">
        <v>154</v>
      </c>
      <c r="L89" s="88">
        <v>6.0563000000000006E-2</v>
      </c>
      <c r="M89" s="88">
        <v>6.9800000000000001E-2</v>
      </c>
      <c r="N89" s="84">
        <v>8417.5400000000009</v>
      </c>
      <c r="O89" s="86">
        <v>100.38</v>
      </c>
      <c r="P89" s="84">
        <v>30.122580000000003</v>
      </c>
      <c r="Q89" s="85">
        <f t="shared" si="1"/>
        <v>3.0607130916536006E-3</v>
      </c>
      <c r="R89" s="85">
        <f>P89/'סכום נכסי הקרן'!$C$42</f>
        <v>1.035287858823332E-4</v>
      </c>
    </row>
    <row r="90" spans="2:18">
      <c r="B90" s="77" t="s">
        <v>1291</v>
      </c>
      <c r="C90" s="87" t="s">
        <v>1202</v>
      </c>
      <c r="D90" s="74">
        <v>6829</v>
      </c>
      <c r="E90" s="74"/>
      <c r="F90" s="74" t="s">
        <v>525</v>
      </c>
      <c r="G90" s="96">
        <v>43738</v>
      </c>
      <c r="H90" s="74" t="s">
        <v>332</v>
      </c>
      <c r="I90" s="84">
        <v>0.86999999999999988</v>
      </c>
      <c r="J90" s="87" t="s">
        <v>137</v>
      </c>
      <c r="K90" s="87" t="s">
        <v>154</v>
      </c>
      <c r="L90" s="88">
        <v>6.0563000000000006E-2</v>
      </c>
      <c r="M90" s="88">
        <v>6.7099999999999993E-2</v>
      </c>
      <c r="N90" s="84">
        <v>3414.17</v>
      </c>
      <c r="O90" s="86">
        <v>100.38</v>
      </c>
      <c r="P90" s="84">
        <v>12.217750000000001</v>
      </c>
      <c r="Q90" s="85">
        <f t="shared" si="1"/>
        <v>1.2414284359291527E-3</v>
      </c>
      <c r="R90" s="85">
        <f>P90/'סכום נכסי הקרן'!$C$42</f>
        <v>4.1991383995457107E-5</v>
      </c>
    </row>
    <row r="91" spans="2:18">
      <c r="B91" s="77" t="s">
        <v>1291</v>
      </c>
      <c r="C91" s="87" t="s">
        <v>1202</v>
      </c>
      <c r="D91" s="74">
        <v>6886</v>
      </c>
      <c r="E91" s="74"/>
      <c r="F91" s="74" t="s">
        <v>525</v>
      </c>
      <c r="G91" s="96">
        <v>43578</v>
      </c>
      <c r="H91" s="74" t="s">
        <v>332</v>
      </c>
      <c r="I91" s="84">
        <v>0.87000000000000011</v>
      </c>
      <c r="J91" s="87" t="s">
        <v>137</v>
      </c>
      <c r="K91" s="87" t="s">
        <v>154</v>
      </c>
      <c r="L91" s="88">
        <v>6.0563000000000006E-2</v>
      </c>
      <c r="M91" s="88">
        <v>6.9800000000000001E-2</v>
      </c>
      <c r="N91" s="84">
        <v>2206.89</v>
      </c>
      <c r="O91" s="86">
        <v>100.38</v>
      </c>
      <c r="P91" s="84">
        <v>7.8974399999999996</v>
      </c>
      <c r="Q91" s="85">
        <f t="shared" si="1"/>
        <v>8.0244779824798569E-4</v>
      </c>
      <c r="R91" s="85">
        <f>P91/'סכום נכסי הקרן'!$C$42</f>
        <v>2.714284018097299E-5</v>
      </c>
    </row>
    <row r="92" spans="2:18">
      <c r="B92" s="77" t="s">
        <v>1291</v>
      </c>
      <c r="C92" s="87" t="s">
        <v>1202</v>
      </c>
      <c r="D92" s="74">
        <v>6889</v>
      </c>
      <c r="E92" s="74"/>
      <c r="F92" s="74" t="s">
        <v>525</v>
      </c>
      <c r="G92" s="96">
        <v>43584</v>
      </c>
      <c r="H92" s="74" t="s">
        <v>332</v>
      </c>
      <c r="I92" s="84">
        <v>0.87</v>
      </c>
      <c r="J92" s="87" t="s">
        <v>137</v>
      </c>
      <c r="K92" s="87" t="s">
        <v>154</v>
      </c>
      <c r="L92" s="88">
        <v>6.0563000000000006E-2</v>
      </c>
      <c r="M92" s="88">
        <v>6.9799999999999987E-2</v>
      </c>
      <c r="N92" s="84">
        <v>4218.8500000000004</v>
      </c>
      <c r="O92" s="86">
        <v>100.38</v>
      </c>
      <c r="P92" s="84">
        <v>15.09735</v>
      </c>
      <c r="Q92" s="85">
        <f t="shared" si="1"/>
        <v>1.5340205518344207E-3</v>
      </c>
      <c r="R92" s="85">
        <f>P92/'סכום נכסי הקרן'!$C$42</f>
        <v>5.188832814256425E-5</v>
      </c>
    </row>
    <row r="93" spans="2:18">
      <c r="B93" s="77" t="s">
        <v>1291</v>
      </c>
      <c r="C93" s="87" t="s">
        <v>1202</v>
      </c>
      <c r="D93" s="74">
        <v>6926</v>
      </c>
      <c r="E93" s="74"/>
      <c r="F93" s="74" t="s">
        <v>525</v>
      </c>
      <c r="G93" s="96">
        <v>43738</v>
      </c>
      <c r="H93" s="74" t="s">
        <v>332</v>
      </c>
      <c r="I93" s="84">
        <v>0.87000000000000011</v>
      </c>
      <c r="J93" s="87" t="s">
        <v>137</v>
      </c>
      <c r="K93" s="87" t="s">
        <v>154</v>
      </c>
      <c r="L93" s="88">
        <v>6.0563000000000006E-2</v>
      </c>
      <c r="M93" s="88">
        <v>6.9800000000000001E-2</v>
      </c>
      <c r="N93" s="84">
        <v>1859.69</v>
      </c>
      <c r="O93" s="86">
        <v>100.38</v>
      </c>
      <c r="P93" s="84">
        <v>6.6550000000000002</v>
      </c>
      <c r="Q93" s="85">
        <f t="shared" si="1"/>
        <v>6.7620521299817978E-4</v>
      </c>
      <c r="R93" s="85">
        <f>P93/'סכום נכסי הקרן'!$C$42</f>
        <v>2.2872677906305747E-5</v>
      </c>
    </row>
    <row r="94" spans="2:18">
      <c r="B94" s="77" t="s">
        <v>1291</v>
      </c>
      <c r="C94" s="87" t="s">
        <v>1202</v>
      </c>
      <c r="D94" s="74">
        <v>7112</v>
      </c>
      <c r="E94" s="74"/>
      <c r="F94" s="74" t="s">
        <v>525</v>
      </c>
      <c r="G94" s="96">
        <v>43761</v>
      </c>
      <c r="H94" s="74" t="s">
        <v>332</v>
      </c>
      <c r="I94" s="84">
        <v>0.87</v>
      </c>
      <c r="J94" s="87" t="s">
        <v>137</v>
      </c>
      <c r="K94" s="87" t="s">
        <v>154</v>
      </c>
      <c r="L94" s="88">
        <v>6.0563000000000006E-2</v>
      </c>
      <c r="M94" s="88">
        <v>7.8599999999999989E-2</v>
      </c>
      <c r="N94" s="84">
        <v>1021.1</v>
      </c>
      <c r="O94" s="86">
        <v>99.67</v>
      </c>
      <c r="P94" s="84">
        <v>3.6282100000000002</v>
      </c>
      <c r="Q94" s="85">
        <f t="shared" si="1"/>
        <v>3.6865732770129616E-4</v>
      </c>
      <c r="R94" s="85">
        <f>P94/'סכום נכסי הקרן'!$C$42</f>
        <v>1.2469854050554106E-5</v>
      </c>
    </row>
    <row r="95" spans="2:18">
      <c r="B95" s="77" t="s">
        <v>1291</v>
      </c>
      <c r="C95" s="87" t="s">
        <v>1202</v>
      </c>
      <c r="D95" s="74">
        <v>7236</v>
      </c>
      <c r="E95" s="74"/>
      <c r="F95" s="74" t="s">
        <v>525</v>
      </c>
      <c r="G95" s="96">
        <v>43761</v>
      </c>
      <c r="H95" s="74" t="s">
        <v>332</v>
      </c>
      <c r="I95" s="84">
        <v>0.87</v>
      </c>
      <c r="J95" s="87" t="s">
        <v>137</v>
      </c>
      <c r="K95" s="87" t="s">
        <v>154</v>
      </c>
      <c r="L95" s="88">
        <v>6.0563000000000006E-2</v>
      </c>
      <c r="M95" s="88">
        <v>7.8599999999999989E-2</v>
      </c>
      <c r="N95" s="84">
        <v>2587.16</v>
      </c>
      <c r="O95" s="86">
        <v>99.67</v>
      </c>
      <c r="P95" s="84">
        <v>9.1927800000000008</v>
      </c>
      <c r="Q95" s="85">
        <f t="shared" si="1"/>
        <v>9.3406547827879903E-4</v>
      </c>
      <c r="R95" s="85">
        <f>P95/'סכום נכסי הקרן'!$C$42</f>
        <v>3.1594815327352273E-5</v>
      </c>
    </row>
    <row r="96" spans="2:18">
      <c r="B96" s="77" t="s">
        <v>1291</v>
      </c>
      <c r="C96" s="87" t="s">
        <v>1202</v>
      </c>
      <c r="D96" s="74">
        <v>7370</v>
      </c>
      <c r="E96" s="74"/>
      <c r="F96" s="74" t="s">
        <v>525</v>
      </c>
      <c r="G96" s="96">
        <v>43853</v>
      </c>
      <c r="H96" s="74" t="s">
        <v>332</v>
      </c>
      <c r="I96" s="84">
        <v>0.87</v>
      </c>
      <c r="J96" s="87" t="s">
        <v>137</v>
      </c>
      <c r="K96" s="87" t="s">
        <v>154</v>
      </c>
      <c r="L96" s="88">
        <v>6.0563000000000006E-2</v>
      </c>
      <c r="M96" s="88">
        <v>7.8600000000000017E-2</v>
      </c>
      <c r="N96" s="84">
        <v>2452.5700000000002</v>
      </c>
      <c r="O96" s="86">
        <v>99.67</v>
      </c>
      <c r="P96" s="84">
        <v>8.7145799999999998</v>
      </c>
      <c r="Q96" s="85">
        <f t="shared" si="1"/>
        <v>8.8547624719604472E-4</v>
      </c>
      <c r="R96" s="85">
        <f>P96/'סכום נכסי הקרן'!$C$42</f>
        <v>2.9951281957736129E-5</v>
      </c>
    </row>
    <row r="97" spans="2:18">
      <c r="B97" s="77" t="s">
        <v>1291</v>
      </c>
      <c r="C97" s="87" t="s">
        <v>1202</v>
      </c>
      <c r="D97" s="74" t="s">
        <v>1246</v>
      </c>
      <c r="E97" s="74"/>
      <c r="F97" s="74" t="s">
        <v>525</v>
      </c>
      <c r="G97" s="96">
        <v>43888</v>
      </c>
      <c r="H97" s="74" t="s">
        <v>332</v>
      </c>
      <c r="I97" s="84">
        <v>0.87</v>
      </c>
      <c r="J97" s="87" t="s">
        <v>137</v>
      </c>
      <c r="K97" s="87" t="s">
        <v>154</v>
      </c>
      <c r="L97" s="88">
        <v>5.8826999999999997E-2</v>
      </c>
      <c r="M97" s="88">
        <v>8.1600000000000006E-2</v>
      </c>
      <c r="N97" s="84">
        <v>1951.83</v>
      </c>
      <c r="O97" s="86">
        <v>98.82</v>
      </c>
      <c r="P97" s="84">
        <v>6.8761299999999999</v>
      </c>
      <c r="Q97" s="85">
        <f t="shared" ref="Q97:Q126" si="2">P97/$P$10</f>
        <v>6.9867392205156631E-4</v>
      </c>
      <c r="R97" s="85">
        <f>P97/'סכום נכסי הקרן'!$C$42</f>
        <v>2.3632683205392356E-5</v>
      </c>
    </row>
    <row r="98" spans="2:18">
      <c r="B98" s="77" t="s">
        <v>1291</v>
      </c>
      <c r="C98" s="87" t="s">
        <v>1202</v>
      </c>
      <c r="D98" s="74" t="s">
        <v>1247</v>
      </c>
      <c r="E98" s="74"/>
      <c r="F98" s="74" t="s">
        <v>525</v>
      </c>
      <c r="G98" s="96">
        <v>43920</v>
      </c>
      <c r="H98" s="74" t="s">
        <v>332</v>
      </c>
      <c r="I98" s="84">
        <v>0.88</v>
      </c>
      <c r="J98" s="87" t="s">
        <v>137</v>
      </c>
      <c r="K98" s="87" t="s">
        <v>154</v>
      </c>
      <c r="L98" s="88">
        <v>5.1909000000000004E-2</v>
      </c>
      <c r="M98" s="88">
        <v>5.8700000000000002E-2</v>
      </c>
      <c r="N98" s="84">
        <v>1330.61</v>
      </c>
      <c r="O98" s="86">
        <v>100.01</v>
      </c>
      <c r="P98" s="84">
        <v>4.7440899999999999</v>
      </c>
      <c r="Q98" s="85">
        <f t="shared" si="2"/>
        <v>4.8204032891548229E-4</v>
      </c>
      <c r="R98" s="85">
        <f>P98/'סכום נכסי הקרן'!$C$42</f>
        <v>1.6305040199628254E-5</v>
      </c>
    </row>
    <row r="99" spans="2:18">
      <c r="B99" s="77" t="s">
        <v>1291</v>
      </c>
      <c r="C99" s="87" t="s">
        <v>1202</v>
      </c>
      <c r="D99" s="74" t="s">
        <v>1248</v>
      </c>
      <c r="E99" s="74"/>
      <c r="F99" s="74" t="s">
        <v>525</v>
      </c>
      <c r="G99" s="96">
        <v>43831</v>
      </c>
      <c r="H99" s="74" t="s">
        <v>332</v>
      </c>
      <c r="I99" s="84">
        <v>0.87</v>
      </c>
      <c r="J99" s="87" t="s">
        <v>137</v>
      </c>
      <c r="K99" s="87" t="s">
        <v>154</v>
      </c>
      <c r="L99" s="88">
        <v>6.0563000000000006E-2</v>
      </c>
      <c r="M99" s="88">
        <v>7.8600000000000017E-2</v>
      </c>
      <c r="N99" s="84">
        <v>3340.11</v>
      </c>
      <c r="O99" s="86">
        <v>99.67</v>
      </c>
      <c r="P99" s="84">
        <v>11.868209999999999</v>
      </c>
      <c r="Q99" s="85">
        <f t="shared" si="2"/>
        <v>1.2059121669357065E-3</v>
      </c>
      <c r="R99" s="85">
        <f>P99/'סכום נכסי הקרן'!$C$42</f>
        <v>4.079004427564191E-5</v>
      </c>
    </row>
    <row r="100" spans="2:18">
      <c r="B100" s="77" t="s">
        <v>1291</v>
      </c>
      <c r="C100" s="87" t="s">
        <v>1202</v>
      </c>
      <c r="D100" s="74">
        <v>7058</v>
      </c>
      <c r="E100" s="74"/>
      <c r="F100" s="74" t="s">
        <v>525</v>
      </c>
      <c r="G100" s="96">
        <v>43761</v>
      </c>
      <c r="H100" s="74" t="s">
        <v>332</v>
      </c>
      <c r="I100" s="84">
        <v>0.87</v>
      </c>
      <c r="J100" s="87" t="s">
        <v>137</v>
      </c>
      <c r="K100" s="87" t="s">
        <v>154</v>
      </c>
      <c r="L100" s="88">
        <v>6.0563000000000006E-2</v>
      </c>
      <c r="M100" s="88">
        <v>7.8599999999999989E-2</v>
      </c>
      <c r="N100" s="84">
        <v>130.56</v>
      </c>
      <c r="O100" s="86">
        <v>99.67</v>
      </c>
      <c r="P100" s="84">
        <v>0.46392</v>
      </c>
      <c r="Q100" s="85">
        <f t="shared" si="2"/>
        <v>4.7138260317673262E-5</v>
      </c>
      <c r="R100" s="85">
        <f>P100/'סכום נכסי הקרן'!$C$42</f>
        <v>1.5944542050027592E-6</v>
      </c>
    </row>
    <row r="101" spans="2:18">
      <c r="B101" s="77" t="s">
        <v>1291</v>
      </c>
      <c r="C101" s="87" t="s">
        <v>1202</v>
      </c>
      <c r="D101" s="74">
        <v>7078</v>
      </c>
      <c r="E101" s="74"/>
      <c r="F101" s="74" t="s">
        <v>525</v>
      </c>
      <c r="G101" s="96">
        <v>43677</v>
      </c>
      <c r="H101" s="74" t="s">
        <v>332</v>
      </c>
      <c r="I101" s="84">
        <v>0.87</v>
      </c>
      <c r="J101" s="87" t="s">
        <v>137</v>
      </c>
      <c r="K101" s="87" t="s">
        <v>154</v>
      </c>
      <c r="L101" s="88">
        <v>6.0563000000000006E-2</v>
      </c>
      <c r="M101" s="88">
        <v>7.8599999999999989E-2</v>
      </c>
      <c r="N101" s="84">
        <v>2350.08</v>
      </c>
      <c r="O101" s="86">
        <v>99.67</v>
      </c>
      <c r="P101" s="84">
        <v>8.3504100000000001</v>
      </c>
      <c r="Q101" s="85">
        <f t="shared" si="2"/>
        <v>8.4847344442856955E-4</v>
      </c>
      <c r="R101" s="85">
        <f>P101/'סכום נכסי הקרן'!$C$42</f>
        <v>2.8699660152606246E-5</v>
      </c>
    </row>
    <row r="102" spans="2:18">
      <c r="B102" s="77" t="s">
        <v>1292</v>
      </c>
      <c r="C102" s="87" t="s">
        <v>1202</v>
      </c>
      <c r="D102" s="74" t="s">
        <v>1249</v>
      </c>
      <c r="E102" s="74"/>
      <c r="F102" s="74" t="s">
        <v>712</v>
      </c>
      <c r="G102" s="96">
        <v>42732</v>
      </c>
      <c r="H102" s="74" t="s">
        <v>1199</v>
      </c>
      <c r="I102" s="84">
        <v>3.45</v>
      </c>
      <c r="J102" s="87" t="s">
        <v>147</v>
      </c>
      <c r="K102" s="87" t="s">
        <v>155</v>
      </c>
      <c r="L102" s="88">
        <v>2.1613000000000004E-2</v>
      </c>
      <c r="M102" s="88">
        <v>3.32E-2</v>
      </c>
      <c r="N102" s="84">
        <v>88360.43</v>
      </c>
      <c r="O102" s="86">
        <v>97.48</v>
      </c>
      <c r="P102" s="84">
        <v>86.133750000000006</v>
      </c>
      <c r="Q102" s="85">
        <f t="shared" si="2"/>
        <v>8.7519294913721967E-3</v>
      </c>
      <c r="R102" s="85">
        <f>P102/'סכום נכסי הקרן'!$C$42</f>
        <v>2.9603448844662102E-4</v>
      </c>
    </row>
    <row r="103" spans="2:18">
      <c r="B103" s="77" t="s">
        <v>1293</v>
      </c>
      <c r="C103" s="87" t="s">
        <v>1200</v>
      </c>
      <c r="D103" s="74" t="s">
        <v>1250</v>
      </c>
      <c r="E103" s="74"/>
      <c r="F103" s="74" t="s">
        <v>712</v>
      </c>
      <c r="G103" s="96">
        <v>42978</v>
      </c>
      <c r="H103" s="74" t="s">
        <v>1199</v>
      </c>
      <c r="I103" s="84">
        <v>2.74</v>
      </c>
      <c r="J103" s="87" t="s">
        <v>147</v>
      </c>
      <c r="K103" s="87" t="s">
        <v>155</v>
      </c>
      <c r="L103" s="88">
        <v>2.4500000000000001E-2</v>
      </c>
      <c r="M103" s="88">
        <v>3.8399999999999997E-2</v>
      </c>
      <c r="N103" s="84">
        <v>14541.51</v>
      </c>
      <c r="O103" s="86">
        <v>96.57</v>
      </c>
      <c r="P103" s="84">
        <v>14.042669999999999</v>
      </c>
      <c r="Q103" s="85">
        <f t="shared" si="2"/>
        <v>1.4268559967562959E-3</v>
      </c>
      <c r="R103" s="85">
        <f>P103/'סכום נכסי הקרן'!$C$42</f>
        <v>4.8263481270404587E-5</v>
      </c>
    </row>
    <row r="104" spans="2:18">
      <c r="B104" s="77" t="s">
        <v>1293</v>
      </c>
      <c r="C104" s="87" t="s">
        <v>1200</v>
      </c>
      <c r="D104" s="74" t="s">
        <v>1251</v>
      </c>
      <c r="E104" s="74"/>
      <c r="F104" s="74" t="s">
        <v>712</v>
      </c>
      <c r="G104" s="96">
        <v>42978</v>
      </c>
      <c r="H104" s="74" t="s">
        <v>1199</v>
      </c>
      <c r="I104" s="84">
        <v>2.73</v>
      </c>
      <c r="J104" s="87" t="s">
        <v>147</v>
      </c>
      <c r="K104" s="87" t="s">
        <v>155</v>
      </c>
      <c r="L104" s="88">
        <v>2.76E-2</v>
      </c>
      <c r="M104" s="88">
        <v>4.1200000000000001E-2</v>
      </c>
      <c r="N104" s="84">
        <v>33930.230000000003</v>
      </c>
      <c r="O104" s="86">
        <v>96.73</v>
      </c>
      <c r="P104" s="84">
        <v>32.820709999999998</v>
      </c>
      <c r="Q104" s="85">
        <f t="shared" si="2"/>
        <v>3.3348662954622824E-3</v>
      </c>
      <c r="R104" s="85">
        <f>P104/'סכום נכסי הקרן'!$C$42</f>
        <v>1.128020328303934E-4</v>
      </c>
    </row>
    <row r="105" spans="2:18">
      <c r="B105" s="77" t="s">
        <v>1294</v>
      </c>
      <c r="C105" s="87" t="s">
        <v>1202</v>
      </c>
      <c r="D105" s="74" t="s">
        <v>1252</v>
      </c>
      <c r="E105" s="74"/>
      <c r="F105" s="74" t="s">
        <v>519</v>
      </c>
      <c r="G105" s="96">
        <v>42825</v>
      </c>
      <c r="H105" s="74" t="s">
        <v>151</v>
      </c>
      <c r="I105" s="84">
        <v>6.47</v>
      </c>
      <c r="J105" s="87" t="s">
        <v>413</v>
      </c>
      <c r="K105" s="87" t="s">
        <v>155</v>
      </c>
      <c r="L105" s="88">
        <v>2.8999999999999998E-2</v>
      </c>
      <c r="M105" s="88">
        <v>3.5999999999999997E-2</v>
      </c>
      <c r="N105" s="84">
        <v>192687.87</v>
      </c>
      <c r="O105" s="86">
        <v>97.21</v>
      </c>
      <c r="P105" s="84">
        <v>187.31188</v>
      </c>
      <c r="Q105" s="85">
        <f t="shared" si="2"/>
        <v>1.9032497327196016E-2</v>
      </c>
      <c r="R105" s="85">
        <f>P105/'סכום נכסי הקרן'!$C$42</f>
        <v>6.4377525157995389E-4</v>
      </c>
    </row>
    <row r="106" spans="2:18">
      <c r="B106" s="77" t="s">
        <v>1295</v>
      </c>
      <c r="C106" s="87" t="s">
        <v>1202</v>
      </c>
      <c r="D106" s="74" t="s">
        <v>1253</v>
      </c>
      <c r="E106" s="74"/>
      <c r="F106" s="74" t="s">
        <v>519</v>
      </c>
      <c r="G106" s="96">
        <v>43552</v>
      </c>
      <c r="H106" s="74" t="s">
        <v>151</v>
      </c>
      <c r="I106" s="84">
        <v>6.3699999999999992</v>
      </c>
      <c r="J106" s="87" t="s">
        <v>413</v>
      </c>
      <c r="K106" s="87" t="s">
        <v>155</v>
      </c>
      <c r="L106" s="88">
        <v>3.5500999999999998E-2</v>
      </c>
      <c r="M106" s="88">
        <v>5.0700000000000002E-2</v>
      </c>
      <c r="N106" s="84">
        <v>185337.57</v>
      </c>
      <c r="O106" s="86">
        <v>90.32</v>
      </c>
      <c r="P106" s="84">
        <v>167.39689000000001</v>
      </c>
      <c r="Q106" s="85">
        <f t="shared" si="2"/>
        <v>1.7008963134137172E-2</v>
      </c>
      <c r="R106" s="85">
        <f>P106/'סכום נכסי הקרן'!$C$42</f>
        <v>5.7532909804467228E-4</v>
      </c>
    </row>
    <row r="107" spans="2:18">
      <c r="B107" s="77" t="s">
        <v>1296</v>
      </c>
      <c r="C107" s="87" t="s">
        <v>1202</v>
      </c>
      <c r="D107" s="74" t="s">
        <v>1254</v>
      </c>
      <c r="E107" s="74"/>
      <c r="F107" s="74" t="s">
        <v>519</v>
      </c>
      <c r="G107" s="96">
        <v>43779</v>
      </c>
      <c r="H107" s="74" t="s">
        <v>151</v>
      </c>
      <c r="I107" s="84">
        <v>8.0900000000000016</v>
      </c>
      <c r="J107" s="87" t="s">
        <v>413</v>
      </c>
      <c r="K107" s="87" t="s">
        <v>155</v>
      </c>
      <c r="L107" s="88">
        <v>2.7243E-2</v>
      </c>
      <c r="M107" s="88">
        <v>5.16E-2</v>
      </c>
      <c r="N107" s="84">
        <v>17791.43</v>
      </c>
      <c r="O107" s="86">
        <v>81.11</v>
      </c>
      <c r="P107" s="84">
        <v>14.430629999999999</v>
      </c>
      <c r="Q107" s="85">
        <f t="shared" si="2"/>
        <v>1.4662760680462692E-3</v>
      </c>
      <c r="R107" s="85">
        <f>P107/'סכום נכסי הקרן'!$C$42</f>
        <v>4.9596867314060541E-5</v>
      </c>
    </row>
    <row r="108" spans="2:18">
      <c r="B108" s="77" t="s">
        <v>1296</v>
      </c>
      <c r="C108" s="87" t="s">
        <v>1202</v>
      </c>
      <c r="D108" s="74" t="s">
        <v>1255</v>
      </c>
      <c r="E108" s="74"/>
      <c r="F108" s="74" t="s">
        <v>519</v>
      </c>
      <c r="G108" s="96">
        <v>43835</v>
      </c>
      <c r="H108" s="74" t="s">
        <v>151</v>
      </c>
      <c r="I108" s="84">
        <v>8.0400000000000009</v>
      </c>
      <c r="J108" s="87" t="s">
        <v>413</v>
      </c>
      <c r="K108" s="87" t="s">
        <v>155</v>
      </c>
      <c r="L108" s="88">
        <v>2.7243E-2</v>
      </c>
      <c r="M108" s="88">
        <v>5.3299999999999993E-2</v>
      </c>
      <c r="N108" s="84">
        <v>9907.33</v>
      </c>
      <c r="O108" s="86">
        <v>80.06</v>
      </c>
      <c r="P108" s="84">
        <v>7.9318100000000005</v>
      </c>
      <c r="Q108" s="85">
        <f t="shared" si="2"/>
        <v>8.0594008572668562E-4</v>
      </c>
      <c r="R108" s="85">
        <f>P108/'סכום נכסי הקרן'!$C$42</f>
        <v>2.7260966993841473E-5</v>
      </c>
    </row>
    <row r="109" spans="2:18">
      <c r="B109" s="77" t="s">
        <v>1296</v>
      </c>
      <c r="C109" s="87" t="s">
        <v>1202</v>
      </c>
      <c r="D109" s="74" t="s">
        <v>1256</v>
      </c>
      <c r="E109" s="74"/>
      <c r="F109" s="74" t="s">
        <v>519</v>
      </c>
      <c r="G109" s="96">
        <v>43227</v>
      </c>
      <c r="H109" s="74" t="s">
        <v>151</v>
      </c>
      <c r="I109" s="84">
        <v>8.42</v>
      </c>
      <c r="J109" s="87" t="s">
        <v>413</v>
      </c>
      <c r="K109" s="87" t="s">
        <v>155</v>
      </c>
      <c r="L109" s="88">
        <v>2.9805999999999999E-2</v>
      </c>
      <c r="M109" s="88">
        <v>3.6799999999999999E-2</v>
      </c>
      <c r="N109" s="84">
        <v>5851.98</v>
      </c>
      <c r="O109" s="86">
        <v>94.27</v>
      </c>
      <c r="P109" s="84">
        <v>5.5166599999999999</v>
      </c>
      <c r="Q109" s="85">
        <f t="shared" si="2"/>
        <v>5.6054008269549791E-4</v>
      </c>
      <c r="R109" s="85">
        <f>P109/'סכום נכסי הקרן'!$C$42</f>
        <v>1.8960298617370497E-5</v>
      </c>
    </row>
    <row r="110" spans="2:18">
      <c r="B110" s="77" t="s">
        <v>1296</v>
      </c>
      <c r="C110" s="87" t="s">
        <v>1202</v>
      </c>
      <c r="D110" s="74" t="s">
        <v>1257</v>
      </c>
      <c r="E110" s="74"/>
      <c r="F110" s="74" t="s">
        <v>519</v>
      </c>
      <c r="G110" s="96">
        <v>43279</v>
      </c>
      <c r="H110" s="74" t="s">
        <v>151</v>
      </c>
      <c r="I110" s="84">
        <v>8.4600000000000009</v>
      </c>
      <c r="J110" s="87" t="s">
        <v>413</v>
      </c>
      <c r="K110" s="87" t="s">
        <v>155</v>
      </c>
      <c r="L110" s="88">
        <v>2.9796999999999997E-2</v>
      </c>
      <c r="M110" s="88">
        <v>3.5099999999999999E-2</v>
      </c>
      <c r="N110" s="84">
        <v>6844.06</v>
      </c>
      <c r="O110" s="86">
        <v>94.7</v>
      </c>
      <c r="P110" s="84">
        <v>6.4813199999999993</v>
      </c>
      <c r="Q110" s="85">
        <f t="shared" si="2"/>
        <v>6.5855783187218067E-4</v>
      </c>
      <c r="R110" s="85">
        <f>P110/'סכום נכסי הקרן'!$C$42</f>
        <v>2.227575428515365E-5</v>
      </c>
    </row>
    <row r="111" spans="2:18">
      <c r="B111" s="77" t="s">
        <v>1296</v>
      </c>
      <c r="C111" s="87" t="s">
        <v>1202</v>
      </c>
      <c r="D111" s="74" t="s">
        <v>1258</v>
      </c>
      <c r="E111" s="74"/>
      <c r="F111" s="74" t="s">
        <v>519</v>
      </c>
      <c r="G111" s="96">
        <v>43321</v>
      </c>
      <c r="H111" s="74" t="s">
        <v>151</v>
      </c>
      <c r="I111" s="84">
        <v>8.4700000000000006</v>
      </c>
      <c r="J111" s="87" t="s">
        <v>413</v>
      </c>
      <c r="K111" s="87" t="s">
        <v>155</v>
      </c>
      <c r="L111" s="88">
        <v>3.0529000000000001E-2</v>
      </c>
      <c r="M111" s="88">
        <v>3.4500000000000003E-2</v>
      </c>
      <c r="N111" s="84">
        <v>38339.449999999997</v>
      </c>
      <c r="O111" s="86">
        <v>95.68</v>
      </c>
      <c r="P111" s="84">
        <v>36.683190000000003</v>
      </c>
      <c r="Q111" s="85">
        <f t="shared" si="2"/>
        <v>3.7273274691814727E-3</v>
      </c>
      <c r="R111" s="85">
        <f>P111/'סכום נכסי הקרן'!$C$42</f>
        <v>1.2607705326007755E-4</v>
      </c>
    </row>
    <row r="112" spans="2:18">
      <c r="B112" s="77" t="s">
        <v>1296</v>
      </c>
      <c r="C112" s="87" t="s">
        <v>1202</v>
      </c>
      <c r="D112" s="74" t="s">
        <v>1259</v>
      </c>
      <c r="E112" s="74"/>
      <c r="F112" s="74" t="s">
        <v>519</v>
      </c>
      <c r="G112" s="96">
        <v>43138</v>
      </c>
      <c r="H112" s="74" t="s">
        <v>151</v>
      </c>
      <c r="I112" s="84">
        <v>8.3500000000000014</v>
      </c>
      <c r="J112" s="87" t="s">
        <v>413</v>
      </c>
      <c r="K112" s="87" t="s">
        <v>155</v>
      </c>
      <c r="L112" s="88">
        <v>2.8243000000000001E-2</v>
      </c>
      <c r="M112" s="88">
        <v>4.07E-2</v>
      </c>
      <c r="N112" s="84">
        <v>36692.74</v>
      </c>
      <c r="O112" s="86">
        <v>89.97</v>
      </c>
      <c r="P112" s="84">
        <v>33.012459999999997</v>
      </c>
      <c r="Q112" s="85">
        <f t="shared" si="2"/>
        <v>3.3543497439359714E-3</v>
      </c>
      <c r="R112" s="85">
        <f>P112/'סכום נכסי הקרן'!$C$42</f>
        <v>1.1346106152889589E-4</v>
      </c>
    </row>
    <row r="113" spans="2:18">
      <c r="B113" s="77" t="s">
        <v>1296</v>
      </c>
      <c r="C113" s="87" t="s">
        <v>1202</v>
      </c>
      <c r="D113" s="74" t="s">
        <v>1260</v>
      </c>
      <c r="E113" s="74"/>
      <c r="F113" s="74" t="s">
        <v>519</v>
      </c>
      <c r="G113" s="96">
        <v>43417</v>
      </c>
      <c r="H113" s="74" t="s">
        <v>151</v>
      </c>
      <c r="I113" s="84">
        <v>8.3699999999999992</v>
      </c>
      <c r="J113" s="87" t="s">
        <v>413</v>
      </c>
      <c r="K113" s="87" t="s">
        <v>155</v>
      </c>
      <c r="L113" s="88">
        <v>3.2797E-2</v>
      </c>
      <c r="M113" s="88">
        <v>3.6499999999999998E-2</v>
      </c>
      <c r="N113" s="84">
        <v>43651.199999999997</v>
      </c>
      <c r="O113" s="86">
        <v>95.97</v>
      </c>
      <c r="P113" s="84">
        <v>41.892050000000005</v>
      </c>
      <c r="Q113" s="85">
        <f t="shared" si="2"/>
        <v>4.2565924257220739E-3</v>
      </c>
      <c r="R113" s="85">
        <f>P113/'סכום נכסי הקרן'!$C$42</f>
        <v>1.4397946904355459E-4</v>
      </c>
    </row>
    <row r="114" spans="2:18">
      <c r="B114" s="77" t="s">
        <v>1296</v>
      </c>
      <c r="C114" s="87" t="s">
        <v>1202</v>
      </c>
      <c r="D114" s="74" t="s">
        <v>1261</v>
      </c>
      <c r="E114" s="74"/>
      <c r="F114" s="74" t="s">
        <v>519</v>
      </c>
      <c r="G114" s="96">
        <v>43496</v>
      </c>
      <c r="H114" s="74" t="s">
        <v>151</v>
      </c>
      <c r="I114" s="84">
        <v>8.4700000000000006</v>
      </c>
      <c r="J114" s="87" t="s">
        <v>413</v>
      </c>
      <c r="K114" s="87" t="s">
        <v>155</v>
      </c>
      <c r="L114" s="88">
        <v>3.2190999999999997E-2</v>
      </c>
      <c r="M114" s="88">
        <v>3.2899999999999999E-2</v>
      </c>
      <c r="N114" s="84">
        <v>55161.94</v>
      </c>
      <c r="O114" s="86">
        <v>98.42</v>
      </c>
      <c r="P114" s="84">
        <v>54.290379999999999</v>
      </c>
      <c r="Q114" s="85">
        <f t="shared" si="2"/>
        <v>5.5163693420964867E-3</v>
      </c>
      <c r="R114" s="85">
        <f>P114/'סכום נכסי הקרן'!$C$42</f>
        <v>1.86591491382561E-4</v>
      </c>
    </row>
    <row r="115" spans="2:18">
      <c r="B115" s="77" t="s">
        <v>1296</v>
      </c>
      <c r="C115" s="87" t="s">
        <v>1202</v>
      </c>
      <c r="D115" s="74" t="s">
        <v>1262</v>
      </c>
      <c r="E115" s="74"/>
      <c r="F115" s="74" t="s">
        <v>519</v>
      </c>
      <c r="G115" s="96">
        <v>43613</v>
      </c>
      <c r="H115" s="74" t="s">
        <v>151</v>
      </c>
      <c r="I115" s="84">
        <v>8.5</v>
      </c>
      <c r="J115" s="87" t="s">
        <v>413</v>
      </c>
      <c r="K115" s="87" t="s">
        <v>155</v>
      </c>
      <c r="L115" s="88">
        <v>2.7243E-2</v>
      </c>
      <c r="M115" s="88">
        <v>3.5799999999999998E-2</v>
      </c>
      <c r="N115" s="84">
        <v>14559.14</v>
      </c>
      <c r="O115" s="86">
        <v>91.96</v>
      </c>
      <c r="P115" s="84">
        <v>13.388579999999999</v>
      </c>
      <c r="Q115" s="85">
        <f t="shared" si="2"/>
        <v>1.3603948295481847E-3</v>
      </c>
      <c r="R115" s="85">
        <f>P115/'סכום נכסי הקרן'!$C$42</f>
        <v>4.601542869463666E-5</v>
      </c>
    </row>
    <row r="116" spans="2:18">
      <c r="B116" s="77" t="s">
        <v>1296</v>
      </c>
      <c r="C116" s="87" t="s">
        <v>1202</v>
      </c>
      <c r="D116" s="74" t="s">
        <v>1263</v>
      </c>
      <c r="E116" s="74"/>
      <c r="F116" s="74" t="s">
        <v>519</v>
      </c>
      <c r="G116" s="96">
        <v>43677</v>
      </c>
      <c r="H116" s="74" t="s">
        <v>151</v>
      </c>
      <c r="I116" s="84">
        <v>8.35</v>
      </c>
      <c r="J116" s="87" t="s">
        <v>413</v>
      </c>
      <c r="K116" s="87" t="s">
        <v>155</v>
      </c>
      <c r="L116" s="88">
        <v>2.7243E-2</v>
      </c>
      <c r="M116" s="88">
        <v>4.1500000000000002E-2</v>
      </c>
      <c r="N116" s="84">
        <v>14364.12</v>
      </c>
      <c r="O116" s="86">
        <v>87.82</v>
      </c>
      <c r="P116" s="84">
        <v>12.614570000000001</v>
      </c>
      <c r="Q116" s="85">
        <f t="shared" si="2"/>
        <v>1.2817487593884973E-3</v>
      </c>
      <c r="R116" s="85">
        <f>P116/'סכום נכסי הקרן'!$C$42</f>
        <v>4.3355221117437613E-5</v>
      </c>
    </row>
    <row r="117" spans="2:18">
      <c r="B117" s="77" t="s">
        <v>1296</v>
      </c>
      <c r="C117" s="87" t="s">
        <v>1202</v>
      </c>
      <c r="D117" s="74" t="s">
        <v>1264</v>
      </c>
      <c r="E117" s="74"/>
      <c r="F117" s="74" t="s">
        <v>519</v>
      </c>
      <c r="G117" s="96">
        <v>43541</v>
      </c>
      <c r="H117" s="74" t="s">
        <v>151</v>
      </c>
      <c r="I117" s="84">
        <v>8.4799999999999986</v>
      </c>
      <c r="J117" s="87" t="s">
        <v>413</v>
      </c>
      <c r="K117" s="87" t="s">
        <v>155</v>
      </c>
      <c r="L117" s="88">
        <v>2.9270999999999998E-2</v>
      </c>
      <c r="M117" s="88">
        <v>3.5200000000000002E-2</v>
      </c>
      <c r="N117" s="84">
        <v>4737.0200000000004</v>
      </c>
      <c r="O117" s="86">
        <v>94.19</v>
      </c>
      <c r="P117" s="84">
        <v>4.4618000000000002</v>
      </c>
      <c r="Q117" s="85">
        <f t="shared" si="2"/>
        <v>4.5335723806991414E-4</v>
      </c>
      <c r="R117" s="85">
        <f>P117/'סכום נכסי הקרן'!$C$42</f>
        <v>1.5334833100278734E-5</v>
      </c>
    </row>
    <row r="118" spans="2:18">
      <c r="B118" s="77" t="s">
        <v>1297</v>
      </c>
      <c r="C118" s="87" t="s">
        <v>1200</v>
      </c>
      <c r="D118" s="74">
        <v>7561</v>
      </c>
      <c r="E118" s="74"/>
      <c r="F118" s="74" t="s">
        <v>719</v>
      </c>
      <c r="G118" s="96">
        <v>43920</v>
      </c>
      <c r="H118" s="74" t="s">
        <v>1199</v>
      </c>
      <c r="I118" s="84">
        <v>7.07</v>
      </c>
      <c r="J118" s="87" t="s">
        <v>1204</v>
      </c>
      <c r="K118" s="87" t="s">
        <v>155</v>
      </c>
      <c r="L118" s="88">
        <v>5.5918000000000002E-2</v>
      </c>
      <c r="M118" s="88">
        <v>5.79E-2</v>
      </c>
      <c r="N118" s="84">
        <v>63783.69</v>
      </c>
      <c r="O118" s="86">
        <v>99.5</v>
      </c>
      <c r="P118" s="84">
        <v>63.464769999999994</v>
      </c>
      <c r="Q118" s="85">
        <f t="shared" si="2"/>
        <v>6.4485662382765567E-3</v>
      </c>
      <c r="R118" s="85">
        <f>P118/'סכום נכסי הקרן'!$C$42</f>
        <v>2.181231018193502E-4</v>
      </c>
    </row>
    <row r="119" spans="2:18">
      <c r="B119" s="77" t="s">
        <v>1298</v>
      </c>
      <c r="C119" s="87" t="s">
        <v>1202</v>
      </c>
      <c r="D119" s="74" t="s">
        <v>1265</v>
      </c>
      <c r="E119" s="74"/>
      <c r="F119" s="74" t="s">
        <v>550</v>
      </c>
      <c r="G119" s="96">
        <v>43803</v>
      </c>
      <c r="H119" s="74"/>
      <c r="I119" s="84">
        <v>6.4700000000000006</v>
      </c>
      <c r="J119" s="87" t="s">
        <v>413</v>
      </c>
      <c r="K119" s="87" t="s">
        <v>156</v>
      </c>
      <c r="L119" s="88">
        <v>2.3629999999999998E-2</v>
      </c>
      <c r="M119" s="88">
        <v>4.6200000000000012E-2</v>
      </c>
      <c r="N119" s="84">
        <v>126480.52</v>
      </c>
      <c r="O119" s="86">
        <v>86.87</v>
      </c>
      <c r="P119" s="84">
        <v>428.54010999999997</v>
      </c>
      <c r="Q119" s="85">
        <f t="shared" si="2"/>
        <v>4.3543359332954674E-2</v>
      </c>
      <c r="R119" s="85">
        <f>P119/'סכום נכסי הקרן'!$C$42</f>
        <v>1.4728564847427249E-3</v>
      </c>
    </row>
    <row r="120" spans="2:18">
      <c r="B120" s="77" t="s">
        <v>1299</v>
      </c>
      <c r="C120" s="87" t="s">
        <v>1200</v>
      </c>
      <c r="D120" s="74">
        <v>7202</v>
      </c>
      <c r="E120" s="74"/>
      <c r="F120" s="74" t="s">
        <v>550</v>
      </c>
      <c r="G120" s="96">
        <v>43734</v>
      </c>
      <c r="H120" s="74"/>
      <c r="I120" s="84">
        <v>2.0300000000000007</v>
      </c>
      <c r="J120" s="87" t="s">
        <v>522</v>
      </c>
      <c r="K120" s="87" t="s">
        <v>155</v>
      </c>
      <c r="L120" s="88">
        <v>2.2499999999999999E-2</v>
      </c>
      <c r="M120" s="88">
        <v>4.2700000000000002E-2</v>
      </c>
      <c r="N120" s="84">
        <v>54218.05</v>
      </c>
      <c r="O120" s="86">
        <v>96.13</v>
      </c>
      <c r="P120" s="84">
        <v>52.119810000000001</v>
      </c>
      <c r="Q120" s="85">
        <f t="shared" si="2"/>
        <v>5.2958207697182064E-3</v>
      </c>
      <c r="R120" s="85">
        <f>P120/'סכום נכסי הקרן'!$C$42</f>
        <v>1.7913142399216428E-4</v>
      </c>
    </row>
    <row r="121" spans="2:18">
      <c r="B121" s="77" t="s">
        <v>1299</v>
      </c>
      <c r="C121" s="87" t="s">
        <v>1200</v>
      </c>
      <c r="D121" s="74">
        <v>7203</v>
      </c>
      <c r="E121" s="74"/>
      <c r="F121" s="74" t="s">
        <v>550</v>
      </c>
      <c r="G121" s="96">
        <v>43734</v>
      </c>
      <c r="H121" s="74"/>
      <c r="I121" s="84">
        <v>0.16999999999999998</v>
      </c>
      <c r="J121" s="87" t="s">
        <v>522</v>
      </c>
      <c r="K121" s="87" t="s">
        <v>155</v>
      </c>
      <c r="L121" s="88">
        <v>0.02</v>
      </c>
      <c r="M121" s="88">
        <v>1.11E-2</v>
      </c>
      <c r="N121" s="84">
        <v>441.47</v>
      </c>
      <c r="O121" s="86">
        <v>100.15</v>
      </c>
      <c r="P121" s="84">
        <v>0.44213000000000002</v>
      </c>
      <c r="Q121" s="85">
        <f t="shared" si="2"/>
        <v>4.4924208989163823E-5</v>
      </c>
      <c r="R121" s="85">
        <f>P121/'סכום נכסי הקרן'!$C$42</f>
        <v>1.5195637990555913E-6</v>
      </c>
    </row>
    <row r="122" spans="2:18">
      <c r="B122" s="77" t="s">
        <v>1299</v>
      </c>
      <c r="C122" s="87" t="s">
        <v>1200</v>
      </c>
      <c r="D122" s="74">
        <v>7372</v>
      </c>
      <c r="E122" s="74"/>
      <c r="F122" s="74" t="s">
        <v>550</v>
      </c>
      <c r="G122" s="96">
        <v>43853</v>
      </c>
      <c r="H122" s="74"/>
      <c r="I122" s="84">
        <v>2.0299999999999998</v>
      </c>
      <c r="J122" s="87" t="s">
        <v>522</v>
      </c>
      <c r="K122" s="87" t="s">
        <v>155</v>
      </c>
      <c r="L122" s="88">
        <v>2.2499999999999999E-2</v>
      </c>
      <c r="M122" s="88">
        <v>5.0099999999999999E-2</v>
      </c>
      <c r="N122" s="84">
        <v>3925.9</v>
      </c>
      <c r="O122" s="86">
        <v>94.77</v>
      </c>
      <c r="P122" s="84">
        <v>3.7205700000000004</v>
      </c>
      <c r="Q122" s="85">
        <f t="shared" si="2"/>
        <v>3.7804189771970518E-4</v>
      </c>
      <c r="R122" s="85">
        <f>P122/'סכום נכסי הקרן'!$C$42</f>
        <v>1.2787287639047932E-5</v>
      </c>
    </row>
    <row r="123" spans="2:18">
      <c r="B123" s="77" t="s">
        <v>1299</v>
      </c>
      <c r="C123" s="87" t="s">
        <v>1200</v>
      </c>
      <c r="D123" s="74">
        <v>7250</v>
      </c>
      <c r="E123" s="74"/>
      <c r="F123" s="74" t="s">
        <v>550</v>
      </c>
      <c r="G123" s="96">
        <v>43768</v>
      </c>
      <c r="H123" s="74"/>
      <c r="I123" s="84">
        <v>2.0300000000000002</v>
      </c>
      <c r="J123" s="87" t="s">
        <v>522</v>
      </c>
      <c r="K123" s="87" t="s">
        <v>155</v>
      </c>
      <c r="L123" s="88">
        <v>2.2499999999999999E-2</v>
      </c>
      <c r="M123" s="88">
        <v>4.6399999999999997E-2</v>
      </c>
      <c r="N123" s="84">
        <v>28918.03</v>
      </c>
      <c r="O123" s="86">
        <v>95.45</v>
      </c>
      <c r="P123" s="84">
        <v>27.602259999999998</v>
      </c>
      <c r="Q123" s="85">
        <f t="shared" si="2"/>
        <v>2.8046269124765042E-3</v>
      </c>
      <c r="R123" s="85">
        <f>P123/'סכום נכסי הקרן'!$C$42</f>
        <v>9.4866657019700496E-5</v>
      </c>
    </row>
    <row r="124" spans="2:18">
      <c r="B124" s="77" t="s">
        <v>1299</v>
      </c>
      <c r="C124" s="87" t="s">
        <v>1200</v>
      </c>
      <c r="D124" s="74">
        <v>7375</v>
      </c>
      <c r="E124" s="74"/>
      <c r="F124" s="74" t="s">
        <v>550</v>
      </c>
      <c r="G124" s="96">
        <v>43853</v>
      </c>
      <c r="H124" s="74"/>
      <c r="I124" s="84">
        <v>0.16999999999999998</v>
      </c>
      <c r="J124" s="87" t="s">
        <v>522</v>
      </c>
      <c r="K124" s="87" t="s">
        <v>155</v>
      </c>
      <c r="L124" s="88">
        <v>0.02</v>
      </c>
      <c r="M124" s="88">
        <v>4.2999999999999997E-2</v>
      </c>
      <c r="N124" s="84">
        <v>7603.69</v>
      </c>
      <c r="O124" s="86">
        <v>99.63</v>
      </c>
      <c r="P124" s="84">
        <v>7.5755600000000003</v>
      </c>
      <c r="Q124" s="85">
        <f t="shared" si="2"/>
        <v>7.6974202304740667E-4</v>
      </c>
      <c r="R124" s="85">
        <f>P124/'סכום נכסי הקרן'!$C$42</f>
        <v>2.6036565565724054E-5</v>
      </c>
    </row>
    <row r="125" spans="2:18">
      <c r="B125" s="77" t="s">
        <v>1299</v>
      </c>
      <c r="C125" s="87" t="s">
        <v>1200</v>
      </c>
      <c r="D125" s="74">
        <v>7251</v>
      </c>
      <c r="E125" s="74"/>
      <c r="F125" s="74" t="s">
        <v>550</v>
      </c>
      <c r="G125" s="96">
        <v>43768</v>
      </c>
      <c r="H125" s="74"/>
      <c r="I125" s="84">
        <v>0.17000000000000004</v>
      </c>
      <c r="J125" s="87" t="s">
        <v>522</v>
      </c>
      <c r="K125" s="87" t="s">
        <v>155</v>
      </c>
      <c r="L125" s="88">
        <v>0.02</v>
      </c>
      <c r="M125" s="88">
        <v>2.4300000000000006E-2</v>
      </c>
      <c r="N125" s="84">
        <v>337.18</v>
      </c>
      <c r="O125" s="86">
        <v>99.93</v>
      </c>
      <c r="P125" s="84">
        <v>0.33694999999999997</v>
      </c>
      <c r="Q125" s="85">
        <f t="shared" si="2"/>
        <v>3.4237016757285749E-5</v>
      </c>
      <c r="R125" s="85">
        <f>P125/'סכום נכסי הקרן'!$C$42</f>
        <v>1.1580689437309874E-6</v>
      </c>
    </row>
    <row r="126" spans="2:18">
      <c r="B126" s="77" t="s">
        <v>1300</v>
      </c>
      <c r="C126" s="87" t="s">
        <v>1200</v>
      </c>
      <c r="D126" s="74">
        <v>6718</v>
      </c>
      <c r="E126" s="74"/>
      <c r="F126" s="74" t="s">
        <v>550</v>
      </c>
      <c r="G126" s="96">
        <v>43482</v>
      </c>
      <c r="H126" s="74"/>
      <c r="I126" s="84">
        <v>3.36</v>
      </c>
      <c r="J126" s="87" t="s">
        <v>1204</v>
      </c>
      <c r="K126" s="87" t="s">
        <v>155</v>
      </c>
      <c r="L126" s="88">
        <v>4.1299999999999996E-2</v>
      </c>
      <c r="M126" s="88">
        <v>3.8399999999999997E-2</v>
      </c>
      <c r="N126" s="84">
        <v>248495.07</v>
      </c>
      <c r="O126" s="86">
        <v>102.1</v>
      </c>
      <c r="P126" s="84">
        <v>253.71347</v>
      </c>
      <c r="Q126" s="85">
        <f t="shared" si="2"/>
        <v>2.5779469725297866E-2</v>
      </c>
      <c r="R126" s="85">
        <f>P126/'סכום נכסי הקרן'!$C$42</f>
        <v>8.7199195789649381E-4</v>
      </c>
    </row>
    <row r="127" spans="2:18">
      <c r="B127" s="73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84"/>
      <c r="O127" s="86"/>
      <c r="P127" s="74"/>
      <c r="Q127" s="85"/>
      <c r="R127" s="74"/>
    </row>
    <row r="128" spans="2:18">
      <c r="B128" s="71" t="s">
        <v>36</v>
      </c>
      <c r="C128" s="72"/>
      <c r="D128" s="72"/>
      <c r="E128" s="72"/>
      <c r="F128" s="72"/>
      <c r="G128" s="72"/>
      <c r="H128" s="72"/>
      <c r="I128" s="81">
        <v>4.4734019926110165</v>
      </c>
      <c r="J128" s="72"/>
      <c r="K128" s="72"/>
      <c r="L128" s="72"/>
      <c r="M128" s="94">
        <v>3.8964716718845903E-2</v>
      </c>
      <c r="N128" s="81"/>
      <c r="O128" s="83"/>
      <c r="P128" s="81">
        <f>P129</f>
        <v>3272.1569600000003</v>
      </c>
      <c r="Q128" s="82">
        <f t="shared" ref="Q128:Q183" si="3">P128/$P$10</f>
        <v>0.33247927785128123</v>
      </c>
      <c r="R128" s="82">
        <f>P128/'סכום נכסי הקרן'!$C$42</f>
        <v>1.1246129557469059E-2</v>
      </c>
    </row>
    <row r="129" spans="2:18">
      <c r="B129" s="92" t="s">
        <v>34</v>
      </c>
      <c r="C129" s="72"/>
      <c r="D129" s="72"/>
      <c r="E129" s="72"/>
      <c r="F129" s="72"/>
      <c r="G129" s="72"/>
      <c r="H129" s="72"/>
      <c r="I129" s="81">
        <v>4.4734019926110165</v>
      </c>
      <c r="J129" s="72"/>
      <c r="K129" s="72"/>
      <c r="L129" s="72"/>
      <c r="M129" s="94">
        <v>3.8964716718845903E-2</v>
      </c>
      <c r="N129" s="81"/>
      <c r="O129" s="83"/>
      <c r="P129" s="81">
        <f>SUM(P130:P185)</f>
        <v>3272.1569600000003</v>
      </c>
      <c r="Q129" s="82">
        <f t="shared" si="3"/>
        <v>0.33247927785128123</v>
      </c>
      <c r="R129" s="82">
        <f>P129/'סכום נכסי הקרן'!$C$42</f>
        <v>1.1246129557469059E-2</v>
      </c>
    </row>
    <row r="130" spans="2:18">
      <c r="B130" s="77" t="s">
        <v>1302</v>
      </c>
      <c r="C130" s="87" t="s">
        <v>1202</v>
      </c>
      <c r="D130" s="74" t="s">
        <v>1267</v>
      </c>
      <c r="E130" s="74"/>
      <c r="F130" s="74" t="s">
        <v>777</v>
      </c>
      <c r="G130" s="96">
        <v>43811</v>
      </c>
      <c r="H130" s="74" t="s">
        <v>670</v>
      </c>
      <c r="I130" s="84">
        <v>9.9600000000000009</v>
      </c>
      <c r="J130" s="87" t="s">
        <v>756</v>
      </c>
      <c r="K130" s="87" t="s">
        <v>154</v>
      </c>
      <c r="L130" s="88">
        <v>4.4800000000000006E-2</v>
      </c>
      <c r="M130" s="88">
        <v>3.6900000000000002E-2</v>
      </c>
      <c r="N130" s="84">
        <v>21029.52</v>
      </c>
      <c r="O130" s="86">
        <v>108.93</v>
      </c>
      <c r="P130" s="84">
        <v>81.665089999999992</v>
      </c>
      <c r="Q130" s="85">
        <f t="shared" si="3"/>
        <v>8.2978752183268997E-3</v>
      </c>
      <c r="R130" s="85">
        <f>P130/'סכום נכסי הקרן'!$C$42</f>
        <v>2.8067607810059657E-4</v>
      </c>
    </row>
    <row r="131" spans="2:18">
      <c r="B131" s="77" t="s">
        <v>1303</v>
      </c>
      <c r="C131" s="87" t="s">
        <v>1202</v>
      </c>
      <c r="D131" s="74">
        <v>7088</v>
      </c>
      <c r="E131" s="74"/>
      <c r="F131" s="74" t="s">
        <v>689</v>
      </c>
      <c r="G131" s="96">
        <v>43684</v>
      </c>
      <c r="H131" s="74" t="s">
        <v>690</v>
      </c>
      <c r="I131" s="84">
        <v>8.5</v>
      </c>
      <c r="J131" s="87" t="s">
        <v>688</v>
      </c>
      <c r="K131" s="87" t="s">
        <v>154</v>
      </c>
      <c r="L131" s="88">
        <v>4.36E-2</v>
      </c>
      <c r="M131" s="88">
        <v>4.2800000000000005E-2</v>
      </c>
      <c r="N131" s="84">
        <v>66724.39</v>
      </c>
      <c r="O131" s="86">
        <v>102.11</v>
      </c>
      <c r="P131" s="84">
        <v>242.89155</v>
      </c>
      <c r="Q131" s="85">
        <f t="shared" si="3"/>
        <v>2.4679869617311501E-2</v>
      </c>
      <c r="R131" s="85">
        <f>P131/'סכום נכסי הקרן'!$C$42</f>
        <v>8.3479792476534305E-4</v>
      </c>
    </row>
    <row r="132" spans="2:18">
      <c r="B132" s="77" t="s">
        <v>1304</v>
      </c>
      <c r="C132" s="87" t="s">
        <v>1202</v>
      </c>
      <c r="D132" s="74">
        <v>7258</v>
      </c>
      <c r="E132" s="74"/>
      <c r="F132" s="74" t="s">
        <v>550</v>
      </c>
      <c r="G132" s="96">
        <v>43774</v>
      </c>
      <c r="H132" s="74"/>
      <c r="I132" s="84">
        <v>5.1999999999999993</v>
      </c>
      <c r="J132" s="87" t="s">
        <v>688</v>
      </c>
      <c r="K132" s="87" t="s">
        <v>154</v>
      </c>
      <c r="L132" s="88">
        <v>3.2393999999999999E-2</v>
      </c>
      <c r="M132" s="88">
        <v>3.1200000000000002E-2</v>
      </c>
      <c r="N132" s="84">
        <v>17143.740000000002</v>
      </c>
      <c r="O132" s="86">
        <v>101.91</v>
      </c>
      <c r="P132" s="84">
        <v>62.284759999999999</v>
      </c>
      <c r="Q132" s="85">
        <f t="shared" si="3"/>
        <v>6.3286670777371158E-3</v>
      </c>
      <c r="R132" s="85">
        <f>P132/'סכום נכסי הקרן'!$C$42</f>
        <v>2.140675062286335E-4</v>
      </c>
    </row>
    <row r="133" spans="2:18">
      <c r="B133" s="77" t="s">
        <v>1305</v>
      </c>
      <c r="C133" s="87" t="s">
        <v>1202</v>
      </c>
      <c r="D133" s="74">
        <v>7030</v>
      </c>
      <c r="E133" s="74"/>
      <c r="F133" s="74" t="s">
        <v>550</v>
      </c>
      <c r="G133" s="96">
        <v>43649</v>
      </c>
      <c r="H133" s="74"/>
      <c r="I133" s="84">
        <v>1.0999999999999999</v>
      </c>
      <c r="J133" s="87" t="s">
        <v>756</v>
      </c>
      <c r="K133" s="87" t="s">
        <v>154</v>
      </c>
      <c r="L133" s="88">
        <v>3.2729000000000001E-2</v>
      </c>
      <c r="M133" s="88">
        <v>6.4399999999999999E-2</v>
      </c>
      <c r="N133" s="84">
        <v>5701.38</v>
      </c>
      <c r="O133" s="86">
        <v>97.13</v>
      </c>
      <c r="P133" s="84">
        <v>19.742069999999998</v>
      </c>
      <c r="Q133" s="85">
        <f t="shared" si="3"/>
        <v>2.0059640344665627E-3</v>
      </c>
      <c r="R133" s="85">
        <f>P133/'סכום נכסי הקרן'!$C$42</f>
        <v>6.7851841970509614E-5</v>
      </c>
    </row>
    <row r="134" spans="2:18">
      <c r="B134" s="77" t="s">
        <v>1305</v>
      </c>
      <c r="C134" s="87" t="s">
        <v>1202</v>
      </c>
      <c r="D134" s="74">
        <v>7059</v>
      </c>
      <c r="E134" s="74"/>
      <c r="F134" s="74" t="s">
        <v>550</v>
      </c>
      <c r="G134" s="96">
        <v>43668</v>
      </c>
      <c r="H134" s="74"/>
      <c r="I134" s="84">
        <v>1.0999999999999999</v>
      </c>
      <c r="J134" s="87" t="s">
        <v>756</v>
      </c>
      <c r="K134" s="87" t="s">
        <v>154</v>
      </c>
      <c r="L134" s="88">
        <v>3.2729000000000001E-2</v>
      </c>
      <c r="M134" s="88">
        <v>6.4399999999999999E-2</v>
      </c>
      <c r="N134" s="84">
        <v>1277.04</v>
      </c>
      <c r="O134" s="86">
        <v>97.13</v>
      </c>
      <c r="P134" s="84">
        <v>4.4219999999999997</v>
      </c>
      <c r="Q134" s="85">
        <f t="shared" si="3"/>
        <v>4.493132159095343E-4</v>
      </c>
      <c r="R134" s="85">
        <f>P134/'סכום נכסי הקרן'!$C$42</f>
        <v>1.5198043831958529E-5</v>
      </c>
    </row>
    <row r="135" spans="2:18">
      <c r="B135" s="77" t="s">
        <v>1305</v>
      </c>
      <c r="C135" s="87" t="s">
        <v>1202</v>
      </c>
      <c r="D135" s="74">
        <v>7107</v>
      </c>
      <c r="E135" s="74"/>
      <c r="F135" s="74" t="s">
        <v>550</v>
      </c>
      <c r="G135" s="96">
        <v>43697</v>
      </c>
      <c r="H135" s="74"/>
      <c r="I135" s="84">
        <v>1.1000000000000001</v>
      </c>
      <c r="J135" s="87" t="s">
        <v>756</v>
      </c>
      <c r="K135" s="87" t="s">
        <v>154</v>
      </c>
      <c r="L135" s="88">
        <v>3.2729000000000001E-2</v>
      </c>
      <c r="M135" s="88">
        <v>6.4400000000000013E-2</v>
      </c>
      <c r="N135" s="84">
        <v>1965.25</v>
      </c>
      <c r="O135" s="86">
        <v>97.13</v>
      </c>
      <c r="P135" s="84">
        <v>6.8050100000000002</v>
      </c>
      <c r="Q135" s="85">
        <f t="shared" si="3"/>
        <v>6.9144751863331987E-4</v>
      </c>
      <c r="R135" s="85">
        <f>P135/'סכום נכסי הקרן'!$C$42</f>
        <v>2.3388249718886503E-5</v>
      </c>
    </row>
    <row r="136" spans="2:18">
      <c r="B136" s="77" t="s">
        <v>1305</v>
      </c>
      <c r="C136" s="87" t="s">
        <v>1202</v>
      </c>
      <c r="D136" s="74">
        <v>7182</v>
      </c>
      <c r="E136" s="74"/>
      <c r="F136" s="74" t="s">
        <v>550</v>
      </c>
      <c r="G136" s="96">
        <v>43728</v>
      </c>
      <c r="H136" s="74"/>
      <c r="I136" s="84">
        <v>1.0999999999999999</v>
      </c>
      <c r="J136" s="87" t="s">
        <v>756</v>
      </c>
      <c r="K136" s="87" t="s">
        <v>154</v>
      </c>
      <c r="L136" s="88">
        <v>3.2729000000000001E-2</v>
      </c>
      <c r="M136" s="88">
        <v>6.4399999999999999E-2</v>
      </c>
      <c r="N136" s="84">
        <v>2797.88</v>
      </c>
      <c r="O136" s="86">
        <v>97.13</v>
      </c>
      <c r="P136" s="84">
        <v>9.6881699999999995</v>
      </c>
      <c r="Q136" s="85">
        <f t="shared" si="3"/>
        <v>9.84401361143888E-4</v>
      </c>
      <c r="R136" s="85">
        <f>P136/'סכום נכסי הקרן'!$C$42</f>
        <v>3.329742928798409E-5</v>
      </c>
    </row>
    <row r="137" spans="2:18">
      <c r="B137" s="77" t="s">
        <v>1305</v>
      </c>
      <c r="C137" s="87" t="s">
        <v>1202</v>
      </c>
      <c r="D137" s="74">
        <v>7223</v>
      </c>
      <c r="E137" s="74"/>
      <c r="F137" s="74" t="s">
        <v>550</v>
      </c>
      <c r="G137" s="96">
        <v>43759</v>
      </c>
      <c r="H137" s="74"/>
      <c r="I137" s="84">
        <v>1.0999999999999999</v>
      </c>
      <c r="J137" s="87" t="s">
        <v>756</v>
      </c>
      <c r="K137" s="87" t="s">
        <v>154</v>
      </c>
      <c r="L137" s="88">
        <v>3.2729000000000001E-2</v>
      </c>
      <c r="M137" s="88">
        <v>6.4399999999999999E-2</v>
      </c>
      <c r="N137" s="84">
        <v>3503.81</v>
      </c>
      <c r="O137" s="86">
        <v>97.13</v>
      </c>
      <c r="P137" s="84">
        <v>12.13259</v>
      </c>
      <c r="Q137" s="85">
        <f t="shared" si="3"/>
        <v>1.2327754478091038E-3</v>
      </c>
      <c r="R137" s="85">
        <f>P137/'סכום נכסי הקרן'!$C$42</f>
        <v>4.1698696204247342E-5</v>
      </c>
    </row>
    <row r="138" spans="2:18">
      <c r="B138" s="77" t="s">
        <v>1305</v>
      </c>
      <c r="C138" s="87" t="s">
        <v>1202</v>
      </c>
      <c r="D138" s="74">
        <v>7503</v>
      </c>
      <c r="E138" s="74"/>
      <c r="F138" s="74" t="s">
        <v>550</v>
      </c>
      <c r="G138" s="96">
        <v>43910</v>
      </c>
      <c r="H138" s="74"/>
      <c r="I138" s="84">
        <v>1.1000000000000001</v>
      </c>
      <c r="J138" s="87" t="s">
        <v>756</v>
      </c>
      <c r="K138" s="87" t="s">
        <v>154</v>
      </c>
      <c r="L138" s="88">
        <v>3.2729000000000001E-2</v>
      </c>
      <c r="M138" s="88">
        <v>6.4299999999999996E-2</v>
      </c>
      <c r="N138" s="84">
        <v>2152.98</v>
      </c>
      <c r="O138" s="86">
        <v>97.14</v>
      </c>
      <c r="P138" s="84">
        <v>7.4558800000000005</v>
      </c>
      <c r="Q138" s="85">
        <f t="shared" si="3"/>
        <v>7.5758150615910878E-4</v>
      </c>
      <c r="R138" s="85">
        <f>P138/'סכום נכסי הקרן'!$C$42</f>
        <v>2.562523542420239E-5</v>
      </c>
    </row>
    <row r="139" spans="2:18">
      <c r="B139" s="77" t="s">
        <v>1305</v>
      </c>
      <c r="C139" s="87" t="s">
        <v>1202</v>
      </c>
      <c r="D139" s="74">
        <v>7363</v>
      </c>
      <c r="E139" s="74"/>
      <c r="F139" s="74" t="s">
        <v>550</v>
      </c>
      <c r="G139" s="96">
        <v>43851</v>
      </c>
      <c r="H139" s="74"/>
      <c r="I139" s="84">
        <v>1.1000000000000001</v>
      </c>
      <c r="J139" s="87" t="s">
        <v>756</v>
      </c>
      <c r="K139" s="87" t="s">
        <v>154</v>
      </c>
      <c r="L139" s="88">
        <v>3.2729000000000001E-2</v>
      </c>
      <c r="M139" s="88">
        <v>6.4399999999999999E-2</v>
      </c>
      <c r="N139" s="84">
        <v>3952.74</v>
      </c>
      <c r="O139" s="86">
        <v>97.13</v>
      </c>
      <c r="P139" s="84">
        <v>13.68707</v>
      </c>
      <c r="Q139" s="85">
        <f t="shared" si="3"/>
        <v>1.3907239796650634E-3</v>
      </c>
      <c r="R139" s="85">
        <f>P139/'סכום נכסי הקרן'!$C$42</f>
        <v>4.704131383787531E-5</v>
      </c>
    </row>
    <row r="140" spans="2:18">
      <c r="B140" s="77" t="s">
        <v>1305</v>
      </c>
      <c r="C140" s="87" t="s">
        <v>1202</v>
      </c>
      <c r="D140" s="74">
        <v>7443</v>
      </c>
      <c r="E140" s="74"/>
      <c r="F140" s="74" t="s">
        <v>550</v>
      </c>
      <c r="G140" s="96">
        <v>43881</v>
      </c>
      <c r="H140" s="74"/>
      <c r="I140" s="84">
        <v>1.0999999999999999</v>
      </c>
      <c r="J140" s="87" t="s">
        <v>756</v>
      </c>
      <c r="K140" s="87" t="s">
        <v>154</v>
      </c>
      <c r="L140" s="88">
        <v>3.2729000000000001E-2</v>
      </c>
      <c r="M140" s="88">
        <v>6.4399999999999999E-2</v>
      </c>
      <c r="N140" s="84">
        <v>3001.28</v>
      </c>
      <c r="O140" s="86">
        <v>97.13</v>
      </c>
      <c r="P140" s="84">
        <v>10.392479999999999</v>
      </c>
      <c r="Q140" s="85">
        <f t="shared" si="3"/>
        <v>1.0559653120930613E-3</v>
      </c>
      <c r="R140" s="85">
        <f>P140/'סכום נכסי הקרן'!$C$42</f>
        <v>3.5718083799808312E-5</v>
      </c>
    </row>
    <row r="141" spans="2:18">
      <c r="B141" s="77" t="s">
        <v>1305</v>
      </c>
      <c r="C141" s="87" t="s">
        <v>1202</v>
      </c>
      <c r="D141" s="74">
        <v>7272</v>
      </c>
      <c r="E141" s="74"/>
      <c r="F141" s="74" t="s">
        <v>550</v>
      </c>
      <c r="G141" s="96">
        <v>43799</v>
      </c>
      <c r="H141" s="74"/>
      <c r="I141" s="84">
        <v>1.0999999999999999</v>
      </c>
      <c r="J141" s="87" t="s">
        <v>756</v>
      </c>
      <c r="K141" s="87" t="s">
        <v>154</v>
      </c>
      <c r="L141" s="88">
        <v>3.2729000000000001E-2</v>
      </c>
      <c r="M141" s="88">
        <v>6.4399999999999999E-2</v>
      </c>
      <c r="N141" s="84">
        <v>4646.6499999999996</v>
      </c>
      <c r="O141" s="86">
        <v>97.13</v>
      </c>
      <c r="P141" s="84">
        <v>16.089880000000001</v>
      </c>
      <c r="Q141" s="85">
        <f t="shared" si="3"/>
        <v>1.6348701326093394E-3</v>
      </c>
      <c r="R141" s="85">
        <f>P141/'סכום נכסי הקרן'!$C$42</f>
        <v>5.5299570667334446E-5</v>
      </c>
    </row>
    <row r="142" spans="2:18">
      <c r="B142" s="77" t="s">
        <v>1305</v>
      </c>
      <c r="C142" s="87" t="s">
        <v>1202</v>
      </c>
      <c r="D142" s="74">
        <v>7313</v>
      </c>
      <c r="E142" s="74"/>
      <c r="F142" s="74" t="s">
        <v>550</v>
      </c>
      <c r="G142" s="96">
        <v>43819</v>
      </c>
      <c r="H142" s="74"/>
      <c r="I142" s="84">
        <v>1.1000000000000001</v>
      </c>
      <c r="J142" s="87" t="s">
        <v>756</v>
      </c>
      <c r="K142" s="87" t="s">
        <v>154</v>
      </c>
      <c r="L142" s="88">
        <v>3.2729000000000001E-2</v>
      </c>
      <c r="M142" s="88">
        <v>6.4400000000000013E-2</v>
      </c>
      <c r="N142" s="84">
        <v>4495.2</v>
      </c>
      <c r="O142" s="86">
        <v>97.13</v>
      </c>
      <c r="P142" s="84">
        <v>15.565440000000001</v>
      </c>
      <c r="Q142" s="85">
        <f t="shared" si="3"/>
        <v>1.5815825200015609E-3</v>
      </c>
      <c r="R142" s="85">
        <f>P142/'סכום נכסי הקרן'!$C$42</f>
        <v>5.3497114288494026E-5</v>
      </c>
    </row>
    <row r="143" spans="2:18">
      <c r="B143" s="77" t="s">
        <v>1306</v>
      </c>
      <c r="C143" s="87" t="s">
        <v>1202</v>
      </c>
      <c r="D143" s="74">
        <v>7364</v>
      </c>
      <c r="E143" s="74"/>
      <c r="F143" s="74" t="s">
        <v>550</v>
      </c>
      <c r="G143" s="96">
        <v>43846</v>
      </c>
      <c r="H143" s="74"/>
      <c r="I143" s="84">
        <v>2.8499999999999996</v>
      </c>
      <c r="J143" s="87" t="s">
        <v>756</v>
      </c>
      <c r="K143" s="87" t="s">
        <v>156</v>
      </c>
      <c r="L143" s="88">
        <v>1.7500000000000002E-2</v>
      </c>
      <c r="M143" s="88">
        <v>3.2699999999999993E-2</v>
      </c>
      <c r="N143" s="84">
        <v>75433.34</v>
      </c>
      <c r="O143" s="86">
        <v>95.94</v>
      </c>
      <c r="P143" s="84">
        <v>282.26763</v>
      </c>
      <c r="Q143" s="85">
        <f t="shared" si="3"/>
        <v>2.8680817861253403E-2</v>
      </c>
      <c r="R143" s="85">
        <f>P143/'סכום נכסי הקרן'!$C$42</f>
        <v>9.7013021553212398E-4</v>
      </c>
    </row>
    <row r="144" spans="2:18">
      <c r="B144" s="77" t="s">
        <v>1307</v>
      </c>
      <c r="C144" s="87" t="s">
        <v>1202</v>
      </c>
      <c r="D144" s="74">
        <v>7384</v>
      </c>
      <c r="E144" s="74"/>
      <c r="F144" s="74" t="s">
        <v>550</v>
      </c>
      <c r="G144" s="96">
        <v>43861</v>
      </c>
      <c r="H144" s="74"/>
      <c r="I144" s="84">
        <v>6.07</v>
      </c>
      <c r="J144" s="87" t="s">
        <v>756</v>
      </c>
      <c r="K144" s="87" t="s">
        <v>156</v>
      </c>
      <c r="L144" s="88">
        <v>2.6249999999999999E-2</v>
      </c>
      <c r="M144" s="88">
        <v>4.5499999999999999E-2</v>
      </c>
      <c r="N144" s="84">
        <v>340.75</v>
      </c>
      <c r="O144" s="86">
        <v>89.66</v>
      </c>
      <c r="P144" s="84">
        <v>1.1915899999999999</v>
      </c>
      <c r="Q144" s="85">
        <f t="shared" si="3"/>
        <v>1.2107578809263727E-4</v>
      </c>
      <c r="R144" s="85">
        <f>P144/'סכום נכסי הקרן'!$C$42</f>
        <v>4.0953950813485897E-6</v>
      </c>
    </row>
    <row r="145" spans="2:18">
      <c r="B145" s="77" t="s">
        <v>1307</v>
      </c>
      <c r="C145" s="87" t="s">
        <v>1202</v>
      </c>
      <c r="D145" s="74">
        <v>7385</v>
      </c>
      <c r="E145" s="74"/>
      <c r="F145" s="74" t="s">
        <v>550</v>
      </c>
      <c r="G145" s="96">
        <v>43861</v>
      </c>
      <c r="H145" s="74"/>
      <c r="I145" s="84">
        <v>5.9099999999999984</v>
      </c>
      <c r="J145" s="87" t="s">
        <v>756</v>
      </c>
      <c r="K145" s="87" t="s">
        <v>157</v>
      </c>
      <c r="L145" s="88">
        <v>3.4705E-2</v>
      </c>
      <c r="M145" s="88">
        <v>5.4399999999999997E-2</v>
      </c>
      <c r="N145" s="84">
        <v>1110.93</v>
      </c>
      <c r="O145" s="86">
        <v>89.87</v>
      </c>
      <c r="P145" s="84">
        <v>4.3915200000000008</v>
      </c>
      <c r="Q145" s="85">
        <f t="shared" si="3"/>
        <v>4.4621618587314303E-4</v>
      </c>
      <c r="R145" s="85">
        <f>P145/'סכום נכסי הקרן'!$C$42</f>
        <v>1.5093286623456022E-5</v>
      </c>
    </row>
    <row r="146" spans="2:18">
      <c r="B146" s="77" t="s">
        <v>1307</v>
      </c>
      <c r="C146" s="87" t="s">
        <v>1202</v>
      </c>
      <c r="D146" s="74">
        <v>7276</v>
      </c>
      <c r="E146" s="74"/>
      <c r="F146" s="74" t="s">
        <v>550</v>
      </c>
      <c r="G146" s="96">
        <v>43798</v>
      </c>
      <c r="H146" s="74"/>
      <c r="I146" s="84">
        <v>6.07</v>
      </c>
      <c r="J146" s="87" t="s">
        <v>756</v>
      </c>
      <c r="K146" s="87" t="s">
        <v>156</v>
      </c>
      <c r="L146" s="88">
        <v>2.6249999999999999E-2</v>
      </c>
      <c r="M146" s="88">
        <v>4.5499999999999999E-2</v>
      </c>
      <c r="N146" s="84">
        <v>14858.88</v>
      </c>
      <c r="O146" s="86">
        <v>89.66</v>
      </c>
      <c r="P146" s="84">
        <v>51.96163</v>
      </c>
      <c r="Q146" s="85">
        <f t="shared" si="3"/>
        <v>5.2797483218456212E-3</v>
      </c>
      <c r="R146" s="85">
        <f>P146/'סכום נכסי הקרן'!$C$42</f>
        <v>1.7858777257349871E-4</v>
      </c>
    </row>
    <row r="147" spans="2:18">
      <c r="B147" s="77" t="s">
        <v>1307</v>
      </c>
      <c r="C147" s="87" t="s">
        <v>1202</v>
      </c>
      <c r="D147" s="74">
        <v>7275</v>
      </c>
      <c r="E147" s="74"/>
      <c r="F147" s="74" t="s">
        <v>550</v>
      </c>
      <c r="G147" s="96">
        <v>43799</v>
      </c>
      <c r="H147" s="74"/>
      <c r="I147" s="84">
        <v>5.91</v>
      </c>
      <c r="J147" s="87" t="s">
        <v>756</v>
      </c>
      <c r="K147" s="87" t="s">
        <v>157</v>
      </c>
      <c r="L147" s="88">
        <v>3.4705E-2</v>
      </c>
      <c r="M147" s="88">
        <v>5.4399999999999997E-2</v>
      </c>
      <c r="N147" s="84">
        <v>13962.85</v>
      </c>
      <c r="O147" s="86">
        <v>89.85</v>
      </c>
      <c r="P147" s="84">
        <v>55.183160000000001</v>
      </c>
      <c r="Q147" s="85">
        <f t="shared" si="3"/>
        <v>5.6070834653212075E-3</v>
      </c>
      <c r="R147" s="85">
        <f>P147/'סכום נכסי הקרן'!$C$42</f>
        <v>1.8965990150745832E-4</v>
      </c>
    </row>
    <row r="148" spans="2:18">
      <c r="B148" s="77" t="s">
        <v>1308</v>
      </c>
      <c r="C148" s="87" t="s">
        <v>1202</v>
      </c>
      <c r="D148" s="74" t="s">
        <v>1268</v>
      </c>
      <c r="E148" s="74"/>
      <c r="F148" s="74" t="s">
        <v>550</v>
      </c>
      <c r="G148" s="96">
        <v>43797</v>
      </c>
      <c r="H148" s="74"/>
      <c r="I148" s="84">
        <v>6</v>
      </c>
      <c r="J148" s="87" t="s">
        <v>688</v>
      </c>
      <c r="K148" s="87" t="s">
        <v>154</v>
      </c>
      <c r="L148" s="88">
        <v>4.6100000000000002E-2</v>
      </c>
      <c r="M148" s="88">
        <v>4.3999999999999997E-2</v>
      </c>
      <c r="N148" s="84">
        <v>1318.14</v>
      </c>
      <c r="O148" s="86">
        <v>100.23</v>
      </c>
      <c r="P148" s="84">
        <v>4.7099700000000002</v>
      </c>
      <c r="Q148" s="85">
        <f t="shared" si="3"/>
        <v>4.7857344358603112E-4</v>
      </c>
      <c r="R148" s="85">
        <f>P148/'סכום נכסי הקרן'!$C$42</f>
        <v>1.6187772615832138E-5</v>
      </c>
    </row>
    <row r="149" spans="2:18">
      <c r="B149" s="77" t="s">
        <v>1308</v>
      </c>
      <c r="C149" s="87" t="s">
        <v>1202</v>
      </c>
      <c r="D149" s="74">
        <v>7386</v>
      </c>
      <c r="E149" s="74"/>
      <c r="F149" s="74" t="s">
        <v>550</v>
      </c>
      <c r="G149" s="96">
        <v>43861</v>
      </c>
      <c r="H149" s="74"/>
      <c r="I149" s="84">
        <v>5.9999999999999991</v>
      </c>
      <c r="J149" s="87" t="s">
        <v>688</v>
      </c>
      <c r="K149" s="87" t="s">
        <v>154</v>
      </c>
      <c r="L149" s="88">
        <v>4.6100000000000002E-2</v>
      </c>
      <c r="M149" s="88">
        <v>4.3900000000000008E-2</v>
      </c>
      <c r="N149" s="84">
        <v>3544.22</v>
      </c>
      <c r="O149" s="86">
        <v>100.23</v>
      </c>
      <c r="P149" s="84">
        <v>12.664200000000001</v>
      </c>
      <c r="Q149" s="85">
        <f t="shared" si="3"/>
        <v>1.2867915940573326E-3</v>
      </c>
      <c r="R149" s="85">
        <f>P149/'סכום נכסי הקרן'!$C$42</f>
        <v>4.3525795272883138E-5</v>
      </c>
    </row>
    <row r="150" spans="2:18">
      <c r="B150" s="77" t="s">
        <v>1308</v>
      </c>
      <c r="C150" s="87" t="s">
        <v>1202</v>
      </c>
      <c r="D150" s="74">
        <v>7535</v>
      </c>
      <c r="E150" s="74"/>
      <c r="F150" s="74" t="s">
        <v>550</v>
      </c>
      <c r="G150" s="96">
        <v>43921</v>
      </c>
      <c r="H150" s="74"/>
      <c r="I150" s="84">
        <v>6</v>
      </c>
      <c r="J150" s="87" t="s">
        <v>688</v>
      </c>
      <c r="K150" s="87" t="s">
        <v>154</v>
      </c>
      <c r="L150" s="88">
        <v>3.9844999999999998E-2</v>
      </c>
      <c r="M150" s="88">
        <v>4.4300000000000006E-2</v>
      </c>
      <c r="N150" s="84">
        <v>3921.41</v>
      </c>
      <c r="O150" s="86">
        <v>100</v>
      </c>
      <c r="P150" s="84">
        <v>13.97983</v>
      </c>
      <c r="Q150" s="85">
        <f t="shared" si="3"/>
        <v>1.4204709125211635E-3</v>
      </c>
      <c r="R150" s="85">
        <f>P150/'סכום נכסי הקרן'!$C$42</f>
        <v>4.8047505450775401E-5</v>
      </c>
    </row>
    <row r="151" spans="2:18">
      <c r="B151" s="77" t="s">
        <v>1308</v>
      </c>
      <c r="C151" s="87" t="s">
        <v>1202</v>
      </c>
      <c r="D151" s="74">
        <v>7125</v>
      </c>
      <c r="E151" s="74"/>
      <c r="F151" s="74" t="s">
        <v>550</v>
      </c>
      <c r="G151" s="96">
        <v>43706</v>
      </c>
      <c r="H151" s="74"/>
      <c r="I151" s="84">
        <v>6</v>
      </c>
      <c r="J151" s="87" t="s">
        <v>688</v>
      </c>
      <c r="K151" s="87" t="s">
        <v>154</v>
      </c>
      <c r="L151" s="88">
        <v>4.6100000000000002E-2</v>
      </c>
      <c r="M151" s="88">
        <v>4.4000000000000011E-2</v>
      </c>
      <c r="N151" s="84">
        <v>3077.63</v>
      </c>
      <c r="O151" s="86">
        <v>100.23</v>
      </c>
      <c r="P151" s="84">
        <v>10.99699</v>
      </c>
      <c r="Q151" s="85">
        <f t="shared" si="3"/>
        <v>1.1173887250621869E-3</v>
      </c>
      <c r="R151" s="85">
        <f>P151/'סכום נכסי הקרן'!$C$42</f>
        <v>3.7795734065945189E-5</v>
      </c>
    </row>
    <row r="152" spans="2:18">
      <c r="B152" s="77" t="s">
        <v>1308</v>
      </c>
      <c r="C152" s="87" t="s">
        <v>1202</v>
      </c>
      <c r="D152" s="74">
        <v>7204</v>
      </c>
      <c r="E152" s="74"/>
      <c r="F152" s="74" t="s">
        <v>550</v>
      </c>
      <c r="G152" s="96">
        <v>43738</v>
      </c>
      <c r="H152" s="74"/>
      <c r="I152" s="84">
        <v>6</v>
      </c>
      <c r="J152" s="87" t="s">
        <v>688</v>
      </c>
      <c r="K152" s="87" t="s">
        <v>154</v>
      </c>
      <c r="L152" s="88">
        <v>4.6100000000000002E-2</v>
      </c>
      <c r="M152" s="88">
        <v>4.3999999999999997E-2</v>
      </c>
      <c r="N152" s="84">
        <v>1515.21</v>
      </c>
      <c r="O152" s="86">
        <v>100.23</v>
      </c>
      <c r="P152" s="84">
        <v>5.4141300000000001</v>
      </c>
      <c r="Q152" s="85">
        <f t="shared" si="3"/>
        <v>5.5012215324565521E-4</v>
      </c>
      <c r="R152" s="85">
        <f>P152/'סכום נכסי הקרן'!$C$42</f>
        <v>1.8607911590212942E-5</v>
      </c>
    </row>
    <row r="153" spans="2:18">
      <c r="B153" s="77" t="s">
        <v>1308</v>
      </c>
      <c r="C153" s="87" t="s">
        <v>1202</v>
      </c>
      <c r="D153" s="74">
        <v>7246</v>
      </c>
      <c r="E153" s="74"/>
      <c r="F153" s="74" t="s">
        <v>550</v>
      </c>
      <c r="G153" s="96">
        <v>43769</v>
      </c>
      <c r="H153" s="74"/>
      <c r="I153" s="84">
        <v>6</v>
      </c>
      <c r="J153" s="87" t="s">
        <v>688</v>
      </c>
      <c r="K153" s="87" t="s">
        <v>154</v>
      </c>
      <c r="L153" s="88">
        <v>4.6100000000000002E-2</v>
      </c>
      <c r="M153" s="88">
        <v>4.3999999999999997E-2</v>
      </c>
      <c r="N153" s="84">
        <v>2868.16</v>
      </c>
      <c r="O153" s="86">
        <v>100.23</v>
      </c>
      <c r="P153" s="84">
        <v>10.248520000000001</v>
      </c>
      <c r="Q153" s="85">
        <f t="shared" si="3"/>
        <v>1.0413377384697379E-3</v>
      </c>
      <c r="R153" s="85">
        <f>P153/'סכום נכסי הקרן'!$C$42</f>
        <v>3.5223305330778752E-5</v>
      </c>
    </row>
    <row r="154" spans="2:18">
      <c r="B154" s="77" t="s">
        <v>1308</v>
      </c>
      <c r="C154" s="87" t="s">
        <v>1202</v>
      </c>
      <c r="D154" s="74">
        <v>7280</v>
      </c>
      <c r="E154" s="74"/>
      <c r="F154" s="74" t="s">
        <v>550</v>
      </c>
      <c r="G154" s="96">
        <v>43798</v>
      </c>
      <c r="H154" s="74"/>
      <c r="I154" s="84">
        <v>6.0000000000000009</v>
      </c>
      <c r="J154" s="87" t="s">
        <v>688</v>
      </c>
      <c r="K154" s="87" t="s">
        <v>154</v>
      </c>
      <c r="L154" s="88">
        <v>4.6100000000000002E-2</v>
      </c>
      <c r="M154" s="88">
        <v>4.3999999999999997E-2</v>
      </c>
      <c r="N154" s="84">
        <v>518.4</v>
      </c>
      <c r="O154" s="86">
        <v>100.23</v>
      </c>
      <c r="P154" s="84">
        <v>1.8523399999999999</v>
      </c>
      <c r="Q154" s="85">
        <f t="shared" si="3"/>
        <v>1.8821366855673152E-4</v>
      </c>
      <c r="R154" s="85">
        <f>P154/'סכום נכסי הקרן'!$C$42</f>
        <v>6.3663375196042654E-6</v>
      </c>
    </row>
    <row r="155" spans="2:18">
      <c r="B155" s="77" t="s">
        <v>1308</v>
      </c>
      <c r="C155" s="87" t="s">
        <v>1202</v>
      </c>
      <c r="D155" s="74">
        <v>7337</v>
      </c>
      <c r="E155" s="74"/>
      <c r="F155" s="74" t="s">
        <v>550</v>
      </c>
      <c r="G155" s="96">
        <v>43830</v>
      </c>
      <c r="H155" s="74"/>
      <c r="I155" s="84">
        <v>6.0000000000000009</v>
      </c>
      <c r="J155" s="87" t="s">
        <v>688</v>
      </c>
      <c r="K155" s="87" t="s">
        <v>154</v>
      </c>
      <c r="L155" s="88">
        <v>4.6100000000000002E-2</v>
      </c>
      <c r="M155" s="88">
        <v>4.3900000000000008E-2</v>
      </c>
      <c r="N155" s="84">
        <v>3478.46</v>
      </c>
      <c r="O155" s="86">
        <v>100.23</v>
      </c>
      <c r="P155" s="84">
        <v>12.42923</v>
      </c>
      <c r="Q155" s="85">
        <f t="shared" si="3"/>
        <v>1.2629166220215426E-3</v>
      </c>
      <c r="R155" s="85">
        <f>P155/'סכום נכסי הקרן'!$C$42</f>
        <v>4.2718223052350502E-5</v>
      </c>
    </row>
    <row r="156" spans="2:18">
      <c r="B156" s="77" t="s">
        <v>1309</v>
      </c>
      <c r="C156" s="87" t="s">
        <v>1202</v>
      </c>
      <c r="D156" s="74">
        <v>7533</v>
      </c>
      <c r="E156" s="74"/>
      <c r="F156" s="74" t="s">
        <v>550</v>
      </c>
      <c r="G156" s="96">
        <v>43921</v>
      </c>
      <c r="H156" s="74"/>
      <c r="I156" s="84">
        <v>5.67</v>
      </c>
      <c r="J156" s="87" t="s">
        <v>688</v>
      </c>
      <c r="K156" s="87" t="s">
        <v>154</v>
      </c>
      <c r="L156" s="88">
        <v>3.9893999999999999E-2</v>
      </c>
      <c r="M156" s="88">
        <v>4.1100000000000005E-2</v>
      </c>
      <c r="N156" s="84">
        <v>954.74</v>
      </c>
      <c r="O156" s="86">
        <v>100</v>
      </c>
      <c r="P156" s="84">
        <v>3.4036500000000003</v>
      </c>
      <c r="Q156" s="85">
        <f t="shared" si="3"/>
        <v>3.4584010116021858E-4</v>
      </c>
      <c r="R156" s="85">
        <f>P156/'סכום נכסי הקרן'!$C$42</f>
        <v>1.1698060128594675E-5</v>
      </c>
    </row>
    <row r="157" spans="2:18">
      <c r="B157" s="77" t="s">
        <v>1309</v>
      </c>
      <c r="C157" s="87" t="s">
        <v>1202</v>
      </c>
      <c r="D157" s="74">
        <v>6954</v>
      </c>
      <c r="E157" s="74"/>
      <c r="F157" s="74" t="s">
        <v>550</v>
      </c>
      <c r="G157" s="96">
        <v>43644</v>
      </c>
      <c r="H157" s="74"/>
      <c r="I157" s="84">
        <v>5.62</v>
      </c>
      <c r="J157" s="87" t="s">
        <v>688</v>
      </c>
      <c r="K157" s="87" t="s">
        <v>154</v>
      </c>
      <c r="L157" s="88">
        <v>4.4500999999999999E-2</v>
      </c>
      <c r="M157" s="88">
        <v>4.540000000000001E-2</v>
      </c>
      <c r="N157" s="84">
        <v>4439.54</v>
      </c>
      <c r="O157" s="86">
        <v>99.86</v>
      </c>
      <c r="P157" s="84">
        <v>15.804819999999999</v>
      </c>
      <c r="Q157" s="85">
        <f t="shared" si="3"/>
        <v>1.6059055859500963E-3</v>
      </c>
      <c r="R157" s="85">
        <f>P157/'סכום נכסי הקרן'!$C$42</f>
        <v>5.4319843309863137E-5</v>
      </c>
    </row>
    <row r="158" spans="2:18">
      <c r="B158" s="77" t="s">
        <v>1309</v>
      </c>
      <c r="C158" s="87" t="s">
        <v>1202</v>
      </c>
      <c r="D158" s="74">
        <v>7347</v>
      </c>
      <c r="E158" s="74"/>
      <c r="F158" s="74" t="s">
        <v>550</v>
      </c>
      <c r="G158" s="96">
        <v>43836</v>
      </c>
      <c r="H158" s="74"/>
      <c r="I158" s="84">
        <v>5.6700000000000017</v>
      </c>
      <c r="J158" s="87" t="s">
        <v>688</v>
      </c>
      <c r="K158" s="87" t="s">
        <v>154</v>
      </c>
      <c r="L158" s="88">
        <v>4.3799999999999999E-2</v>
      </c>
      <c r="M158" s="88">
        <v>4.1400000000000006E-2</v>
      </c>
      <c r="N158" s="84">
        <v>16946.59</v>
      </c>
      <c r="O158" s="86">
        <v>99.86</v>
      </c>
      <c r="P158" s="84">
        <v>60.330030000000001</v>
      </c>
      <c r="Q158" s="85">
        <f t="shared" si="3"/>
        <v>6.1300497049341209E-3</v>
      </c>
      <c r="R158" s="85">
        <f>P158/'סכום נכסי הקרן'!$C$42</f>
        <v>2.0734926285015222E-4</v>
      </c>
    </row>
    <row r="159" spans="2:18">
      <c r="B159" s="77" t="s">
        <v>1309</v>
      </c>
      <c r="C159" s="87" t="s">
        <v>1202</v>
      </c>
      <c r="D159" s="74">
        <v>7399</v>
      </c>
      <c r="E159" s="74"/>
      <c r="F159" s="74" t="s">
        <v>550</v>
      </c>
      <c r="G159" s="96">
        <v>43866</v>
      </c>
      <c r="H159" s="74"/>
      <c r="I159" s="84">
        <v>5.67</v>
      </c>
      <c r="J159" s="87" t="s">
        <v>688</v>
      </c>
      <c r="K159" s="87" t="s">
        <v>154</v>
      </c>
      <c r="L159" s="88">
        <v>4.3799999999999999E-2</v>
      </c>
      <c r="M159" s="88">
        <v>4.1399999999999999E-2</v>
      </c>
      <c r="N159" s="84">
        <v>9571.25</v>
      </c>
      <c r="O159" s="86">
        <v>99.86</v>
      </c>
      <c r="P159" s="84">
        <v>34.073730000000005</v>
      </c>
      <c r="Q159" s="85">
        <f t="shared" si="3"/>
        <v>3.4621838996682901E-3</v>
      </c>
      <c r="R159" s="85">
        <f>P159/'סכום נכסי הקרן'!$C$42</f>
        <v>1.1710855767940307E-4</v>
      </c>
    </row>
    <row r="160" spans="2:18">
      <c r="B160" s="77" t="s">
        <v>1309</v>
      </c>
      <c r="C160" s="87" t="s">
        <v>1202</v>
      </c>
      <c r="D160" s="74">
        <v>7471</v>
      </c>
      <c r="E160" s="74"/>
      <c r="F160" s="74" t="s">
        <v>550</v>
      </c>
      <c r="G160" s="96">
        <v>43895</v>
      </c>
      <c r="H160" s="74"/>
      <c r="I160" s="84">
        <v>5.67</v>
      </c>
      <c r="J160" s="87" t="s">
        <v>688</v>
      </c>
      <c r="K160" s="87" t="s">
        <v>154</v>
      </c>
      <c r="L160" s="88">
        <v>4.3799999999999999E-2</v>
      </c>
      <c r="M160" s="88">
        <v>4.07E-2</v>
      </c>
      <c r="N160" s="84">
        <v>3795.08</v>
      </c>
      <c r="O160" s="86">
        <v>100.22</v>
      </c>
      <c r="P160" s="84">
        <v>13.559229999999999</v>
      </c>
      <c r="Q160" s="85">
        <f t="shared" si="3"/>
        <v>1.3777343366252906E-3</v>
      </c>
      <c r="R160" s="85">
        <f>P160/'סכום נכסי הקרן'!$C$42</f>
        <v>4.6601938459431717E-5</v>
      </c>
    </row>
    <row r="161" spans="2:18">
      <c r="B161" s="77" t="s">
        <v>1309</v>
      </c>
      <c r="C161" s="87" t="s">
        <v>1202</v>
      </c>
      <c r="D161" s="74">
        <v>7020</v>
      </c>
      <c r="E161" s="74"/>
      <c r="F161" s="74" t="s">
        <v>550</v>
      </c>
      <c r="G161" s="96">
        <v>43643</v>
      </c>
      <c r="H161" s="74"/>
      <c r="I161" s="84">
        <v>5.66</v>
      </c>
      <c r="J161" s="87" t="s">
        <v>688</v>
      </c>
      <c r="K161" s="87" t="s">
        <v>154</v>
      </c>
      <c r="L161" s="88">
        <v>4.3799999999999999E-2</v>
      </c>
      <c r="M161" s="88">
        <v>4.2699999999999995E-2</v>
      </c>
      <c r="N161" s="84">
        <v>525.11</v>
      </c>
      <c r="O161" s="86">
        <v>99.86</v>
      </c>
      <c r="P161" s="84">
        <v>1.86941</v>
      </c>
      <c r="Q161" s="85">
        <f t="shared" si="3"/>
        <v>1.8994812730742708E-4</v>
      </c>
      <c r="R161" s="85">
        <f>P161/'סכום נכסי הקרן'!$C$42</f>
        <v>6.4250056806652179E-6</v>
      </c>
    </row>
    <row r="162" spans="2:18">
      <c r="B162" s="77" t="s">
        <v>1309</v>
      </c>
      <c r="C162" s="87" t="s">
        <v>1202</v>
      </c>
      <c r="D162" s="74">
        <v>7301</v>
      </c>
      <c r="E162" s="74"/>
      <c r="F162" s="74" t="s">
        <v>550</v>
      </c>
      <c r="G162" s="96">
        <v>43804</v>
      </c>
      <c r="H162" s="74"/>
      <c r="I162" s="84">
        <v>5.6499999999999995</v>
      </c>
      <c r="J162" s="87" t="s">
        <v>688</v>
      </c>
      <c r="K162" s="87" t="s">
        <v>154</v>
      </c>
      <c r="L162" s="88">
        <v>4.3799999999999999E-2</v>
      </c>
      <c r="M162" s="88">
        <v>4.1399999999999999E-2</v>
      </c>
      <c r="N162" s="84">
        <v>7160.53</v>
      </c>
      <c r="O162" s="86">
        <v>99.86</v>
      </c>
      <c r="P162" s="84">
        <v>25.491540000000001</v>
      </c>
      <c r="Q162" s="85">
        <f t="shared" si="3"/>
        <v>2.5901596146283424E-3</v>
      </c>
      <c r="R162" s="85">
        <f>P162/'סכום נכסי הקרן'!$C$42</f>
        <v>8.7612289069227526E-5</v>
      </c>
    </row>
    <row r="163" spans="2:18">
      <c r="B163" s="77" t="s">
        <v>1309</v>
      </c>
      <c r="C163" s="87" t="s">
        <v>1202</v>
      </c>
      <c r="D163" s="74">
        <v>7336</v>
      </c>
      <c r="E163" s="74"/>
      <c r="F163" s="74" t="s">
        <v>550</v>
      </c>
      <c r="G163" s="96">
        <v>43830</v>
      </c>
      <c r="H163" s="74"/>
      <c r="I163" s="84">
        <v>5.67</v>
      </c>
      <c r="J163" s="87" t="s">
        <v>688</v>
      </c>
      <c r="K163" s="87" t="s">
        <v>154</v>
      </c>
      <c r="L163" s="88">
        <v>4.3799999999999999E-2</v>
      </c>
      <c r="M163" s="88">
        <v>4.1399999999999999E-2</v>
      </c>
      <c r="N163" s="84">
        <v>477.37</v>
      </c>
      <c r="O163" s="86">
        <v>99.86</v>
      </c>
      <c r="P163" s="84">
        <v>1.6994400000000001</v>
      </c>
      <c r="Q163" s="85">
        <f t="shared" si="3"/>
        <v>1.7267771407627748E-4</v>
      </c>
      <c r="R163" s="85">
        <f>P163/'סכום נכסי הקרן'!$C$42</f>
        <v>5.8408330189469932E-6</v>
      </c>
    </row>
    <row r="164" spans="2:18">
      <c r="B164" s="77" t="s">
        <v>1310</v>
      </c>
      <c r="C164" s="87" t="s">
        <v>1202</v>
      </c>
      <c r="D164" s="74">
        <v>7319</v>
      </c>
      <c r="E164" s="74"/>
      <c r="F164" s="74" t="s">
        <v>550</v>
      </c>
      <c r="G164" s="96">
        <v>43818</v>
      </c>
      <c r="H164" s="74"/>
      <c r="I164" s="84">
        <v>2.3699999999999997</v>
      </c>
      <c r="J164" s="87" t="s">
        <v>763</v>
      </c>
      <c r="K164" s="87" t="s">
        <v>154</v>
      </c>
      <c r="L164" s="88">
        <v>3.5819999999999998E-2</v>
      </c>
      <c r="M164" s="88">
        <v>3.4099999999999998E-2</v>
      </c>
      <c r="N164" s="84">
        <v>110319.69</v>
      </c>
      <c r="O164" s="86">
        <v>99.5</v>
      </c>
      <c r="P164" s="84">
        <v>391.32324</v>
      </c>
      <c r="Q164" s="85">
        <f t="shared" si="3"/>
        <v>3.97618053877292E-2</v>
      </c>
      <c r="R164" s="85">
        <f>P164/'סכום נכסי הקרן'!$C$42</f>
        <v>1.3449452179972925E-3</v>
      </c>
    </row>
    <row r="165" spans="2:18">
      <c r="B165" s="77" t="s">
        <v>1310</v>
      </c>
      <c r="C165" s="87" t="s">
        <v>1202</v>
      </c>
      <c r="D165" s="74">
        <v>7320</v>
      </c>
      <c r="E165" s="74"/>
      <c r="F165" s="74" t="s">
        <v>550</v>
      </c>
      <c r="G165" s="96">
        <v>43819</v>
      </c>
      <c r="H165" s="74"/>
      <c r="I165" s="84">
        <v>2.37</v>
      </c>
      <c r="J165" s="87" t="s">
        <v>763</v>
      </c>
      <c r="K165" s="87" t="s">
        <v>154</v>
      </c>
      <c r="L165" s="88">
        <v>3.5819999999999998E-2</v>
      </c>
      <c r="M165" s="88">
        <v>3.4100000000000005E-2</v>
      </c>
      <c r="N165" s="84">
        <v>3367.53</v>
      </c>
      <c r="O165" s="86">
        <v>99.5</v>
      </c>
      <c r="P165" s="84">
        <v>11.945209999999999</v>
      </c>
      <c r="Q165" s="85">
        <f t="shared" si="3"/>
        <v>1.2137360289042804E-3</v>
      </c>
      <c r="R165" s="85">
        <f>P165/'סכום נכסי הקרן'!$C$42</f>
        <v>4.1054686829929746E-5</v>
      </c>
    </row>
    <row r="166" spans="2:18">
      <c r="B166" s="77" t="s">
        <v>1310</v>
      </c>
      <c r="C166" s="87" t="s">
        <v>1202</v>
      </c>
      <c r="D166" s="74">
        <v>7441</v>
      </c>
      <c r="E166" s="74"/>
      <c r="F166" s="74" t="s">
        <v>550</v>
      </c>
      <c r="G166" s="96">
        <v>43885</v>
      </c>
      <c r="H166" s="74"/>
      <c r="I166" s="84">
        <v>2.3700000000000006</v>
      </c>
      <c r="J166" s="87" t="s">
        <v>763</v>
      </c>
      <c r="K166" s="87" t="s">
        <v>154</v>
      </c>
      <c r="L166" s="88">
        <v>3.5819999999999998E-2</v>
      </c>
      <c r="M166" s="88">
        <v>3.44E-2</v>
      </c>
      <c r="N166" s="84">
        <v>938.39</v>
      </c>
      <c r="O166" s="86">
        <v>99.5</v>
      </c>
      <c r="P166" s="84">
        <v>3.32864</v>
      </c>
      <c r="Q166" s="85">
        <f t="shared" si="3"/>
        <v>3.3821844029966358E-4</v>
      </c>
      <c r="R166" s="85">
        <f>P166/'סכום נכסי הקרן'!$C$42</f>
        <v>1.144025703772285E-5</v>
      </c>
    </row>
    <row r="167" spans="2:18">
      <c r="B167" s="77" t="s">
        <v>1311</v>
      </c>
      <c r="C167" s="87" t="s">
        <v>1202</v>
      </c>
      <c r="D167" s="74">
        <v>7407</v>
      </c>
      <c r="E167" s="74"/>
      <c r="F167" s="74" t="s">
        <v>550</v>
      </c>
      <c r="G167" s="96">
        <v>43866</v>
      </c>
      <c r="H167" s="74"/>
      <c r="I167" s="84">
        <v>4.26</v>
      </c>
      <c r="J167" s="87" t="s">
        <v>763</v>
      </c>
      <c r="K167" s="87" t="s">
        <v>154</v>
      </c>
      <c r="L167" s="88">
        <v>3.1200000000000002E-2</v>
      </c>
      <c r="M167" s="88">
        <v>3.9699999999999999E-2</v>
      </c>
      <c r="N167" s="84">
        <v>96991.91</v>
      </c>
      <c r="O167" s="86">
        <v>97.56</v>
      </c>
      <c r="P167" s="84">
        <v>337.33919000000003</v>
      </c>
      <c r="Q167" s="85">
        <f t="shared" si="3"/>
        <v>3.4276561807150031E-2</v>
      </c>
      <c r="R167" s="85">
        <f>P167/'סכום נכסי הקרן'!$C$42</f>
        <v>1.1594065571816795E-3</v>
      </c>
    </row>
    <row r="168" spans="2:18">
      <c r="B168" s="77" t="s">
        <v>1311</v>
      </c>
      <c r="C168" s="87" t="s">
        <v>1202</v>
      </c>
      <c r="D168" s="74">
        <v>7489</v>
      </c>
      <c r="E168" s="74"/>
      <c r="F168" s="74" t="s">
        <v>550</v>
      </c>
      <c r="G168" s="96">
        <v>43903</v>
      </c>
      <c r="H168" s="74"/>
      <c r="I168" s="84">
        <v>4.2700000000000005</v>
      </c>
      <c r="J168" s="87" t="s">
        <v>763</v>
      </c>
      <c r="K168" s="87" t="s">
        <v>154</v>
      </c>
      <c r="L168" s="88">
        <v>3.1200000000000002E-2</v>
      </c>
      <c r="M168" s="88">
        <v>3.9800000000000009E-2</v>
      </c>
      <c r="N168" s="84">
        <v>873.27</v>
      </c>
      <c r="O168" s="86">
        <v>97.49</v>
      </c>
      <c r="P168" s="84">
        <v>3.0350600000000001</v>
      </c>
      <c r="Q168" s="85">
        <f t="shared" si="3"/>
        <v>3.0838818839402791E-4</v>
      </c>
      <c r="R168" s="85">
        <f>P168/'סכום נכסי הקרן'!$C$42</f>
        <v>1.0431247153465414E-5</v>
      </c>
    </row>
    <row r="169" spans="2:18">
      <c r="B169" s="77" t="s">
        <v>1312</v>
      </c>
      <c r="C169" s="87" t="s">
        <v>1202</v>
      </c>
      <c r="D169" s="74">
        <v>7323</v>
      </c>
      <c r="E169" s="74"/>
      <c r="F169" s="74" t="s">
        <v>550</v>
      </c>
      <c r="G169" s="96">
        <v>43822</v>
      </c>
      <c r="H169" s="74"/>
      <c r="I169" s="84">
        <v>3.6</v>
      </c>
      <c r="J169" s="87" t="s">
        <v>688</v>
      </c>
      <c r="K169" s="87" t="s">
        <v>154</v>
      </c>
      <c r="L169" s="88">
        <v>5.4501000000000001E-2</v>
      </c>
      <c r="M169" s="88">
        <v>5.7300000000000011E-2</v>
      </c>
      <c r="N169" s="84">
        <v>9955.07</v>
      </c>
      <c r="O169" s="86">
        <v>99.5</v>
      </c>
      <c r="P169" s="84">
        <v>35.312390000000001</v>
      </c>
      <c r="Q169" s="85">
        <f t="shared" si="3"/>
        <v>3.5880424044214569E-3</v>
      </c>
      <c r="R169" s="85">
        <f>P169/'סכום נכסי הקרן'!$C$42</f>
        <v>1.2136572841049617E-4</v>
      </c>
    </row>
    <row r="170" spans="2:18">
      <c r="B170" s="77" t="s">
        <v>1312</v>
      </c>
      <c r="C170" s="87" t="s">
        <v>1202</v>
      </c>
      <c r="D170" s="74">
        <v>7324</v>
      </c>
      <c r="E170" s="74"/>
      <c r="F170" s="74" t="s">
        <v>550</v>
      </c>
      <c r="G170" s="96">
        <v>43822</v>
      </c>
      <c r="H170" s="74"/>
      <c r="I170" s="84">
        <v>3.59</v>
      </c>
      <c r="J170" s="87" t="s">
        <v>688</v>
      </c>
      <c r="K170" s="87" t="s">
        <v>154</v>
      </c>
      <c r="L170" s="88">
        <v>5.6132000000000001E-2</v>
      </c>
      <c r="M170" s="88">
        <v>5.6999999999999995E-2</v>
      </c>
      <c r="N170" s="84">
        <v>10129.290000000001</v>
      </c>
      <c r="O170" s="86">
        <v>100.13</v>
      </c>
      <c r="P170" s="84">
        <v>36.157870000000003</v>
      </c>
      <c r="Q170" s="85">
        <f t="shared" si="3"/>
        <v>3.6739504410083393E-3</v>
      </c>
      <c r="R170" s="85">
        <f>P170/'סכום נכסי הקרן'!$C$42</f>
        <v>1.2427157239490241E-4</v>
      </c>
    </row>
    <row r="171" spans="2:18">
      <c r="B171" s="77" t="s">
        <v>1312</v>
      </c>
      <c r="C171" s="87" t="s">
        <v>1202</v>
      </c>
      <c r="D171" s="74">
        <v>7325</v>
      </c>
      <c r="E171" s="74"/>
      <c r="F171" s="74" t="s">
        <v>550</v>
      </c>
      <c r="G171" s="96">
        <v>43822</v>
      </c>
      <c r="H171" s="74"/>
      <c r="I171" s="84">
        <v>3.57</v>
      </c>
      <c r="J171" s="87" t="s">
        <v>688</v>
      </c>
      <c r="K171" s="87" t="s">
        <v>154</v>
      </c>
      <c r="L171" s="88">
        <v>5.7770999999999996E-2</v>
      </c>
      <c r="M171" s="88">
        <v>5.7099999999999998E-2</v>
      </c>
      <c r="N171" s="84">
        <v>10129.290000000001</v>
      </c>
      <c r="O171" s="86">
        <v>100.57</v>
      </c>
      <c r="P171" s="84">
        <v>36.316760000000002</v>
      </c>
      <c r="Q171" s="85">
        <f t="shared" si="3"/>
        <v>3.6900950309847898E-3</v>
      </c>
      <c r="R171" s="85">
        <f>P171/'סכום נכסי הקרן'!$C$42</f>
        <v>1.248176640241335E-4</v>
      </c>
    </row>
    <row r="172" spans="2:18">
      <c r="B172" s="77" t="s">
        <v>1312</v>
      </c>
      <c r="C172" s="87" t="s">
        <v>1202</v>
      </c>
      <c r="D172" s="74">
        <v>7552</v>
      </c>
      <c r="E172" s="74"/>
      <c r="F172" s="74" t="s">
        <v>550</v>
      </c>
      <c r="G172" s="96">
        <v>43921</v>
      </c>
      <c r="H172" s="74"/>
      <c r="I172" s="84">
        <v>3.6</v>
      </c>
      <c r="J172" s="87" t="s">
        <v>688</v>
      </c>
      <c r="K172" s="87" t="s">
        <v>154</v>
      </c>
      <c r="L172" s="88">
        <v>5.4501000000000001E-2</v>
      </c>
      <c r="M172" s="88">
        <v>5.5899999999999998E-2</v>
      </c>
      <c r="N172" s="84">
        <v>222.91</v>
      </c>
      <c r="O172" s="86">
        <v>100</v>
      </c>
      <c r="P172" s="84">
        <v>0.79466999999999999</v>
      </c>
      <c r="Q172" s="85">
        <f t="shared" si="3"/>
        <v>8.0745303773593316E-5</v>
      </c>
      <c r="R172" s="85">
        <f>P172/'סכום נכסי הקרן'!$C$42</f>
        <v>2.7312142677391417E-6</v>
      </c>
    </row>
    <row r="173" spans="2:18">
      <c r="B173" s="77" t="s">
        <v>1313</v>
      </c>
      <c r="C173" s="87" t="s">
        <v>1202</v>
      </c>
      <c r="D173" s="74">
        <v>7056</v>
      </c>
      <c r="E173" s="74"/>
      <c r="F173" s="74" t="s">
        <v>550</v>
      </c>
      <c r="G173" s="96">
        <v>43664</v>
      </c>
      <c r="H173" s="74"/>
      <c r="I173" s="84">
        <v>0.9</v>
      </c>
      <c r="J173" s="87" t="s">
        <v>763</v>
      </c>
      <c r="K173" s="87" t="s">
        <v>154</v>
      </c>
      <c r="L173" s="88">
        <v>3.5569999999999997E-2</v>
      </c>
      <c r="M173" s="88">
        <v>2.41E-2</v>
      </c>
      <c r="N173" s="84">
        <v>68497.58</v>
      </c>
      <c r="O173" s="86">
        <v>100.86</v>
      </c>
      <c r="P173" s="84">
        <v>246.29393999999999</v>
      </c>
      <c r="Q173" s="85">
        <f t="shared" si="3"/>
        <v>2.5025581691639504E-2</v>
      </c>
      <c r="R173" s="85">
        <f>P173/'סכום נכסי הקרן'!$C$42</f>
        <v>8.4649165437941296E-4</v>
      </c>
    </row>
    <row r="174" spans="2:18">
      <c r="B174" s="77" t="s">
        <v>1313</v>
      </c>
      <c r="C174" s="87" t="s">
        <v>1202</v>
      </c>
      <c r="D174" s="74">
        <v>7504</v>
      </c>
      <c r="E174" s="74"/>
      <c r="F174" s="74" t="s">
        <v>550</v>
      </c>
      <c r="G174" s="96">
        <v>43914</v>
      </c>
      <c r="H174" s="74"/>
      <c r="I174" s="84">
        <v>0.90999999999999992</v>
      </c>
      <c r="J174" s="87" t="s">
        <v>763</v>
      </c>
      <c r="K174" s="87" t="s">
        <v>154</v>
      </c>
      <c r="L174" s="88">
        <v>3.5560999999999995E-2</v>
      </c>
      <c r="M174" s="88">
        <v>2.3899999999999998E-2</v>
      </c>
      <c r="N174" s="84">
        <v>68.099999999999994</v>
      </c>
      <c r="O174" s="86">
        <v>100.62</v>
      </c>
      <c r="P174" s="84">
        <v>0.24431</v>
      </c>
      <c r="Q174" s="85">
        <f t="shared" si="3"/>
        <v>2.4823996331718303E-5</v>
      </c>
      <c r="R174" s="85">
        <f>P174/'סכום נכסי הקרן'!$C$42</f>
        <v>8.3967301867611678E-7</v>
      </c>
    </row>
    <row r="175" spans="2:18">
      <c r="B175" s="77" t="s">
        <v>1313</v>
      </c>
      <c r="C175" s="87" t="s">
        <v>1202</v>
      </c>
      <c r="D175" s="74">
        <v>7296</v>
      </c>
      <c r="E175" s="74"/>
      <c r="F175" s="74" t="s">
        <v>550</v>
      </c>
      <c r="G175" s="96">
        <v>43801</v>
      </c>
      <c r="H175" s="74"/>
      <c r="I175" s="84">
        <v>0.9</v>
      </c>
      <c r="J175" s="87" t="s">
        <v>763</v>
      </c>
      <c r="K175" s="87" t="s">
        <v>154</v>
      </c>
      <c r="L175" s="88">
        <v>3.5560999999999995E-2</v>
      </c>
      <c r="M175" s="88">
        <v>2.4000000000000004E-2</v>
      </c>
      <c r="N175" s="84">
        <v>292.52999999999997</v>
      </c>
      <c r="O175" s="86">
        <v>100.86</v>
      </c>
      <c r="P175" s="84">
        <v>1.0518599999999998</v>
      </c>
      <c r="Q175" s="85">
        <f t="shared" si="3"/>
        <v>1.0687801883460033E-4</v>
      </c>
      <c r="R175" s="85">
        <f>P175/'סכום נכסי הקרן'!$C$42</f>
        <v>3.6151547682234049E-6</v>
      </c>
    </row>
    <row r="176" spans="2:18">
      <c r="B176" s="77" t="s">
        <v>1314</v>
      </c>
      <c r="C176" s="87" t="s">
        <v>1202</v>
      </c>
      <c r="D176" s="74">
        <v>7373</v>
      </c>
      <c r="E176" s="74"/>
      <c r="F176" s="74" t="s">
        <v>550</v>
      </c>
      <c r="G176" s="96">
        <v>43857</v>
      </c>
      <c r="H176" s="74"/>
      <c r="I176" s="84">
        <v>2.77</v>
      </c>
      <c r="J176" s="87" t="s">
        <v>756</v>
      </c>
      <c r="K176" s="87" t="s">
        <v>154</v>
      </c>
      <c r="L176" s="88">
        <v>3.4894000000000001E-2</v>
      </c>
      <c r="M176" s="88">
        <v>6.8699999999999997E-2</v>
      </c>
      <c r="N176" s="84">
        <v>9102.67</v>
      </c>
      <c r="O176" s="86">
        <v>91.57</v>
      </c>
      <c r="P176" s="84">
        <v>29.715389999999999</v>
      </c>
      <c r="Q176" s="85">
        <f t="shared" si="3"/>
        <v>3.019339087043423E-3</v>
      </c>
      <c r="R176" s="85">
        <f>P176/'סכום נכסי הקרן'!$C$42</f>
        <v>1.0212930793843106E-4</v>
      </c>
    </row>
    <row r="177" spans="2:18">
      <c r="B177" s="77" t="s">
        <v>1315</v>
      </c>
      <c r="C177" s="87" t="s">
        <v>1202</v>
      </c>
      <c r="D177" s="74">
        <v>7436</v>
      </c>
      <c r="E177" s="74"/>
      <c r="F177" s="74" t="s">
        <v>550</v>
      </c>
      <c r="G177" s="96">
        <v>43889</v>
      </c>
      <c r="H177" s="74"/>
      <c r="I177" s="84">
        <v>10.450000000000001</v>
      </c>
      <c r="J177" s="87" t="s">
        <v>688</v>
      </c>
      <c r="K177" s="87" t="s">
        <v>157</v>
      </c>
      <c r="L177" s="88">
        <v>3.6074000000000002E-2</v>
      </c>
      <c r="M177" s="88">
        <v>5.0799999999999998E-2</v>
      </c>
      <c r="N177" s="84">
        <v>2399.6799999999998</v>
      </c>
      <c r="O177" s="86">
        <v>85.3</v>
      </c>
      <c r="P177" s="84">
        <v>9.0036299999999994</v>
      </c>
      <c r="Q177" s="85">
        <f t="shared" si="3"/>
        <v>9.148462121572954E-4</v>
      </c>
      <c r="R177" s="85">
        <f>P177/'סכום נכסי הקרן'!$C$42</f>
        <v>3.0944722611202341E-5</v>
      </c>
    </row>
    <row r="178" spans="2:18">
      <c r="B178" s="77" t="s">
        <v>1315</v>
      </c>
      <c r="C178" s="87" t="s">
        <v>1202</v>
      </c>
      <c r="D178" s="74">
        <v>7455</v>
      </c>
      <c r="E178" s="74"/>
      <c r="F178" s="74" t="s">
        <v>550</v>
      </c>
      <c r="G178" s="96">
        <v>43889</v>
      </c>
      <c r="H178" s="74"/>
      <c r="I178" s="84">
        <v>10.450000000000001</v>
      </c>
      <c r="J178" s="87" t="s">
        <v>688</v>
      </c>
      <c r="K178" s="87" t="s">
        <v>157</v>
      </c>
      <c r="L178" s="88">
        <v>3.6074000000000002E-2</v>
      </c>
      <c r="M178" s="88">
        <v>5.0799999999999998E-2</v>
      </c>
      <c r="N178" s="84">
        <v>1646.26</v>
      </c>
      <c r="O178" s="86">
        <v>85.32</v>
      </c>
      <c r="P178" s="84">
        <v>6.1782299999999992</v>
      </c>
      <c r="Q178" s="85">
        <f t="shared" si="3"/>
        <v>6.277612822091275E-4</v>
      </c>
      <c r="R178" s="85">
        <f>P178/'סכום נכסי הקרן'!$C$42</f>
        <v>2.1234059326983522E-5</v>
      </c>
    </row>
    <row r="179" spans="2:18">
      <c r="B179" s="77" t="s">
        <v>1315</v>
      </c>
      <c r="C179" s="87" t="s">
        <v>1202</v>
      </c>
      <c r="D179" s="74">
        <v>7536</v>
      </c>
      <c r="E179" s="74"/>
      <c r="F179" s="74" t="s">
        <v>550</v>
      </c>
      <c r="G179" s="96">
        <v>2958465</v>
      </c>
      <c r="H179" s="74"/>
      <c r="I179" s="84">
        <v>10.969999999999999</v>
      </c>
      <c r="J179" s="87" t="s">
        <v>688</v>
      </c>
      <c r="K179" s="87" t="s">
        <v>157</v>
      </c>
      <c r="L179" s="88">
        <v>3.1446000000000002E-2</v>
      </c>
      <c r="M179" s="88">
        <v>3.5400000000000001E-2</v>
      </c>
      <c r="N179" s="84">
        <v>254.92</v>
      </c>
      <c r="O179" s="86">
        <v>100</v>
      </c>
      <c r="P179" s="84">
        <v>1.1212899999999999</v>
      </c>
      <c r="Q179" s="85">
        <f t="shared" si="3"/>
        <v>1.1393270372392621E-4</v>
      </c>
      <c r="R179" s="85">
        <f>P179/'סכום נכסי הקרן'!$C$42</f>
        <v>3.8537798662000851E-6</v>
      </c>
    </row>
    <row r="180" spans="2:18">
      <c r="B180" s="77" t="s">
        <v>1316</v>
      </c>
      <c r="C180" s="87" t="s">
        <v>1202</v>
      </c>
      <c r="D180" s="74">
        <v>7382</v>
      </c>
      <c r="E180" s="74"/>
      <c r="F180" s="74" t="s">
        <v>550</v>
      </c>
      <c r="G180" s="96">
        <v>43860</v>
      </c>
      <c r="H180" s="74"/>
      <c r="I180" s="84">
        <v>4.76</v>
      </c>
      <c r="J180" s="87" t="s">
        <v>688</v>
      </c>
      <c r="K180" s="87" t="s">
        <v>154</v>
      </c>
      <c r="L180" s="88">
        <v>3.7393999999999997E-2</v>
      </c>
      <c r="M180" s="88">
        <v>4.4900000000000002E-2</v>
      </c>
      <c r="N180" s="84">
        <v>92296.21</v>
      </c>
      <c r="O180" s="86">
        <v>99.09</v>
      </c>
      <c r="P180" s="84">
        <v>326.04174999999998</v>
      </c>
      <c r="Q180" s="85">
        <f t="shared" si="3"/>
        <v>3.312864477912085E-2</v>
      </c>
      <c r="R180" s="85">
        <f>P180/'סכום נכסי הקרן'!$C$42</f>
        <v>1.1205782016165682E-3</v>
      </c>
    </row>
    <row r="181" spans="2:18">
      <c r="B181" s="77" t="s">
        <v>1317</v>
      </c>
      <c r="C181" s="87" t="s">
        <v>1202</v>
      </c>
      <c r="D181" s="74">
        <v>7482</v>
      </c>
      <c r="E181" s="74"/>
      <c r="F181" s="74" t="s">
        <v>550</v>
      </c>
      <c r="G181" s="96">
        <v>43921</v>
      </c>
      <c r="H181" s="74"/>
      <c r="I181" s="84">
        <v>4.1500000000000004</v>
      </c>
      <c r="J181" s="87" t="s">
        <v>688</v>
      </c>
      <c r="K181" s="87" t="s">
        <v>154</v>
      </c>
      <c r="L181" s="88">
        <v>3.3911999999999998E-2</v>
      </c>
      <c r="M181" s="88">
        <v>2.98E-2</v>
      </c>
      <c r="N181" s="84">
        <v>3350.88</v>
      </c>
      <c r="O181" s="86">
        <v>100.57</v>
      </c>
      <c r="P181" s="84">
        <v>12.01398</v>
      </c>
      <c r="Q181" s="85">
        <f t="shared" si="3"/>
        <v>1.22072365211959E-3</v>
      </c>
      <c r="R181" s="85">
        <f>P181/'סכום נכסי הקרן'!$C$42</f>
        <v>4.129104356315539E-5</v>
      </c>
    </row>
    <row r="182" spans="2:18">
      <c r="B182" s="77" t="s">
        <v>1317</v>
      </c>
      <c r="C182" s="87" t="s">
        <v>1202</v>
      </c>
      <c r="D182" s="74">
        <v>7505</v>
      </c>
      <c r="E182" s="74"/>
      <c r="F182" s="74" t="s">
        <v>550</v>
      </c>
      <c r="G182" s="96">
        <v>43914</v>
      </c>
      <c r="H182" s="74"/>
      <c r="I182" s="84">
        <v>4.12</v>
      </c>
      <c r="J182" s="87" t="s">
        <v>688</v>
      </c>
      <c r="K182" s="87" t="s">
        <v>154</v>
      </c>
      <c r="L182" s="88">
        <v>3.2986000000000001E-2</v>
      </c>
      <c r="M182" s="88">
        <v>3.3000000000000002E-2</v>
      </c>
      <c r="N182" s="84">
        <v>9098.41</v>
      </c>
      <c r="O182" s="86">
        <v>100.52</v>
      </c>
      <c r="P182" s="84">
        <v>32.604489999999998</v>
      </c>
      <c r="Q182" s="85">
        <f t="shared" si="3"/>
        <v>3.3128964846201384E-3</v>
      </c>
      <c r="R182" s="85">
        <f>P182/'סכום נכסי הקרן'!$C$42</f>
        <v>1.1205890279028801E-4</v>
      </c>
    </row>
    <row r="183" spans="2:18">
      <c r="B183" s="77" t="s">
        <v>1317</v>
      </c>
      <c r="C183" s="87" t="s">
        <v>1202</v>
      </c>
      <c r="D183" s="74">
        <v>7210</v>
      </c>
      <c r="E183" s="74"/>
      <c r="F183" s="74" t="s">
        <v>550</v>
      </c>
      <c r="G183" s="96">
        <v>43741</v>
      </c>
      <c r="H183" s="74"/>
      <c r="I183" s="84">
        <v>4.12</v>
      </c>
      <c r="J183" s="87" t="s">
        <v>688</v>
      </c>
      <c r="K183" s="87" t="s">
        <v>154</v>
      </c>
      <c r="L183" s="88">
        <v>3.0005999999999998E-2</v>
      </c>
      <c r="M183" s="88">
        <v>3.3000000000000002E-2</v>
      </c>
      <c r="N183" s="84">
        <v>1664.34</v>
      </c>
      <c r="O183" s="86">
        <v>100.5</v>
      </c>
      <c r="P183" s="84">
        <v>5.9630400000000003</v>
      </c>
      <c r="Q183" s="85">
        <f t="shared" si="3"/>
        <v>6.0589612822188827E-4</v>
      </c>
      <c r="R183" s="85">
        <f>P183/'סכום נכסי הקרן'!$C$42</f>
        <v>2.0494469310656262E-5</v>
      </c>
    </row>
    <row r="184" spans="2:18">
      <c r="B184" s="77" t="s">
        <v>1301</v>
      </c>
      <c r="C184" s="87" t="s">
        <v>1200</v>
      </c>
      <c r="D184" s="74" t="s">
        <v>1266</v>
      </c>
      <c r="E184" s="74"/>
      <c r="F184" s="74" t="s">
        <v>550</v>
      </c>
      <c r="G184" s="96">
        <v>43186</v>
      </c>
      <c r="H184" s="74"/>
      <c r="I184" s="84">
        <v>5.62</v>
      </c>
      <c r="J184" s="87" t="s">
        <v>181</v>
      </c>
      <c r="K184" s="87" t="s">
        <v>154</v>
      </c>
      <c r="L184" s="88">
        <v>4.8000000000000001E-2</v>
      </c>
      <c r="M184" s="88">
        <v>3.0999999999999996E-2</v>
      </c>
      <c r="N184" s="84">
        <v>108179</v>
      </c>
      <c r="O184" s="86">
        <v>110.05</v>
      </c>
      <c r="P184" s="84">
        <v>424.41678000000002</v>
      </c>
      <c r="Q184" s="85">
        <f>P184/$P$10</f>
        <v>4.3124393556709488E-2</v>
      </c>
      <c r="R184" s="85">
        <f>P184/'סכום נכסי הקרן'!$C$42</f>
        <v>1.4586849446989372E-3</v>
      </c>
    </row>
    <row r="185" spans="2:18">
      <c r="B185" s="77" t="s">
        <v>1301</v>
      </c>
      <c r="C185" s="87" t="s">
        <v>1200</v>
      </c>
      <c r="D185" s="74">
        <v>6831</v>
      </c>
      <c r="E185" s="74"/>
      <c r="F185" s="74" t="s">
        <v>550</v>
      </c>
      <c r="G185" s="96">
        <v>43552</v>
      </c>
      <c r="H185" s="74"/>
      <c r="I185" s="84">
        <v>5.55</v>
      </c>
      <c r="J185" s="87" t="s">
        <v>181</v>
      </c>
      <c r="K185" s="87" t="s">
        <v>154</v>
      </c>
      <c r="L185" s="88">
        <v>4.5999999999999999E-2</v>
      </c>
      <c r="M185" s="88">
        <v>4.2199999999999994E-2</v>
      </c>
      <c r="N185" s="84">
        <v>53521.02</v>
      </c>
      <c r="O185" s="86">
        <v>102.52</v>
      </c>
      <c r="P185" s="84">
        <v>195.61066</v>
      </c>
      <c r="Q185" s="85">
        <f>P185/$P$10</f>
        <v>1.9875724719761761E-2</v>
      </c>
      <c r="R185" s="85">
        <f>P185/'סכום נכסי הקרן'!$C$42</f>
        <v>6.722974637445357E-4</v>
      </c>
    </row>
    <row r="187" spans="2:18">
      <c r="B187" s="89" t="s">
        <v>240</v>
      </c>
    </row>
    <row r="188" spans="2:18">
      <c r="B188" s="89" t="s">
        <v>103</v>
      </c>
    </row>
    <row r="189" spans="2:18">
      <c r="B189" s="89" t="s">
        <v>222</v>
      </c>
    </row>
    <row r="190" spans="2:18">
      <c r="B190" s="89" t="s">
        <v>230</v>
      </c>
    </row>
  </sheetData>
  <sheetProtection sheet="1" objects="1" scenarios="1"/>
  <mergeCells count="1">
    <mergeCell ref="B6:R6"/>
  </mergeCells>
  <phoneticPr fontId="3" type="noConversion"/>
  <conditionalFormatting sqref="B127:B129">
    <cfRule type="cellIs" dxfId="5" priority="91" operator="equal">
      <formula>2958465</formula>
    </cfRule>
    <cfRule type="cellIs" dxfId="4" priority="92" operator="equal">
      <formula>"NR3"</formula>
    </cfRule>
    <cfRule type="cellIs" dxfId="3" priority="93" operator="equal">
      <formula>"דירוג פנימי"</formula>
    </cfRule>
  </conditionalFormatting>
  <conditionalFormatting sqref="B127:B129">
    <cfRule type="cellIs" dxfId="2" priority="90" operator="equal">
      <formula>2958465</formula>
    </cfRule>
  </conditionalFormatting>
  <conditionalFormatting sqref="B11:B34 B130:B185">
    <cfRule type="cellIs" dxfId="1" priority="89" operator="equal">
      <formula>"NR3"</formula>
    </cfRule>
  </conditionalFormatting>
  <conditionalFormatting sqref="B35:B126">
    <cfRule type="cellIs" dxfId="0" priority="2" operator="equal">
      <formula>"NR3"</formula>
    </cfRule>
  </conditionalFormatting>
  <dataValidations count="1">
    <dataValidation allowBlank="1" showInputMessage="1" showErrorMessage="1" sqref="C5 D1:R5 C7:R9 B1:B9 AC53:XFD56 S53:AA56 S1:XFD52 B186:R1048576 A1:A129 A130:A1048576 S57:XFD129 S130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170</v>
      </c>
      <c r="C1" s="68" t="s" vm="1">
        <v>247</v>
      </c>
    </row>
    <row r="2" spans="2:64">
      <c r="B2" s="47" t="s">
        <v>169</v>
      </c>
      <c r="C2" s="68" t="s">
        <v>248</v>
      </c>
    </row>
    <row r="3" spans="2:64">
      <c r="B3" s="47" t="s">
        <v>171</v>
      </c>
      <c r="C3" s="68" t="s">
        <v>249</v>
      </c>
    </row>
    <row r="4" spans="2:64">
      <c r="B4" s="47" t="s">
        <v>172</v>
      </c>
      <c r="C4" s="68">
        <v>2144</v>
      </c>
    </row>
    <row r="6" spans="2:64" ht="26.25" customHeight="1">
      <c r="B6" s="134" t="s">
        <v>203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</row>
    <row r="7" spans="2:64" s="3" customFormat="1" ht="78.75">
      <c r="B7" s="48" t="s">
        <v>107</v>
      </c>
      <c r="C7" s="49" t="s">
        <v>41</v>
      </c>
      <c r="D7" s="49" t="s">
        <v>108</v>
      </c>
      <c r="E7" s="49" t="s">
        <v>14</v>
      </c>
      <c r="F7" s="49" t="s">
        <v>61</v>
      </c>
      <c r="G7" s="49" t="s">
        <v>17</v>
      </c>
      <c r="H7" s="49" t="s">
        <v>94</v>
      </c>
      <c r="I7" s="49" t="s">
        <v>47</v>
      </c>
      <c r="J7" s="49" t="s">
        <v>18</v>
      </c>
      <c r="K7" s="49" t="s">
        <v>224</v>
      </c>
      <c r="L7" s="49" t="s">
        <v>223</v>
      </c>
      <c r="M7" s="49" t="s">
        <v>102</v>
      </c>
      <c r="N7" s="49" t="s">
        <v>173</v>
      </c>
      <c r="O7" s="51" t="s">
        <v>175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231</v>
      </c>
      <c r="L8" s="32"/>
      <c r="M8" s="32" t="s">
        <v>227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1"/>
      <c r="Q10" s="1"/>
      <c r="R10" s="1"/>
      <c r="S10" s="1"/>
      <c r="T10" s="1"/>
      <c r="U10" s="1"/>
      <c r="BL10" s="1"/>
    </row>
    <row r="11" spans="2:64" ht="20.25" customHeight="1">
      <c r="B11" s="89" t="s">
        <v>240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2:64">
      <c r="B12" s="89" t="s">
        <v>103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</row>
    <row r="13" spans="2:64">
      <c r="B13" s="89" t="s">
        <v>222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4">
      <c r="B14" s="89" t="s">
        <v>230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4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4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I25" sqref="I25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170</v>
      </c>
      <c r="C1" s="68" t="s" vm="1">
        <v>247</v>
      </c>
    </row>
    <row r="2" spans="2:56">
      <c r="B2" s="47" t="s">
        <v>169</v>
      </c>
      <c r="C2" s="68" t="s">
        <v>248</v>
      </c>
    </row>
    <row r="3" spans="2:56">
      <c r="B3" s="47" t="s">
        <v>171</v>
      </c>
      <c r="C3" s="68" t="s">
        <v>249</v>
      </c>
    </row>
    <row r="4" spans="2:56">
      <c r="B4" s="47" t="s">
        <v>172</v>
      </c>
      <c r="C4" s="68">
        <v>2144</v>
      </c>
    </row>
    <row r="6" spans="2:56" ht="26.25" customHeight="1">
      <c r="B6" s="134" t="s">
        <v>204</v>
      </c>
      <c r="C6" s="135"/>
      <c r="D6" s="135"/>
      <c r="E6" s="135"/>
      <c r="F6" s="135"/>
      <c r="G6" s="135"/>
      <c r="H6" s="135"/>
      <c r="I6" s="135"/>
      <c r="J6" s="136"/>
    </row>
    <row r="7" spans="2:56" s="3" customFormat="1" ht="78.75">
      <c r="B7" s="48" t="s">
        <v>107</v>
      </c>
      <c r="C7" s="50" t="s">
        <v>49</v>
      </c>
      <c r="D7" s="50" t="s">
        <v>79</v>
      </c>
      <c r="E7" s="50" t="s">
        <v>50</v>
      </c>
      <c r="F7" s="50" t="s">
        <v>94</v>
      </c>
      <c r="G7" s="50" t="s">
        <v>215</v>
      </c>
      <c r="H7" s="50" t="s">
        <v>173</v>
      </c>
      <c r="I7" s="50" t="s">
        <v>174</v>
      </c>
      <c r="J7" s="65" t="s">
        <v>234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228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5"/>
      <c r="C11" s="91"/>
      <c r="D11" s="91"/>
      <c r="E11" s="91"/>
      <c r="F11" s="91"/>
      <c r="G11" s="91"/>
      <c r="H11" s="91"/>
      <c r="I11" s="91"/>
      <c r="J11" s="91"/>
    </row>
    <row r="12" spans="2:56">
      <c r="B12" s="105"/>
      <c r="C12" s="91"/>
      <c r="D12" s="91"/>
      <c r="E12" s="91"/>
      <c r="F12" s="91"/>
      <c r="G12" s="91"/>
      <c r="H12" s="91"/>
      <c r="I12" s="91"/>
      <c r="J12" s="91"/>
    </row>
    <row r="13" spans="2:56">
      <c r="B13" s="91"/>
      <c r="C13" s="91"/>
      <c r="D13" s="91"/>
      <c r="E13" s="91"/>
      <c r="F13" s="91"/>
      <c r="G13" s="91"/>
      <c r="H13" s="91"/>
      <c r="I13" s="91"/>
      <c r="J13" s="91"/>
    </row>
    <row r="14" spans="2:56">
      <c r="B14" s="91"/>
      <c r="C14" s="91"/>
      <c r="D14" s="91"/>
      <c r="E14" s="91"/>
      <c r="F14" s="91"/>
      <c r="G14" s="91"/>
      <c r="H14" s="91"/>
      <c r="I14" s="91"/>
      <c r="J14" s="91"/>
    </row>
    <row r="15" spans="2:56">
      <c r="B15" s="91"/>
      <c r="C15" s="91"/>
      <c r="D15" s="91"/>
      <c r="E15" s="91"/>
      <c r="F15" s="91"/>
      <c r="G15" s="91"/>
      <c r="H15" s="91"/>
      <c r="I15" s="91"/>
      <c r="J15" s="91"/>
    </row>
    <row r="16" spans="2:56">
      <c r="B16" s="91"/>
      <c r="C16" s="91"/>
      <c r="D16" s="91"/>
      <c r="E16" s="91"/>
      <c r="F16" s="91"/>
      <c r="G16" s="91"/>
      <c r="H16" s="91"/>
      <c r="I16" s="91"/>
      <c r="J16" s="91"/>
    </row>
    <row r="17" spans="2:10">
      <c r="B17" s="91"/>
      <c r="C17" s="91"/>
      <c r="D17" s="91"/>
      <c r="E17" s="91"/>
      <c r="F17" s="91"/>
      <c r="G17" s="91"/>
      <c r="H17" s="91"/>
      <c r="I17" s="91"/>
      <c r="J17" s="91"/>
    </row>
    <row r="18" spans="2:10">
      <c r="B18" s="91"/>
      <c r="C18" s="91"/>
      <c r="D18" s="91"/>
      <c r="E18" s="91"/>
      <c r="F18" s="91"/>
      <c r="G18" s="91"/>
      <c r="H18" s="91"/>
      <c r="I18" s="91"/>
      <c r="J18" s="91"/>
    </row>
    <row r="19" spans="2:10">
      <c r="B19" s="91"/>
      <c r="C19" s="91"/>
      <c r="D19" s="91"/>
      <c r="E19" s="91"/>
      <c r="F19" s="91"/>
      <c r="G19" s="91"/>
      <c r="H19" s="91"/>
      <c r="I19" s="91"/>
      <c r="J19" s="91"/>
    </row>
    <row r="20" spans="2:10">
      <c r="B20" s="91"/>
      <c r="C20" s="91"/>
      <c r="D20" s="91"/>
      <c r="E20" s="91"/>
      <c r="F20" s="91"/>
      <c r="G20" s="91"/>
      <c r="H20" s="91"/>
      <c r="I20" s="91"/>
      <c r="J20" s="91"/>
    </row>
    <row r="21" spans="2:10">
      <c r="B21" s="91"/>
      <c r="C21" s="91"/>
      <c r="D21" s="91"/>
      <c r="E21" s="91"/>
      <c r="F21" s="91"/>
      <c r="G21" s="91"/>
      <c r="H21" s="91"/>
      <c r="I21" s="91"/>
      <c r="J21" s="91"/>
    </row>
    <row r="22" spans="2:10">
      <c r="B22" s="91"/>
      <c r="C22" s="91"/>
      <c r="D22" s="91"/>
      <c r="E22" s="91"/>
      <c r="F22" s="91"/>
      <c r="G22" s="91"/>
      <c r="H22" s="91"/>
      <c r="I22" s="91"/>
      <c r="J22" s="91"/>
    </row>
    <row r="23" spans="2:10">
      <c r="B23" s="91"/>
      <c r="C23" s="91"/>
      <c r="D23" s="91"/>
      <c r="E23" s="91"/>
      <c r="F23" s="91"/>
      <c r="G23" s="91"/>
      <c r="H23" s="91"/>
      <c r="I23" s="91"/>
      <c r="J23" s="91"/>
    </row>
    <row r="24" spans="2:10">
      <c r="B24" s="91"/>
      <c r="C24" s="91"/>
      <c r="D24" s="91"/>
      <c r="E24" s="91"/>
      <c r="F24" s="91"/>
      <c r="G24" s="91"/>
      <c r="H24" s="91"/>
      <c r="I24" s="91"/>
      <c r="J24" s="91"/>
    </row>
    <row r="25" spans="2:10">
      <c r="B25" s="91"/>
      <c r="C25" s="91"/>
      <c r="D25" s="91"/>
      <c r="E25" s="91"/>
      <c r="F25" s="91"/>
      <c r="G25" s="91"/>
      <c r="H25" s="91"/>
      <c r="I25" s="91"/>
      <c r="J25" s="91"/>
    </row>
    <row r="26" spans="2:10">
      <c r="B26" s="91"/>
      <c r="C26" s="91"/>
      <c r="D26" s="91"/>
      <c r="E26" s="91"/>
      <c r="F26" s="91"/>
      <c r="G26" s="91"/>
      <c r="H26" s="91"/>
      <c r="I26" s="91"/>
      <c r="J26" s="91"/>
    </row>
    <row r="27" spans="2:10">
      <c r="B27" s="91"/>
      <c r="C27" s="91"/>
      <c r="D27" s="91"/>
      <c r="E27" s="91"/>
      <c r="F27" s="91"/>
      <c r="G27" s="91"/>
      <c r="H27" s="91"/>
      <c r="I27" s="91"/>
      <c r="J27" s="91"/>
    </row>
    <row r="28" spans="2:10">
      <c r="B28" s="91"/>
      <c r="C28" s="91"/>
      <c r="D28" s="91"/>
      <c r="E28" s="91"/>
      <c r="F28" s="91"/>
      <c r="G28" s="91"/>
      <c r="H28" s="91"/>
      <c r="I28" s="91"/>
      <c r="J28" s="91"/>
    </row>
    <row r="29" spans="2:10">
      <c r="B29" s="91"/>
      <c r="C29" s="91"/>
      <c r="D29" s="91"/>
      <c r="E29" s="91"/>
      <c r="F29" s="91"/>
      <c r="G29" s="91"/>
      <c r="H29" s="91"/>
      <c r="I29" s="91"/>
      <c r="J29" s="91"/>
    </row>
    <row r="30" spans="2:10">
      <c r="B30" s="91"/>
      <c r="C30" s="91"/>
      <c r="D30" s="91"/>
      <c r="E30" s="91"/>
      <c r="F30" s="91"/>
      <c r="G30" s="91"/>
      <c r="H30" s="91"/>
      <c r="I30" s="91"/>
      <c r="J30" s="91"/>
    </row>
    <row r="31" spans="2:10">
      <c r="B31" s="91"/>
      <c r="C31" s="91"/>
      <c r="D31" s="91"/>
      <c r="E31" s="91"/>
      <c r="F31" s="91"/>
      <c r="G31" s="91"/>
      <c r="H31" s="91"/>
      <c r="I31" s="91"/>
      <c r="J31" s="91"/>
    </row>
    <row r="32" spans="2:10">
      <c r="B32" s="91"/>
      <c r="C32" s="91"/>
      <c r="D32" s="91"/>
      <c r="E32" s="91"/>
      <c r="F32" s="91"/>
      <c r="G32" s="91"/>
      <c r="H32" s="91"/>
      <c r="I32" s="91"/>
      <c r="J32" s="91"/>
    </row>
    <row r="33" spans="2:10">
      <c r="B33" s="91"/>
      <c r="C33" s="91"/>
      <c r="D33" s="91"/>
      <c r="E33" s="91"/>
      <c r="F33" s="91"/>
      <c r="G33" s="91"/>
      <c r="H33" s="91"/>
      <c r="I33" s="91"/>
      <c r="J33" s="91"/>
    </row>
    <row r="34" spans="2:10">
      <c r="B34" s="91"/>
      <c r="C34" s="91"/>
      <c r="D34" s="91"/>
      <c r="E34" s="91"/>
      <c r="F34" s="91"/>
      <c r="G34" s="91"/>
      <c r="H34" s="91"/>
      <c r="I34" s="91"/>
      <c r="J34" s="91"/>
    </row>
    <row r="35" spans="2:10">
      <c r="B35" s="91"/>
      <c r="C35" s="91"/>
      <c r="D35" s="91"/>
      <c r="E35" s="91"/>
      <c r="F35" s="91"/>
      <c r="G35" s="91"/>
      <c r="H35" s="91"/>
      <c r="I35" s="91"/>
      <c r="J35" s="91"/>
    </row>
    <row r="36" spans="2:10">
      <c r="B36" s="91"/>
      <c r="C36" s="91"/>
      <c r="D36" s="91"/>
      <c r="E36" s="91"/>
      <c r="F36" s="91"/>
      <c r="G36" s="91"/>
      <c r="H36" s="91"/>
      <c r="I36" s="91"/>
      <c r="J36" s="91"/>
    </row>
    <row r="37" spans="2:10">
      <c r="B37" s="91"/>
      <c r="C37" s="91"/>
      <c r="D37" s="91"/>
      <c r="E37" s="91"/>
      <c r="F37" s="91"/>
      <c r="G37" s="91"/>
      <c r="H37" s="91"/>
      <c r="I37" s="91"/>
      <c r="J37" s="91"/>
    </row>
    <row r="38" spans="2:10">
      <c r="B38" s="91"/>
      <c r="C38" s="91"/>
      <c r="D38" s="91"/>
      <c r="E38" s="91"/>
      <c r="F38" s="91"/>
      <c r="G38" s="91"/>
      <c r="H38" s="91"/>
      <c r="I38" s="91"/>
      <c r="J38" s="91"/>
    </row>
    <row r="39" spans="2:10">
      <c r="B39" s="91"/>
      <c r="C39" s="91"/>
      <c r="D39" s="91"/>
      <c r="E39" s="91"/>
      <c r="F39" s="91"/>
      <c r="G39" s="91"/>
      <c r="H39" s="91"/>
      <c r="I39" s="91"/>
      <c r="J39" s="91"/>
    </row>
    <row r="40" spans="2:10">
      <c r="B40" s="91"/>
      <c r="C40" s="91"/>
      <c r="D40" s="91"/>
      <c r="E40" s="91"/>
      <c r="F40" s="91"/>
      <c r="G40" s="91"/>
      <c r="H40" s="91"/>
      <c r="I40" s="91"/>
      <c r="J40" s="91"/>
    </row>
    <row r="41" spans="2:10">
      <c r="B41" s="91"/>
      <c r="C41" s="91"/>
      <c r="D41" s="91"/>
      <c r="E41" s="91"/>
      <c r="F41" s="91"/>
      <c r="G41" s="91"/>
      <c r="H41" s="91"/>
      <c r="I41" s="91"/>
      <c r="J41" s="91"/>
    </row>
    <row r="42" spans="2:10">
      <c r="B42" s="91"/>
      <c r="C42" s="91"/>
      <c r="D42" s="91"/>
      <c r="E42" s="91"/>
      <c r="F42" s="91"/>
      <c r="G42" s="91"/>
      <c r="H42" s="91"/>
      <c r="I42" s="91"/>
      <c r="J42" s="91"/>
    </row>
    <row r="43" spans="2:10">
      <c r="B43" s="91"/>
      <c r="C43" s="91"/>
      <c r="D43" s="91"/>
      <c r="E43" s="91"/>
      <c r="F43" s="91"/>
      <c r="G43" s="91"/>
      <c r="H43" s="91"/>
      <c r="I43" s="91"/>
      <c r="J43" s="91"/>
    </row>
    <row r="44" spans="2:10">
      <c r="B44" s="91"/>
      <c r="C44" s="91"/>
      <c r="D44" s="91"/>
      <c r="E44" s="91"/>
      <c r="F44" s="91"/>
      <c r="G44" s="91"/>
      <c r="H44" s="91"/>
      <c r="I44" s="91"/>
      <c r="J44" s="91"/>
    </row>
    <row r="45" spans="2:10">
      <c r="B45" s="91"/>
      <c r="C45" s="91"/>
      <c r="D45" s="91"/>
      <c r="E45" s="91"/>
      <c r="F45" s="91"/>
      <c r="G45" s="91"/>
      <c r="H45" s="91"/>
      <c r="I45" s="91"/>
      <c r="J45" s="91"/>
    </row>
    <row r="46" spans="2:10">
      <c r="B46" s="91"/>
      <c r="C46" s="91"/>
      <c r="D46" s="91"/>
      <c r="E46" s="91"/>
      <c r="F46" s="91"/>
      <c r="G46" s="91"/>
      <c r="H46" s="91"/>
      <c r="I46" s="91"/>
      <c r="J46" s="91"/>
    </row>
    <row r="47" spans="2:10">
      <c r="B47" s="91"/>
      <c r="C47" s="91"/>
      <c r="D47" s="91"/>
      <c r="E47" s="91"/>
      <c r="F47" s="91"/>
      <c r="G47" s="91"/>
      <c r="H47" s="91"/>
      <c r="I47" s="91"/>
      <c r="J47" s="91"/>
    </row>
    <row r="48" spans="2:10">
      <c r="B48" s="91"/>
      <c r="C48" s="91"/>
      <c r="D48" s="91"/>
      <c r="E48" s="91"/>
      <c r="F48" s="91"/>
      <c r="G48" s="91"/>
      <c r="H48" s="91"/>
      <c r="I48" s="91"/>
      <c r="J48" s="91"/>
    </row>
    <row r="49" spans="2:10">
      <c r="B49" s="91"/>
      <c r="C49" s="91"/>
      <c r="D49" s="91"/>
      <c r="E49" s="91"/>
      <c r="F49" s="91"/>
      <c r="G49" s="91"/>
      <c r="H49" s="91"/>
      <c r="I49" s="91"/>
      <c r="J49" s="91"/>
    </row>
    <row r="50" spans="2:10">
      <c r="B50" s="91"/>
      <c r="C50" s="91"/>
      <c r="D50" s="91"/>
      <c r="E50" s="91"/>
      <c r="F50" s="91"/>
      <c r="G50" s="91"/>
      <c r="H50" s="91"/>
      <c r="I50" s="91"/>
      <c r="J50" s="91"/>
    </row>
    <row r="51" spans="2:10">
      <c r="B51" s="91"/>
      <c r="C51" s="91"/>
      <c r="D51" s="91"/>
      <c r="E51" s="91"/>
      <c r="F51" s="91"/>
      <c r="G51" s="91"/>
      <c r="H51" s="91"/>
      <c r="I51" s="91"/>
      <c r="J51" s="91"/>
    </row>
    <row r="52" spans="2:10">
      <c r="B52" s="91"/>
      <c r="C52" s="91"/>
      <c r="D52" s="91"/>
      <c r="E52" s="91"/>
      <c r="F52" s="91"/>
      <c r="G52" s="91"/>
      <c r="H52" s="91"/>
      <c r="I52" s="91"/>
      <c r="J52" s="91"/>
    </row>
    <row r="53" spans="2:10">
      <c r="B53" s="91"/>
      <c r="C53" s="91"/>
      <c r="D53" s="91"/>
      <c r="E53" s="91"/>
      <c r="F53" s="91"/>
      <c r="G53" s="91"/>
      <c r="H53" s="91"/>
      <c r="I53" s="91"/>
      <c r="J53" s="91"/>
    </row>
    <row r="54" spans="2:10">
      <c r="B54" s="91"/>
      <c r="C54" s="91"/>
      <c r="D54" s="91"/>
      <c r="E54" s="91"/>
      <c r="F54" s="91"/>
      <c r="G54" s="91"/>
      <c r="H54" s="91"/>
      <c r="I54" s="91"/>
      <c r="J54" s="91"/>
    </row>
    <row r="55" spans="2:10">
      <c r="B55" s="91"/>
      <c r="C55" s="91"/>
      <c r="D55" s="91"/>
      <c r="E55" s="91"/>
      <c r="F55" s="91"/>
      <c r="G55" s="91"/>
      <c r="H55" s="91"/>
      <c r="I55" s="91"/>
      <c r="J55" s="91"/>
    </row>
    <row r="56" spans="2:10">
      <c r="B56" s="91"/>
      <c r="C56" s="91"/>
      <c r="D56" s="91"/>
      <c r="E56" s="91"/>
      <c r="F56" s="91"/>
      <c r="G56" s="91"/>
      <c r="H56" s="91"/>
      <c r="I56" s="91"/>
      <c r="J56" s="91"/>
    </row>
    <row r="57" spans="2:10">
      <c r="B57" s="91"/>
      <c r="C57" s="91"/>
      <c r="D57" s="91"/>
      <c r="E57" s="91"/>
      <c r="F57" s="91"/>
      <c r="G57" s="91"/>
      <c r="H57" s="91"/>
      <c r="I57" s="91"/>
      <c r="J57" s="91"/>
    </row>
    <row r="58" spans="2:10">
      <c r="B58" s="91"/>
      <c r="C58" s="91"/>
      <c r="D58" s="91"/>
      <c r="E58" s="91"/>
      <c r="F58" s="91"/>
      <c r="G58" s="91"/>
      <c r="H58" s="91"/>
      <c r="I58" s="91"/>
      <c r="J58" s="91"/>
    </row>
    <row r="59" spans="2:10">
      <c r="B59" s="91"/>
      <c r="C59" s="91"/>
      <c r="D59" s="91"/>
      <c r="E59" s="91"/>
      <c r="F59" s="91"/>
      <c r="G59" s="91"/>
      <c r="H59" s="91"/>
      <c r="I59" s="91"/>
      <c r="J59" s="91"/>
    </row>
    <row r="60" spans="2:10">
      <c r="B60" s="91"/>
      <c r="C60" s="91"/>
      <c r="D60" s="91"/>
      <c r="E60" s="91"/>
      <c r="F60" s="91"/>
      <c r="G60" s="91"/>
      <c r="H60" s="91"/>
      <c r="I60" s="91"/>
      <c r="J60" s="91"/>
    </row>
    <row r="61" spans="2:10">
      <c r="B61" s="91"/>
      <c r="C61" s="91"/>
      <c r="D61" s="91"/>
      <c r="E61" s="91"/>
      <c r="F61" s="91"/>
      <c r="G61" s="91"/>
      <c r="H61" s="91"/>
      <c r="I61" s="91"/>
      <c r="J61" s="91"/>
    </row>
    <row r="62" spans="2:10">
      <c r="B62" s="91"/>
      <c r="C62" s="91"/>
      <c r="D62" s="91"/>
      <c r="E62" s="91"/>
      <c r="F62" s="91"/>
      <c r="G62" s="91"/>
      <c r="H62" s="91"/>
      <c r="I62" s="91"/>
      <c r="J62" s="91"/>
    </row>
    <row r="63" spans="2:10">
      <c r="B63" s="91"/>
      <c r="C63" s="91"/>
      <c r="D63" s="91"/>
      <c r="E63" s="91"/>
      <c r="F63" s="91"/>
      <c r="G63" s="91"/>
      <c r="H63" s="91"/>
      <c r="I63" s="91"/>
      <c r="J63" s="91"/>
    </row>
    <row r="64" spans="2:10">
      <c r="B64" s="91"/>
      <c r="C64" s="91"/>
      <c r="D64" s="91"/>
      <c r="E64" s="91"/>
      <c r="F64" s="91"/>
      <c r="G64" s="91"/>
      <c r="H64" s="91"/>
      <c r="I64" s="91"/>
      <c r="J64" s="91"/>
    </row>
    <row r="65" spans="2:10">
      <c r="B65" s="91"/>
      <c r="C65" s="91"/>
      <c r="D65" s="91"/>
      <c r="E65" s="91"/>
      <c r="F65" s="91"/>
      <c r="G65" s="91"/>
      <c r="H65" s="91"/>
      <c r="I65" s="91"/>
      <c r="J65" s="91"/>
    </row>
    <row r="66" spans="2:10">
      <c r="B66" s="91"/>
      <c r="C66" s="91"/>
      <c r="D66" s="91"/>
      <c r="E66" s="91"/>
      <c r="F66" s="91"/>
      <c r="G66" s="91"/>
      <c r="H66" s="91"/>
      <c r="I66" s="91"/>
      <c r="J66" s="91"/>
    </row>
    <row r="67" spans="2:10">
      <c r="B67" s="91"/>
      <c r="C67" s="91"/>
      <c r="D67" s="91"/>
      <c r="E67" s="91"/>
      <c r="F67" s="91"/>
      <c r="G67" s="91"/>
      <c r="H67" s="91"/>
      <c r="I67" s="91"/>
      <c r="J67" s="91"/>
    </row>
    <row r="68" spans="2:10">
      <c r="B68" s="91"/>
      <c r="C68" s="91"/>
      <c r="D68" s="91"/>
      <c r="E68" s="91"/>
      <c r="F68" s="91"/>
      <c r="G68" s="91"/>
      <c r="H68" s="91"/>
      <c r="I68" s="91"/>
      <c r="J68" s="91"/>
    </row>
    <row r="69" spans="2:10">
      <c r="B69" s="91"/>
      <c r="C69" s="91"/>
      <c r="D69" s="91"/>
      <c r="E69" s="91"/>
      <c r="F69" s="91"/>
      <c r="G69" s="91"/>
      <c r="H69" s="91"/>
      <c r="I69" s="91"/>
      <c r="J69" s="91"/>
    </row>
    <row r="70" spans="2:10">
      <c r="B70" s="91"/>
      <c r="C70" s="91"/>
      <c r="D70" s="91"/>
      <c r="E70" s="91"/>
      <c r="F70" s="91"/>
      <c r="G70" s="91"/>
      <c r="H70" s="91"/>
      <c r="I70" s="91"/>
      <c r="J70" s="91"/>
    </row>
    <row r="71" spans="2:10">
      <c r="B71" s="91"/>
      <c r="C71" s="91"/>
      <c r="D71" s="91"/>
      <c r="E71" s="91"/>
      <c r="F71" s="91"/>
      <c r="G71" s="91"/>
      <c r="H71" s="91"/>
      <c r="I71" s="91"/>
      <c r="J71" s="91"/>
    </row>
    <row r="72" spans="2:10">
      <c r="B72" s="91"/>
      <c r="C72" s="91"/>
      <c r="D72" s="91"/>
      <c r="E72" s="91"/>
      <c r="F72" s="91"/>
      <c r="G72" s="91"/>
      <c r="H72" s="91"/>
      <c r="I72" s="91"/>
      <c r="J72" s="91"/>
    </row>
    <row r="73" spans="2:10">
      <c r="B73" s="91"/>
      <c r="C73" s="91"/>
      <c r="D73" s="91"/>
      <c r="E73" s="91"/>
      <c r="F73" s="91"/>
      <c r="G73" s="91"/>
      <c r="H73" s="91"/>
      <c r="I73" s="91"/>
      <c r="J73" s="91"/>
    </row>
    <row r="74" spans="2:10">
      <c r="B74" s="91"/>
      <c r="C74" s="91"/>
      <c r="D74" s="91"/>
      <c r="E74" s="91"/>
      <c r="F74" s="91"/>
      <c r="G74" s="91"/>
      <c r="H74" s="91"/>
      <c r="I74" s="91"/>
      <c r="J74" s="91"/>
    </row>
    <row r="75" spans="2:10">
      <c r="B75" s="91"/>
      <c r="C75" s="91"/>
      <c r="D75" s="91"/>
      <c r="E75" s="91"/>
      <c r="F75" s="91"/>
      <c r="G75" s="91"/>
      <c r="H75" s="91"/>
      <c r="I75" s="91"/>
      <c r="J75" s="91"/>
    </row>
    <row r="76" spans="2:10">
      <c r="B76" s="91"/>
      <c r="C76" s="91"/>
      <c r="D76" s="91"/>
      <c r="E76" s="91"/>
      <c r="F76" s="91"/>
      <c r="G76" s="91"/>
      <c r="H76" s="91"/>
      <c r="I76" s="91"/>
      <c r="J76" s="91"/>
    </row>
    <row r="77" spans="2:10">
      <c r="B77" s="91"/>
      <c r="C77" s="91"/>
      <c r="D77" s="91"/>
      <c r="E77" s="91"/>
      <c r="F77" s="91"/>
      <c r="G77" s="91"/>
      <c r="H77" s="91"/>
      <c r="I77" s="91"/>
      <c r="J77" s="91"/>
    </row>
    <row r="78" spans="2:10">
      <c r="B78" s="91"/>
      <c r="C78" s="91"/>
      <c r="D78" s="91"/>
      <c r="E78" s="91"/>
      <c r="F78" s="91"/>
      <c r="G78" s="91"/>
      <c r="H78" s="91"/>
      <c r="I78" s="91"/>
      <c r="J78" s="91"/>
    </row>
    <row r="79" spans="2:10">
      <c r="B79" s="91"/>
      <c r="C79" s="91"/>
      <c r="D79" s="91"/>
      <c r="E79" s="91"/>
      <c r="F79" s="91"/>
      <c r="G79" s="91"/>
      <c r="H79" s="91"/>
      <c r="I79" s="91"/>
      <c r="J79" s="91"/>
    </row>
    <row r="80" spans="2:10">
      <c r="B80" s="91"/>
      <c r="C80" s="91"/>
      <c r="D80" s="91"/>
      <c r="E80" s="91"/>
      <c r="F80" s="91"/>
      <c r="G80" s="91"/>
      <c r="H80" s="91"/>
      <c r="I80" s="91"/>
      <c r="J80" s="91"/>
    </row>
    <row r="81" spans="2:10">
      <c r="B81" s="91"/>
      <c r="C81" s="91"/>
      <c r="D81" s="91"/>
      <c r="E81" s="91"/>
      <c r="F81" s="91"/>
      <c r="G81" s="91"/>
      <c r="H81" s="91"/>
      <c r="I81" s="91"/>
      <c r="J81" s="91"/>
    </row>
    <row r="82" spans="2:10">
      <c r="B82" s="91"/>
      <c r="C82" s="91"/>
      <c r="D82" s="91"/>
      <c r="E82" s="91"/>
      <c r="F82" s="91"/>
      <c r="G82" s="91"/>
      <c r="H82" s="91"/>
      <c r="I82" s="91"/>
      <c r="J82" s="91"/>
    </row>
    <row r="83" spans="2:10">
      <c r="B83" s="91"/>
      <c r="C83" s="91"/>
      <c r="D83" s="91"/>
      <c r="E83" s="91"/>
      <c r="F83" s="91"/>
      <c r="G83" s="91"/>
      <c r="H83" s="91"/>
      <c r="I83" s="91"/>
      <c r="J83" s="91"/>
    </row>
    <row r="84" spans="2:10">
      <c r="B84" s="91"/>
      <c r="C84" s="91"/>
      <c r="D84" s="91"/>
      <c r="E84" s="91"/>
      <c r="F84" s="91"/>
      <c r="G84" s="91"/>
      <c r="H84" s="91"/>
      <c r="I84" s="91"/>
      <c r="J84" s="91"/>
    </row>
    <row r="85" spans="2:10">
      <c r="B85" s="91"/>
      <c r="C85" s="91"/>
      <c r="D85" s="91"/>
      <c r="E85" s="91"/>
      <c r="F85" s="91"/>
      <c r="G85" s="91"/>
      <c r="H85" s="91"/>
      <c r="I85" s="91"/>
      <c r="J85" s="91"/>
    </row>
    <row r="86" spans="2:10">
      <c r="B86" s="91"/>
      <c r="C86" s="91"/>
      <c r="D86" s="91"/>
      <c r="E86" s="91"/>
      <c r="F86" s="91"/>
      <c r="G86" s="91"/>
      <c r="H86" s="91"/>
      <c r="I86" s="91"/>
      <c r="J86" s="91"/>
    </row>
    <row r="87" spans="2:10">
      <c r="B87" s="91"/>
      <c r="C87" s="91"/>
      <c r="D87" s="91"/>
      <c r="E87" s="91"/>
      <c r="F87" s="91"/>
      <c r="G87" s="91"/>
      <c r="H87" s="91"/>
      <c r="I87" s="91"/>
      <c r="J87" s="91"/>
    </row>
    <row r="88" spans="2:10">
      <c r="B88" s="91"/>
      <c r="C88" s="91"/>
      <c r="D88" s="91"/>
      <c r="E88" s="91"/>
      <c r="F88" s="91"/>
      <c r="G88" s="91"/>
      <c r="H88" s="91"/>
      <c r="I88" s="91"/>
      <c r="J88" s="91"/>
    </row>
    <row r="89" spans="2:10">
      <c r="B89" s="91"/>
      <c r="C89" s="91"/>
      <c r="D89" s="91"/>
      <c r="E89" s="91"/>
      <c r="F89" s="91"/>
      <c r="G89" s="91"/>
      <c r="H89" s="91"/>
      <c r="I89" s="91"/>
      <c r="J89" s="91"/>
    </row>
    <row r="90" spans="2:10">
      <c r="B90" s="91"/>
      <c r="C90" s="91"/>
      <c r="D90" s="91"/>
      <c r="E90" s="91"/>
      <c r="F90" s="91"/>
      <c r="G90" s="91"/>
      <c r="H90" s="91"/>
      <c r="I90" s="91"/>
      <c r="J90" s="91"/>
    </row>
    <row r="91" spans="2:10">
      <c r="B91" s="91"/>
      <c r="C91" s="91"/>
      <c r="D91" s="91"/>
      <c r="E91" s="91"/>
      <c r="F91" s="91"/>
      <c r="G91" s="91"/>
      <c r="H91" s="91"/>
      <c r="I91" s="91"/>
      <c r="J91" s="91"/>
    </row>
    <row r="92" spans="2:10">
      <c r="B92" s="91"/>
      <c r="C92" s="91"/>
      <c r="D92" s="91"/>
      <c r="E92" s="91"/>
      <c r="F92" s="91"/>
      <c r="G92" s="91"/>
      <c r="H92" s="91"/>
      <c r="I92" s="91"/>
      <c r="J92" s="91"/>
    </row>
    <row r="93" spans="2:10">
      <c r="B93" s="91"/>
      <c r="C93" s="91"/>
      <c r="D93" s="91"/>
      <c r="E93" s="91"/>
      <c r="F93" s="91"/>
      <c r="G93" s="91"/>
      <c r="H93" s="91"/>
      <c r="I93" s="91"/>
      <c r="J93" s="91"/>
    </row>
    <row r="94" spans="2:10">
      <c r="B94" s="91"/>
      <c r="C94" s="91"/>
      <c r="D94" s="91"/>
      <c r="E94" s="91"/>
      <c r="F94" s="91"/>
      <c r="G94" s="91"/>
      <c r="H94" s="91"/>
      <c r="I94" s="91"/>
      <c r="J94" s="91"/>
    </row>
    <row r="95" spans="2:10">
      <c r="B95" s="91"/>
      <c r="C95" s="91"/>
      <c r="D95" s="91"/>
      <c r="E95" s="91"/>
      <c r="F95" s="91"/>
      <c r="G95" s="91"/>
      <c r="H95" s="91"/>
      <c r="I95" s="91"/>
      <c r="J95" s="91"/>
    </row>
    <row r="96" spans="2:10">
      <c r="B96" s="91"/>
      <c r="C96" s="91"/>
      <c r="D96" s="91"/>
      <c r="E96" s="91"/>
      <c r="F96" s="91"/>
      <c r="G96" s="91"/>
      <c r="H96" s="91"/>
      <c r="I96" s="91"/>
      <c r="J96" s="91"/>
    </row>
    <row r="97" spans="2:10">
      <c r="B97" s="91"/>
      <c r="C97" s="91"/>
      <c r="D97" s="91"/>
      <c r="E97" s="91"/>
      <c r="F97" s="91"/>
      <c r="G97" s="91"/>
      <c r="H97" s="91"/>
      <c r="I97" s="91"/>
      <c r="J97" s="91"/>
    </row>
    <row r="98" spans="2:10">
      <c r="B98" s="91"/>
      <c r="C98" s="91"/>
      <c r="D98" s="91"/>
      <c r="E98" s="91"/>
      <c r="F98" s="91"/>
      <c r="G98" s="91"/>
      <c r="H98" s="91"/>
      <c r="I98" s="91"/>
      <c r="J98" s="91"/>
    </row>
    <row r="99" spans="2:10">
      <c r="B99" s="91"/>
      <c r="C99" s="91"/>
      <c r="D99" s="91"/>
      <c r="E99" s="91"/>
      <c r="F99" s="91"/>
      <c r="G99" s="91"/>
      <c r="H99" s="91"/>
      <c r="I99" s="91"/>
      <c r="J99" s="91"/>
    </row>
    <row r="100" spans="2:10">
      <c r="B100" s="91"/>
      <c r="C100" s="91"/>
      <c r="D100" s="91"/>
      <c r="E100" s="91"/>
      <c r="F100" s="91"/>
      <c r="G100" s="91"/>
      <c r="H100" s="91"/>
      <c r="I100" s="91"/>
      <c r="J100" s="91"/>
    </row>
    <row r="101" spans="2:10">
      <c r="B101" s="91"/>
      <c r="C101" s="91"/>
      <c r="D101" s="91"/>
      <c r="E101" s="91"/>
      <c r="F101" s="91"/>
      <c r="G101" s="91"/>
      <c r="H101" s="91"/>
      <c r="I101" s="91"/>
      <c r="J101" s="91"/>
    </row>
    <row r="102" spans="2:10">
      <c r="B102" s="91"/>
      <c r="C102" s="91"/>
      <c r="D102" s="91"/>
      <c r="E102" s="91"/>
      <c r="F102" s="91"/>
      <c r="G102" s="91"/>
      <c r="H102" s="91"/>
      <c r="I102" s="91"/>
      <c r="J102" s="91"/>
    </row>
    <row r="103" spans="2:10">
      <c r="B103" s="91"/>
      <c r="C103" s="91"/>
      <c r="D103" s="91"/>
      <c r="E103" s="91"/>
      <c r="F103" s="91"/>
      <c r="G103" s="91"/>
      <c r="H103" s="91"/>
      <c r="I103" s="91"/>
      <c r="J103" s="91"/>
    </row>
    <row r="104" spans="2:10">
      <c r="B104" s="91"/>
      <c r="C104" s="91"/>
      <c r="D104" s="91"/>
      <c r="E104" s="91"/>
      <c r="F104" s="91"/>
      <c r="G104" s="91"/>
      <c r="H104" s="91"/>
      <c r="I104" s="91"/>
      <c r="J104" s="91"/>
    </row>
    <row r="105" spans="2:10">
      <c r="B105" s="91"/>
      <c r="C105" s="91"/>
      <c r="D105" s="91"/>
      <c r="E105" s="91"/>
      <c r="F105" s="91"/>
      <c r="G105" s="91"/>
      <c r="H105" s="91"/>
      <c r="I105" s="91"/>
      <c r="J105" s="91"/>
    </row>
    <row r="106" spans="2:10">
      <c r="B106" s="91"/>
      <c r="C106" s="91"/>
      <c r="D106" s="91"/>
      <c r="E106" s="91"/>
      <c r="F106" s="91"/>
      <c r="G106" s="91"/>
      <c r="H106" s="91"/>
      <c r="I106" s="91"/>
      <c r="J106" s="91"/>
    </row>
    <row r="107" spans="2:10">
      <c r="B107" s="91"/>
      <c r="C107" s="91"/>
      <c r="D107" s="91"/>
      <c r="E107" s="91"/>
      <c r="F107" s="91"/>
      <c r="G107" s="91"/>
      <c r="H107" s="91"/>
      <c r="I107" s="91"/>
      <c r="J107" s="91"/>
    </row>
    <row r="108" spans="2:10">
      <c r="B108" s="91"/>
      <c r="C108" s="91"/>
      <c r="D108" s="91"/>
      <c r="E108" s="91"/>
      <c r="F108" s="91"/>
      <c r="G108" s="91"/>
      <c r="H108" s="91"/>
      <c r="I108" s="91"/>
      <c r="J108" s="91"/>
    </row>
    <row r="109" spans="2:10">
      <c r="B109" s="91"/>
      <c r="C109" s="91"/>
      <c r="D109" s="91"/>
      <c r="E109" s="91"/>
      <c r="F109" s="91"/>
      <c r="G109" s="91"/>
      <c r="H109" s="91"/>
      <c r="I109" s="91"/>
      <c r="J109" s="9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170</v>
      </c>
      <c r="C1" s="68" t="s" vm="1">
        <v>247</v>
      </c>
    </row>
    <row r="2" spans="2:60">
      <c r="B2" s="47" t="s">
        <v>169</v>
      </c>
      <c r="C2" s="68" t="s">
        <v>248</v>
      </c>
    </row>
    <row r="3" spans="2:60">
      <c r="B3" s="47" t="s">
        <v>171</v>
      </c>
      <c r="C3" s="68" t="s">
        <v>249</v>
      </c>
    </row>
    <row r="4" spans="2:60">
      <c r="B4" s="47" t="s">
        <v>172</v>
      </c>
      <c r="C4" s="68">
        <v>2144</v>
      </c>
    </row>
    <row r="6" spans="2:60" ht="26.25" customHeight="1">
      <c r="B6" s="134" t="s">
        <v>205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60" s="3" customFormat="1" ht="63">
      <c r="B7" s="48" t="s">
        <v>107</v>
      </c>
      <c r="C7" s="50" t="s">
        <v>108</v>
      </c>
      <c r="D7" s="50" t="s">
        <v>14</v>
      </c>
      <c r="E7" s="50" t="s">
        <v>15</v>
      </c>
      <c r="F7" s="50" t="s">
        <v>52</v>
      </c>
      <c r="G7" s="50" t="s">
        <v>94</v>
      </c>
      <c r="H7" s="50" t="s">
        <v>48</v>
      </c>
      <c r="I7" s="50" t="s">
        <v>102</v>
      </c>
      <c r="J7" s="50" t="s">
        <v>173</v>
      </c>
      <c r="K7" s="65" t="s">
        <v>174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227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5"/>
      <c r="C11" s="91"/>
      <c r="D11" s="91"/>
      <c r="E11" s="91"/>
      <c r="F11" s="91"/>
      <c r="G11" s="91"/>
      <c r="H11" s="91"/>
      <c r="I11" s="91"/>
      <c r="J11" s="91"/>
      <c r="K11" s="91"/>
    </row>
    <row r="12" spans="2:60">
      <c r="B12" s="105"/>
      <c r="C12" s="91"/>
      <c r="D12" s="91"/>
      <c r="E12" s="91"/>
      <c r="F12" s="91"/>
      <c r="G12" s="91"/>
      <c r="H12" s="91"/>
      <c r="I12" s="91"/>
      <c r="J12" s="91"/>
      <c r="K12" s="9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1"/>
      <c r="C13" s="91"/>
      <c r="D13" s="91"/>
      <c r="E13" s="91"/>
      <c r="F13" s="91"/>
      <c r="G13" s="91"/>
      <c r="H13" s="91"/>
      <c r="I13" s="91"/>
      <c r="J13" s="91"/>
      <c r="K13" s="9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91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K11" sqref="K11:K12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9.28515625" style="1" bestFit="1" customWidth="1"/>
    <col min="4" max="4" width="4.570312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170</v>
      </c>
      <c r="C1" s="68" t="s" vm="1">
        <v>247</v>
      </c>
    </row>
    <row r="2" spans="2:60">
      <c r="B2" s="47" t="s">
        <v>169</v>
      </c>
      <c r="C2" s="68" t="s">
        <v>248</v>
      </c>
    </row>
    <row r="3" spans="2:60">
      <c r="B3" s="47" t="s">
        <v>171</v>
      </c>
      <c r="C3" s="68" t="s">
        <v>249</v>
      </c>
    </row>
    <row r="4" spans="2:60">
      <c r="B4" s="47" t="s">
        <v>172</v>
      </c>
      <c r="C4" s="68">
        <v>2144</v>
      </c>
    </row>
    <row r="6" spans="2:60" ht="26.25" customHeight="1">
      <c r="B6" s="134" t="s">
        <v>206</v>
      </c>
      <c r="C6" s="135"/>
      <c r="D6" s="135"/>
      <c r="E6" s="135"/>
      <c r="F6" s="135"/>
      <c r="G6" s="135"/>
      <c r="H6" s="135"/>
      <c r="I6" s="135"/>
      <c r="J6" s="135"/>
      <c r="K6" s="136"/>
    </row>
    <row r="7" spans="2:60" s="3" customFormat="1" ht="63">
      <c r="B7" s="48" t="s">
        <v>107</v>
      </c>
      <c r="C7" s="50" t="s">
        <v>41</v>
      </c>
      <c r="D7" s="50" t="s">
        <v>14</v>
      </c>
      <c r="E7" s="50" t="s">
        <v>15</v>
      </c>
      <c r="F7" s="50" t="s">
        <v>52</v>
      </c>
      <c r="G7" s="50" t="s">
        <v>94</v>
      </c>
      <c r="H7" s="50" t="s">
        <v>48</v>
      </c>
      <c r="I7" s="50" t="s">
        <v>102</v>
      </c>
      <c r="J7" s="50" t="s">
        <v>173</v>
      </c>
      <c r="K7" s="52" t="s">
        <v>174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227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5" t="s">
        <v>51</v>
      </c>
      <c r="C10" s="111"/>
      <c r="D10" s="111"/>
      <c r="E10" s="111"/>
      <c r="F10" s="111"/>
      <c r="G10" s="111"/>
      <c r="H10" s="113">
        <v>0</v>
      </c>
      <c r="I10" s="112">
        <v>4.9557839970000002</v>
      </c>
      <c r="J10" s="113">
        <v>1</v>
      </c>
      <c r="K10" s="113">
        <f>I10/'סכום נכסי הקרן'!$C$42</f>
        <v>1.7032614746296842E-5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90"/>
    </row>
    <row r="11" spans="2:60" s="90" customFormat="1" ht="21" customHeight="1">
      <c r="B11" s="121" t="s">
        <v>221</v>
      </c>
      <c r="C11" s="111"/>
      <c r="D11" s="111"/>
      <c r="E11" s="111"/>
      <c r="F11" s="111"/>
      <c r="G11" s="111"/>
      <c r="H11" s="113">
        <v>0</v>
      </c>
      <c r="I11" s="112">
        <v>4.9557839970000002</v>
      </c>
      <c r="J11" s="113">
        <v>1</v>
      </c>
      <c r="K11" s="113">
        <f>I11/'סכום נכסי הקרן'!$C$42</f>
        <v>1.7032614746296842E-5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73" t="s">
        <v>1269</v>
      </c>
      <c r="C12" s="74" t="s">
        <v>1270</v>
      </c>
      <c r="D12" s="74" t="s">
        <v>548</v>
      </c>
      <c r="E12" s="74" t="s">
        <v>332</v>
      </c>
      <c r="F12" s="88">
        <v>0</v>
      </c>
      <c r="G12" s="87" t="s">
        <v>155</v>
      </c>
      <c r="H12" s="85">
        <v>0</v>
      </c>
      <c r="I12" s="84">
        <v>4.9557839970000002</v>
      </c>
      <c r="J12" s="85">
        <v>1</v>
      </c>
      <c r="K12" s="85">
        <f>I12/'סכום נכסי הקרן'!$C$42</f>
        <v>1.7032614746296842E-5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95"/>
      <c r="C13" s="74"/>
      <c r="D13" s="74"/>
      <c r="E13" s="74"/>
      <c r="F13" s="74"/>
      <c r="G13" s="74"/>
      <c r="H13" s="85"/>
      <c r="I13" s="74"/>
      <c r="J13" s="85"/>
      <c r="K13" s="7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91"/>
      <c r="C14" s="91"/>
      <c r="D14" s="91"/>
      <c r="E14" s="91"/>
      <c r="F14" s="91"/>
      <c r="G14" s="91"/>
      <c r="H14" s="91"/>
      <c r="I14" s="91"/>
      <c r="J14" s="91"/>
      <c r="K14" s="91"/>
    </row>
    <row r="15" spans="2:60">
      <c r="B15" s="91"/>
      <c r="C15" s="91"/>
      <c r="D15" s="91"/>
      <c r="E15" s="91"/>
      <c r="F15" s="91"/>
      <c r="G15" s="91"/>
      <c r="H15" s="91"/>
      <c r="I15" s="91"/>
      <c r="J15" s="91"/>
      <c r="K15" s="9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5"/>
      <c r="C16" s="91"/>
      <c r="D16" s="91"/>
      <c r="E16" s="91"/>
      <c r="F16" s="91"/>
      <c r="G16" s="91"/>
      <c r="H16" s="91"/>
      <c r="I16" s="91"/>
      <c r="J16" s="91"/>
      <c r="K16" s="9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5"/>
      <c r="C17" s="91"/>
      <c r="D17" s="91"/>
      <c r="E17" s="91"/>
      <c r="F17" s="91"/>
      <c r="G17" s="91"/>
      <c r="H17" s="91"/>
      <c r="I17" s="91"/>
      <c r="J17" s="91"/>
      <c r="K17" s="91"/>
    </row>
    <row r="18" spans="2:11"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19" spans="2:11">
      <c r="B19" s="91"/>
      <c r="C19" s="91"/>
      <c r="D19" s="91"/>
      <c r="E19" s="91"/>
      <c r="F19" s="91"/>
      <c r="G19" s="91"/>
      <c r="H19" s="91"/>
      <c r="I19" s="91"/>
      <c r="J19" s="91"/>
      <c r="K19" s="91"/>
    </row>
    <row r="20" spans="2:11">
      <c r="B20" s="91"/>
      <c r="C20" s="91"/>
      <c r="D20" s="91"/>
      <c r="E20" s="91"/>
      <c r="F20" s="91"/>
      <c r="G20" s="91"/>
      <c r="H20" s="91"/>
      <c r="I20" s="91"/>
      <c r="J20" s="91"/>
      <c r="K20" s="91"/>
    </row>
    <row r="21" spans="2:11">
      <c r="B21" s="91"/>
      <c r="C21" s="91"/>
      <c r="D21" s="91"/>
      <c r="E21" s="91"/>
      <c r="F21" s="91"/>
      <c r="G21" s="91"/>
      <c r="H21" s="91"/>
      <c r="I21" s="91"/>
      <c r="J21" s="91"/>
      <c r="K21" s="91"/>
    </row>
    <row r="22" spans="2:11">
      <c r="B22" s="91"/>
      <c r="C22" s="91"/>
      <c r="D22" s="91"/>
      <c r="E22" s="91"/>
      <c r="F22" s="91"/>
      <c r="G22" s="91"/>
      <c r="H22" s="91"/>
      <c r="I22" s="91"/>
      <c r="J22" s="91"/>
      <c r="K22" s="91"/>
    </row>
    <row r="23" spans="2:11">
      <c r="B23" s="91"/>
      <c r="C23" s="91"/>
      <c r="D23" s="91"/>
      <c r="E23" s="91"/>
      <c r="F23" s="91"/>
      <c r="G23" s="91"/>
      <c r="H23" s="91"/>
      <c r="I23" s="91"/>
      <c r="J23" s="91"/>
      <c r="K23" s="91"/>
    </row>
    <row r="24" spans="2:11"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2:11">
      <c r="B25" s="91"/>
      <c r="C25" s="91"/>
      <c r="D25" s="91"/>
      <c r="E25" s="91"/>
      <c r="F25" s="91"/>
      <c r="G25" s="91"/>
      <c r="H25" s="91"/>
      <c r="I25" s="91"/>
      <c r="J25" s="91"/>
      <c r="K25" s="91"/>
    </row>
    <row r="26" spans="2:11">
      <c r="B26" s="91"/>
      <c r="C26" s="91"/>
      <c r="D26" s="91"/>
      <c r="E26" s="91"/>
      <c r="F26" s="91"/>
      <c r="G26" s="91"/>
      <c r="H26" s="91"/>
      <c r="I26" s="91"/>
      <c r="J26" s="91"/>
      <c r="K26" s="91"/>
    </row>
    <row r="27" spans="2:11">
      <c r="B27" s="91"/>
      <c r="C27" s="91"/>
      <c r="D27" s="91"/>
      <c r="E27" s="91"/>
      <c r="F27" s="91"/>
      <c r="G27" s="91"/>
      <c r="H27" s="91"/>
      <c r="I27" s="91"/>
      <c r="J27" s="91"/>
      <c r="K27" s="91"/>
    </row>
    <row r="28" spans="2:11">
      <c r="B28" s="91"/>
      <c r="C28" s="91"/>
      <c r="D28" s="91"/>
      <c r="E28" s="91"/>
      <c r="F28" s="91"/>
      <c r="G28" s="91"/>
      <c r="H28" s="91"/>
      <c r="I28" s="91"/>
      <c r="J28" s="91"/>
      <c r="K28" s="91"/>
    </row>
    <row r="29" spans="2:11"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2:11"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2:11"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2:11">
      <c r="B32" s="91"/>
      <c r="C32" s="91"/>
      <c r="D32" s="91"/>
      <c r="E32" s="91"/>
      <c r="F32" s="91"/>
      <c r="G32" s="91"/>
      <c r="H32" s="91"/>
      <c r="I32" s="91"/>
      <c r="J32" s="91"/>
      <c r="K32" s="91"/>
    </row>
    <row r="33" spans="2:11"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2:11"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2:11"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2:11">
      <c r="B36" s="91"/>
      <c r="C36" s="91"/>
      <c r="D36" s="91"/>
      <c r="E36" s="91"/>
      <c r="F36" s="91"/>
      <c r="G36" s="91"/>
      <c r="H36" s="91"/>
      <c r="I36" s="91"/>
      <c r="J36" s="91"/>
      <c r="K36" s="91"/>
    </row>
    <row r="37" spans="2:11"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2:11"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2:11"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2:11"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2:11"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2:11">
      <c r="B42" s="91"/>
      <c r="C42" s="91"/>
      <c r="D42" s="91"/>
      <c r="E42" s="91"/>
      <c r="F42" s="91"/>
      <c r="G42" s="91"/>
      <c r="H42" s="91"/>
      <c r="I42" s="91"/>
      <c r="J42" s="91"/>
      <c r="K42" s="91"/>
    </row>
    <row r="43" spans="2:11"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2:11"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2:11">
      <c r="B45" s="91"/>
      <c r="C45" s="91"/>
      <c r="D45" s="91"/>
      <c r="E45" s="91"/>
      <c r="F45" s="91"/>
      <c r="G45" s="91"/>
      <c r="H45" s="91"/>
      <c r="I45" s="91"/>
      <c r="J45" s="91"/>
      <c r="K45" s="91"/>
    </row>
    <row r="46" spans="2:11">
      <c r="B46" s="91"/>
      <c r="C46" s="91"/>
      <c r="D46" s="91"/>
      <c r="E46" s="91"/>
      <c r="F46" s="91"/>
      <c r="G46" s="91"/>
      <c r="H46" s="91"/>
      <c r="I46" s="91"/>
      <c r="J46" s="91"/>
      <c r="K46" s="91"/>
    </row>
    <row r="47" spans="2:11"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2:11"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2:11">
      <c r="B49" s="91"/>
      <c r="C49" s="91"/>
      <c r="D49" s="91"/>
      <c r="E49" s="91"/>
      <c r="F49" s="91"/>
      <c r="G49" s="91"/>
      <c r="H49" s="91"/>
      <c r="I49" s="91"/>
      <c r="J49" s="91"/>
      <c r="K49" s="91"/>
    </row>
    <row r="50" spans="2:11">
      <c r="B50" s="91"/>
      <c r="C50" s="91"/>
      <c r="D50" s="91"/>
      <c r="E50" s="91"/>
      <c r="F50" s="91"/>
      <c r="G50" s="91"/>
      <c r="H50" s="91"/>
      <c r="I50" s="91"/>
      <c r="J50" s="91"/>
      <c r="K50" s="91"/>
    </row>
    <row r="51" spans="2:11"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2:11"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2:11">
      <c r="B53" s="91"/>
      <c r="C53" s="91"/>
      <c r="D53" s="91"/>
      <c r="E53" s="91"/>
      <c r="F53" s="91"/>
      <c r="G53" s="91"/>
      <c r="H53" s="91"/>
      <c r="I53" s="91"/>
      <c r="J53" s="91"/>
      <c r="K53" s="91"/>
    </row>
    <row r="54" spans="2:11">
      <c r="B54" s="91"/>
      <c r="C54" s="91"/>
      <c r="D54" s="91"/>
      <c r="E54" s="91"/>
      <c r="F54" s="91"/>
      <c r="G54" s="91"/>
      <c r="H54" s="91"/>
      <c r="I54" s="91"/>
      <c r="J54" s="91"/>
      <c r="K54" s="91"/>
    </row>
    <row r="55" spans="2:11"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2:11"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2:11">
      <c r="B57" s="91"/>
      <c r="C57" s="91"/>
      <c r="D57" s="91"/>
      <c r="E57" s="91"/>
      <c r="F57" s="91"/>
      <c r="G57" s="91"/>
      <c r="H57" s="91"/>
      <c r="I57" s="91"/>
      <c r="J57" s="91"/>
      <c r="K57" s="91"/>
    </row>
    <row r="58" spans="2:11">
      <c r="B58" s="91"/>
      <c r="C58" s="91"/>
      <c r="D58" s="91"/>
      <c r="E58" s="91"/>
      <c r="F58" s="91"/>
      <c r="G58" s="91"/>
      <c r="H58" s="91"/>
      <c r="I58" s="91"/>
      <c r="J58" s="91"/>
      <c r="K58" s="91"/>
    </row>
    <row r="59" spans="2:11">
      <c r="B59" s="91"/>
      <c r="C59" s="91"/>
      <c r="D59" s="91"/>
      <c r="E59" s="91"/>
      <c r="F59" s="91"/>
      <c r="G59" s="91"/>
      <c r="H59" s="91"/>
      <c r="I59" s="91"/>
      <c r="J59" s="91"/>
      <c r="K59" s="91"/>
    </row>
    <row r="60" spans="2:11">
      <c r="B60" s="91"/>
      <c r="C60" s="91"/>
      <c r="D60" s="91"/>
      <c r="E60" s="91"/>
      <c r="F60" s="91"/>
      <c r="G60" s="91"/>
      <c r="H60" s="91"/>
      <c r="I60" s="91"/>
      <c r="J60" s="91"/>
      <c r="K60" s="91"/>
    </row>
    <row r="61" spans="2:11">
      <c r="B61" s="91"/>
      <c r="C61" s="91"/>
      <c r="D61" s="91"/>
      <c r="E61" s="91"/>
      <c r="F61" s="91"/>
      <c r="G61" s="91"/>
      <c r="H61" s="91"/>
      <c r="I61" s="91"/>
      <c r="J61" s="91"/>
      <c r="K61" s="91"/>
    </row>
    <row r="62" spans="2:11">
      <c r="B62" s="91"/>
      <c r="C62" s="91"/>
      <c r="D62" s="91"/>
      <c r="E62" s="91"/>
      <c r="F62" s="91"/>
      <c r="G62" s="91"/>
      <c r="H62" s="91"/>
      <c r="I62" s="91"/>
      <c r="J62" s="91"/>
      <c r="K62" s="91"/>
    </row>
    <row r="63" spans="2:11">
      <c r="B63" s="91"/>
      <c r="C63" s="91"/>
      <c r="D63" s="91"/>
      <c r="E63" s="91"/>
      <c r="F63" s="91"/>
      <c r="G63" s="91"/>
      <c r="H63" s="91"/>
      <c r="I63" s="91"/>
      <c r="J63" s="91"/>
      <c r="K63" s="91"/>
    </row>
    <row r="64" spans="2:11">
      <c r="B64" s="91"/>
      <c r="C64" s="91"/>
      <c r="D64" s="91"/>
      <c r="E64" s="91"/>
      <c r="F64" s="91"/>
      <c r="G64" s="91"/>
      <c r="H64" s="91"/>
      <c r="I64" s="91"/>
      <c r="J64" s="91"/>
      <c r="K64" s="91"/>
    </row>
    <row r="65" spans="2:11">
      <c r="B65" s="91"/>
      <c r="C65" s="91"/>
      <c r="D65" s="91"/>
      <c r="E65" s="91"/>
      <c r="F65" s="91"/>
      <c r="G65" s="91"/>
      <c r="H65" s="91"/>
      <c r="I65" s="91"/>
      <c r="J65" s="91"/>
      <c r="K65" s="91"/>
    </row>
    <row r="66" spans="2:11">
      <c r="B66" s="91"/>
      <c r="C66" s="91"/>
      <c r="D66" s="91"/>
      <c r="E66" s="91"/>
      <c r="F66" s="91"/>
      <c r="G66" s="91"/>
      <c r="H66" s="91"/>
      <c r="I66" s="91"/>
      <c r="J66" s="91"/>
      <c r="K66" s="91"/>
    </row>
    <row r="67" spans="2:11">
      <c r="B67" s="91"/>
      <c r="C67" s="91"/>
      <c r="D67" s="91"/>
      <c r="E67" s="91"/>
      <c r="F67" s="91"/>
      <c r="G67" s="91"/>
      <c r="H67" s="91"/>
      <c r="I67" s="91"/>
      <c r="J67" s="91"/>
      <c r="K67" s="91"/>
    </row>
    <row r="68" spans="2:11">
      <c r="B68" s="91"/>
      <c r="C68" s="91"/>
      <c r="D68" s="91"/>
      <c r="E68" s="91"/>
      <c r="F68" s="91"/>
      <c r="G68" s="91"/>
      <c r="H68" s="91"/>
      <c r="I68" s="91"/>
      <c r="J68" s="91"/>
      <c r="K68" s="91"/>
    </row>
    <row r="69" spans="2:11">
      <c r="B69" s="91"/>
      <c r="C69" s="91"/>
      <c r="D69" s="91"/>
      <c r="E69" s="91"/>
      <c r="F69" s="91"/>
      <c r="G69" s="91"/>
      <c r="H69" s="91"/>
      <c r="I69" s="91"/>
      <c r="J69" s="91"/>
      <c r="K69" s="91"/>
    </row>
    <row r="70" spans="2:11"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2:11">
      <c r="B71" s="91"/>
      <c r="C71" s="91"/>
      <c r="D71" s="91"/>
      <c r="E71" s="91"/>
      <c r="F71" s="91"/>
      <c r="G71" s="91"/>
      <c r="H71" s="91"/>
      <c r="I71" s="91"/>
      <c r="J71" s="91"/>
      <c r="K71" s="91"/>
    </row>
    <row r="72" spans="2:11">
      <c r="B72" s="91"/>
      <c r="C72" s="91"/>
      <c r="D72" s="91"/>
      <c r="E72" s="91"/>
      <c r="F72" s="91"/>
      <c r="G72" s="91"/>
      <c r="H72" s="91"/>
      <c r="I72" s="91"/>
      <c r="J72" s="91"/>
      <c r="K72" s="91"/>
    </row>
    <row r="73" spans="2:11">
      <c r="B73" s="91"/>
      <c r="C73" s="91"/>
      <c r="D73" s="91"/>
      <c r="E73" s="91"/>
      <c r="F73" s="91"/>
      <c r="G73" s="91"/>
      <c r="H73" s="91"/>
      <c r="I73" s="91"/>
      <c r="J73" s="91"/>
      <c r="K73" s="91"/>
    </row>
    <row r="74" spans="2:11">
      <c r="B74" s="91"/>
      <c r="C74" s="91"/>
      <c r="D74" s="91"/>
      <c r="E74" s="91"/>
      <c r="F74" s="91"/>
      <c r="G74" s="91"/>
      <c r="H74" s="91"/>
      <c r="I74" s="91"/>
      <c r="J74" s="91"/>
      <c r="K74" s="91"/>
    </row>
    <row r="75" spans="2:11">
      <c r="B75" s="91"/>
      <c r="C75" s="91"/>
      <c r="D75" s="91"/>
      <c r="E75" s="91"/>
      <c r="F75" s="91"/>
      <c r="G75" s="91"/>
      <c r="H75" s="91"/>
      <c r="I75" s="91"/>
      <c r="J75" s="91"/>
      <c r="K75" s="91"/>
    </row>
    <row r="76" spans="2:11">
      <c r="B76" s="91"/>
      <c r="C76" s="91"/>
      <c r="D76" s="91"/>
      <c r="E76" s="91"/>
      <c r="F76" s="91"/>
      <c r="G76" s="91"/>
      <c r="H76" s="91"/>
      <c r="I76" s="91"/>
      <c r="J76" s="91"/>
      <c r="K76" s="91"/>
    </row>
    <row r="77" spans="2:11">
      <c r="B77" s="91"/>
      <c r="C77" s="91"/>
      <c r="D77" s="91"/>
      <c r="E77" s="91"/>
      <c r="F77" s="91"/>
      <c r="G77" s="91"/>
      <c r="H77" s="91"/>
      <c r="I77" s="91"/>
      <c r="J77" s="91"/>
      <c r="K77" s="91"/>
    </row>
    <row r="78" spans="2:11">
      <c r="B78" s="91"/>
      <c r="C78" s="91"/>
      <c r="D78" s="91"/>
      <c r="E78" s="91"/>
      <c r="F78" s="91"/>
      <c r="G78" s="91"/>
      <c r="H78" s="91"/>
      <c r="I78" s="91"/>
      <c r="J78" s="91"/>
      <c r="K78" s="91"/>
    </row>
    <row r="79" spans="2:11">
      <c r="B79" s="91"/>
      <c r="C79" s="91"/>
      <c r="D79" s="91"/>
      <c r="E79" s="91"/>
      <c r="F79" s="91"/>
      <c r="G79" s="91"/>
      <c r="H79" s="91"/>
      <c r="I79" s="91"/>
      <c r="J79" s="91"/>
      <c r="K79" s="91"/>
    </row>
    <row r="80" spans="2:11">
      <c r="B80" s="91"/>
      <c r="C80" s="91"/>
      <c r="D80" s="91"/>
      <c r="E80" s="91"/>
      <c r="F80" s="91"/>
      <c r="G80" s="91"/>
      <c r="H80" s="91"/>
      <c r="I80" s="91"/>
      <c r="J80" s="91"/>
      <c r="K80" s="91"/>
    </row>
    <row r="81" spans="2:11">
      <c r="B81" s="91"/>
      <c r="C81" s="91"/>
      <c r="D81" s="91"/>
      <c r="E81" s="91"/>
      <c r="F81" s="91"/>
      <c r="G81" s="91"/>
      <c r="H81" s="91"/>
      <c r="I81" s="91"/>
      <c r="J81" s="91"/>
      <c r="K81" s="91"/>
    </row>
    <row r="82" spans="2:11">
      <c r="B82" s="91"/>
      <c r="C82" s="91"/>
      <c r="D82" s="91"/>
      <c r="E82" s="91"/>
      <c r="F82" s="91"/>
      <c r="G82" s="91"/>
      <c r="H82" s="91"/>
      <c r="I82" s="91"/>
      <c r="J82" s="91"/>
      <c r="K82" s="91"/>
    </row>
    <row r="83" spans="2:11">
      <c r="B83" s="91"/>
      <c r="C83" s="91"/>
      <c r="D83" s="91"/>
      <c r="E83" s="91"/>
      <c r="F83" s="91"/>
      <c r="G83" s="91"/>
      <c r="H83" s="91"/>
      <c r="I83" s="91"/>
      <c r="J83" s="91"/>
      <c r="K83" s="91"/>
    </row>
    <row r="84" spans="2:11">
      <c r="B84" s="91"/>
      <c r="C84" s="91"/>
      <c r="D84" s="91"/>
      <c r="E84" s="91"/>
      <c r="F84" s="91"/>
      <c r="G84" s="91"/>
      <c r="H84" s="91"/>
      <c r="I84" s="91"/>
      <c r="J84" s="91"/>
      <c r="K84" s="91"/>
    </row>
    <row r="85" spans="2:11">
      <c r="B85" s="91"/>
      <c r="C85" s="91"/>
      <c r="D85" s="91"/>
      <c r="E85" s="91"/>
      <c r="F85" s="91"/>
      <c r="G85" s="91"/>
      <c r="H85" s="91"/>
      <c r="I85" s="91"/>
      <c r="J85" s="91"/>
      <c r="K85" s="91"/>
    </row>
    <row r="86" spans="2:11">
      <c r="B86" s="91"/>
      <c r="C86" s="91"/>
      <c r="D86" s="91"/>
      <c r="E86" s="91"/>
      <c r="F86" s="91"/>
      <c r="G86" s="91"/>
      <c r="H86" s="91"/>
      <c r="I86" s="91"/>
      <c r="J86" s="91"/>
      <c r="K86" s="91"/>
    </row>
    <row r="87" spans="2:11">
      <c r="B87" s="91"/>
      <c r="C87" s="91"/>
      <c r="D87" s="91"/>
      <c r="E87" s="91"/>
      <c r="F87" s="91"/>
      <c r="G87" s="91"/>
      <c r="H87" s="91"/>
      <c r="I87" s="91"/>
      <c r="J87" s="91"/>
      <c r="K87" s="91"/>
    </row>
    <row r="88" spans="2:11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2:11">
      <c r="B89" s="91"/>
      <c r="C89" s="91"/>
      <c r="D89" s="91"/>
      <c r="E89" s="91"/>
      <c r="F89" s="91"/>
      <c r="G89" s="91"/>
      <c r="H89" s="91"/>
      <c r="I89" s="91"/>
      <c r="J89" s="91"/>
      <c r="K89" s="91"/>
    </row>
    <row r="90" spans="2:11">
      <c r="B90" s="91"/>
      <c r="C90" s="91"/>
      <c r="D90" s="91"/>
      <c r="E90" s="91"/>
      <c r="F90" s="91"/>
      <c r="G90" s="91"/>
      <c r="H90" s="91"/>
      <c r="I90" s="91"/>
      <c r="J90" s="91"/>
      <c r="K90" s="91"/>
    </row>
    <row r="91" spans="2:11">
      <c r="B91" s="91"/>
      <c r="C91" s="91"/>
      <c r="D91" s="91"/>
      <c r="E91" s="91"/>
      <c r="F91" s="91"/>
      <c r="G91" s="91"/>
      <c r="H91" s="91"/>
      <c r="I91" s="91"/>
      <c r="J91" s="91"/>
      <c r="K91" s="91"/>
    </row>
    <row r="92" spans="2:11">
      <c r="B92" s="91"/>
      <c r="C92" s="91"/>
      <c r="D92" s="91"/>
      <c r="E92" s="91"/>
      <c r="F92" s="91"/>
      <c r="G92" s="91"/>
      <c r="H92" s="91"/>
      <c r="I92" s="91"/>
      <c r="J92" s="91"/>
      <c r="K92" s="91"/>
    </row>
    <row r="93" spans="2:11">
      <c r="B93" s="91"/>
      <c r="C93" s="91"/>
      <c r="D93" s="91"/>
      <c r="E93" s="91"/>
      <c r="F93" s="91"/>
      <c r="G93" s="91"/>
      <c r="H93" s="91"/>
      <c r="I93" s="91"/>
      <c r="J93" s="91"/>
      <c r="K93" s="91"/>
    </row>
    <row r="94" spans="2:11">
      <c r="B94" s="91"/>
      <c r="C94" s="91"/>
      <c r="D94" s="91"/>
      <c r="E94" s="91"/>
      <c r="F94" s="91"/>
      <c r="G94" s="91"/>
      <c r="H94" s="91"/>
      <c r="I94" s="91"/>
      <c r="J94" s="91"/>
      <c r="K94" s="91"/>
    </row>
    <row r="95" spans="2:11">
      <c r="B95" s="91"/>
      <c r="C95" s="91"/>
      <c r="D95" s="91"/>
      <c r="E95" s="91"/>
      <c r="F95" s="91"/>
      <c r="G95" s="91"/>
      <c r="H95" s="91"/>
      <c r="I95" s="91"/>
      <c r="J95" s="91"/>
      <c r="K95" s="91"/>
    </row>
    <row r="96" spans="2:11">
      <c r="B96" s="91"/>
      <c r="C96" s="91"/>
      <c r="D96" s="91"/>
      <c r="E96" s="91"/>
      <c r="F96" s="91"/>
      <c r="G96" s="91"/>
      <c r="H96" s="91"/>
      <c r="I96" s="91"/>
      <c r="J96" s="91"/>
      <c r="K96" s="91"/>
    </row>
    <row r="97" spans="2:11">
      <c r="B97" s="91"/>
      <c r="C97" s="91"/>
      <c r="D97" s="91"/>
      <c r="E97" s="91"/>
      <c r="F97" s="91"/>
      <c r="G97" s="91"/>
      <c r="H97" s="91"/>
      <c r="I97" s="91"/>
      <c r="J97" s="91"/>
      <c r="K97" s="91"/>
    </row>
    <row r="98" spans="2:11">
      <c r="B98" s="91"/>
      <c r="C98" s="91"/>
      <c r="D98" s="91"/>
      <c r="E98" s="91"/>
      <c r="F98" s="91"/>
      <c r="G98" s="91"/>
      <c r="H98" s="91"/>
      <c r="I98" s="91"/>
      <c r="J98" s="91"/>
      <c r="K98" s="91"/>
    </row>
    <row r="99" spans="2:11">
      <c r="B99" s="91"/>
      <c r="C99" s="91"/>
      <c r="D99" s="91"/>
      <c r="E99" s="91"/>
      <c r="F99" s="91"/>
      <c r="G99" s="91"/>
      <c r="H99" s="91"/>
      <c r="I99" s="91"/>
      <c r="J99" s="91"/>
      <c r="K99" s="91"/>
    </row>
    <row r="100" spans="2:11">
      <c r="B100" s="91"/>
      <c r="C100" s="91"/>
      <c r="D100" s="91"/>
      <c r="E100" s="91"/>
      <c r="F100" s="91"/>
      <c r="G100" s="91"/>
      <c r="H100" s="91"/>
      <c r="I100" s="91"/>
      <c r="J100" s="91"/>
      <c r="K100" s="91"/>
    </row>
    <row r="101" spans="2:11">
      <c r="B101" s="91"/>
      <c r="C101" s="91"/>
      <c r="D101" s="91"/>
      <c r="E101" s="91"/>
      <c r="F101" s="91"/>
      <c r="G101" s="91"/>
      <c r="H101" s="91"/>
      <c r="I101" s="91"/>
      <c r="J101" s="91"/>
      <c r="K101" s="91"/>
    </row>
    <row r="102" spans="2:11">
      <c r="B102" s="91"/>
      <c r="C102" s="91"/>
      <c r="D102" s="91"/>
      <c r="E102" s="91"/>
      <c r="F102" s="91"/>
      <c r="G102" s="91"/>
      <c r="H102" s="91"/>
      <c r="I102" s="91"/>
      <c r="J102" s="91"/>
      <c r="K102" s="91"/>
    </row>
    <row r="103" spans="2:11"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2:11">
      <c r="B104" s="91"/>
      <c r="C104" s="91"/>
      <c r="D104" s="91"/>
      <c r="E104" s="91"/>
      <c r="F104" s="91"/>
      <c r="G104" s="91"/>
      <c r="H104" s="91"/>
      <c r="I104" s="91"/>
      <c r="J104" s="91"/>
      <c r="K104" s="91"/>
    </row>
    <row r="105" spans="2:11">
      <c r="B105" s="91"/>
      <c r="C105" s="91"/>
      <c r="D105" s="91"/>
      <c r="E105" s="91"/>
      <c r="F105" s="91"/>
      <c r="G105" s="91"/>
      <c r="H105" s="91"/>
      <c r="I105" s="91"/>
      <c r="J105" s="91"/>
      <c r="K105" s="91"/>
    </row>
    <row r="106" spans="2:11">
      <c r="B106" s="91"/>
      <c r="C106" s="91"/>
      <c r="D106" s="91"/>
      <c r="E106" s="91"/>
      <c r="F106" s="91"/>
      <c r="G106" s="91"/>
      <c r="H106" s="91"/>
      <c r="I106" s="91"/>
      <c r="J106" s="91"/>
      <c r="K106" s="91"/>
    </row>
    <row r="107" spans="2:11">
      <c r="B107" s="91"/>
      <c r="C107" s="91"/>
      <c r="D107" s="91"/>
      <c r="E107" s="91"/>
      <c r="F107" s="91"/>
      <c r="G107" s="91"/>
      <c r="H107" s="91"/>
      <c r="I107" s="91"/>
      <c r="J107" s="91"/>
      <c r="K107" s="91"/>
    </row>
    <row r="108" spans="2:11">
      <c r="B108" s="91"/>
      <c r="C108" s="91"/>
      <c r="D108" s="91"/>
      <c r="E108" s="91"/>
      <c r="F108" s="91"/>
      <c r="G108" s="91"/>
      <c r="H108" s="91"/>
      <c r="I108" s="91"/>
      <c r="J108" s="91"/>
      <c r="K108" s="91"/>
    </row>
    <row r="109" spans="2:11"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2:11"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  <row r="111" spans="2:11">
      <c r="B111" s="91"/>
      <c r="C111" s="91"/>
      <c r="D111" s="91"/>
      <c r="E111" s="91"/>
      <c r="F111" s="91"/>
      <c r="G111" s="91"/>
      <c r="H111" s="91"/>
      <c r="I111" s="91"/>
      <c r="J111" s="91"/>
      <c r="K111" s="91"/>
    </row>
    <row r="112" spans="2:11">
      <c r="B112" s="91"/>
      <c r="C112" s="91"/>
      <c r="D112" s="91"/>
      <c r="E112" s="91"/>
      <c r="F112" s="91"/>
      <c r="G112" s="91"/>
      <c r="H112" s="91"/>
      <c r="I112" s="91"/>
      <c r="J112" s="91"/>
      <c r="K112" s="9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10"/>
  <sheetViews>
    <sheetView rightToLeft="1" topLeftCell="A7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170</v>
      </c>
      <c r="C1" s="68" t="s" vm="1">
        <v>247</v>
      </c>
    </row>
    <row r="2" spans="2:47">
      <c r="B2" s="47" t="s">
        <v>169</v>
      </c>
      <c r="C2" s="68" t="s">
        <v>248</v>
      </c>
    </row>
    <row r="3" spans="2:47">
      <c r="B3" s="47" t="s">
        <v>171</v>
      </c>
      <c r="C3" s="68" t="s">
        <v>249</v>
      </c>
    </row>
    <row r="4" spans="2:47">
      <c r="B4" s="47" t="s">
        <v>172</v>
      </c>
      <c r="C4" s="68">
        <v>2144</v>
      </c>
    </row>
    <row r="6" spans="2:47" ht="26.25" customHeight="1">
      <c r="B6" s="134" t="s">
        <v>207</v>
      </c>
      <c r="C6" s="135"/>
      <c r="D6" s="136"/>
    </row>
    <row r="7" spans="2:47" s="3" customFormat="1" ht="33">
      <c r="B7" s="48" t="s">
        <v>107</v>
      </c>
      <c r="C7" s="53" t="s">
        <v>99</v>
      </c>
      <c r="D7" s="54" t="s">
        <v>98</v>
      </c>
    </row>
    <row r="8" spans="2:47" s="3" customFormat="1">
      <c r="B8" s="15"/>
      <c r="C8" s="32" t="s">
        <v>227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122" t="s">
        <v>1271</v>
      </c>
      <c r="C10" s="81">
        <f>C11+C22</f>
        <v>4118.3762138712664</v>
      </c>
      <c r="D10" s="12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71" t="s">
        <v>1272</v>
      </c>
      <c r="C11" s="81">
        <v>2034.5521057324581</v>
      </c>
      <c r="D11" s="126"/>
    </row>
    <row r="12" spans="2:47">
      <c r="B12" s="77" t="s">
        <v>1318</v>
      </c>
      <c r="C12" s="84">
        <v>147.05365</v>
      </c>
      <c r="D12" s="96">
        <v>44255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77" t="s">
        <v>1319</v>
      </c>
      <c r="C13" s="84">
        <v>314.26377912582058</v>
      </c>
      <c r="D13" s="96">
        <v>46100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77" t="s">
        <v>1320</v>
      </c>
      <c r="C14" s="84">
        <v>342.11250000000001</v>
      </c>
      <c r="D14" s="96">
        <v>44926</v>
      </c>
    </row>
    <row r="15" spans="2:47">
      <c r="B15" s="77" t="s">
        <v>1321</v>
      </c>
      <c r="C15" s="84">
        <v>133.64148</v>
      </c>
      <c r="D15" s="96">
        <v>44196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77" t="s">
        <v>1322</v>
      </c>
      <c r="C16" s="84">
        <v>13.915229999999999</v>
      </c>
      <c r="D16" s="96">
        <v>44246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77" t="s">
        <v>1323</v>
      </c>
      <c r="C17" s="84">
        <v>417.17613660663773</v>
      </c>
      <c r="D17" s="96">
        <v>51774</v>
      </c>
    </row>
    <row r="18" spans="2:4">
      <c r="B18" s="77" t="s">
        <v>1324</v>
      </c>
      <c r="C18" s="84">
        <v>40.540839999999996</v>
      </c>
      <c r="D18" s="96">
        <v>44196</v>
      </c>
    </row>
    <row r="19" spans="2:4">
      <c r="B19" s="77" t="s">
        <v>1325</v>
      </c>
      <c r="C19" s="84">
        <v>557.44204000000002</v>
      </c>
      <c r="D19" s="96">
        <v>44545</v>
      </c>
    </row>
    <row r="20" spans="2:4">
      <c r="B20" s="77" t="s">
        <v>1326</v>
      </c>
      <c r="C20" s="84">
        <v>68.406449999999992</v>
      </c>
      <c r="D20" s="96">
        <v>44739</v>
      </c>
    </row>
    <row r="21" spans="2:4">
      <c r="B21" s="77"/>
      <c r="C21" s="84"/>
      <c r="D21" s="96"/>
    </row>
    <row r="22" spans="2:4">
      <c r="B22" s="71" t="s">
        <v>1273</v>
      </c>
      <c r="C22" s="81">
        <v>2083.8241081388078</v>
      </c>
      <c r="D22" s="126"/>
    </row>
    <row r="23" spans="2:4">
      <c r="B23" s="77" t="s">
        <v>1327</v>
      </c>
      <c r="C23" s="84">
        <v>56.811980000000005</v>
      </c>
      <c r="D23" s="96">
        <v>44332</v>
      </c>
    </row>
    <row r="24" spans="2:4">
      <c r="B24" s="77" t="s">
        <v>1328</v>
      </c>
      <c r="C24" s="84">
        <v>340.4205</v>
      </c>
      <c r="D24" s="96">
        <v>45615</v>
      </c>
    </row>
    <row r="25" spans="2:4">
      <c r="B25" s="77" t="s">
        <v>1329</v>
      </c>
      <c r="C25" s="84">
        <v>241.11680999999999</v>
      </c>
      <c r="D25" s="96">
        <v>46626</v>
      </c>
    </row>
    <row r="26" spans="2:4">
      <c r="B26" s="77" t="s">
        <v>1330</v>
      </c>
      <c r="C26" s="84">
        <v>215.62061</v>
      </c>
      <c r="D26" s="96">
        <v>44819</v>
      </c>
    </row>
    <row r="27" spans="2:4">
      <c r="B27" s="77" t="s">
        <v>1331</v>
      </c>
      <c r="C27" s="84">
        <v>138.82299</v>
      </c>
      <c r="D27" s="96">
        <v>44821</v>
      </c>
    </row>
    <row r="28" spans="2:4">
      <c r="B28" s="77" t="s">
        <v>1332</v>
      </c>
      <c r="C28" s="84">
        <v>21.492990000000002</v>
      </c>
      <c r="D28" s="96">
        <v>46059</v>
      </c>
    </row>
    <row r="29" spans="2:4">
      <c r="B29" s="77" t="s">
        <v>1333</v>
      </c>
      <c r="C29" s="84">
        <v>31.41489</v>
      </c>
      <c r="D29" s="96">
        <v>44256</v>
      </c>
    </row>
    <row r="30" spans="2:4">
      <c r="B30" s="77" t="s">
        <v>1334</v>
      </c>
      <c r="C30" s="84">
        <v>48.648960000000002</v>
      </c>
      <c r="D30" s="96">
        <v>44611</v>
      </c>
    </row>
    <row r="31" spans="2:4">
      <c r="B31" s="77" t="s">
        <v>1335</v>
      </c>
      <c r="C31" s="84">
        <v>107.33002999999999</v>
      </c>
      <c r="D31" s="96">
        <v>45602</v>
      </c>
    </row>
    <row r="32" spans="2:4">
      <c r="B32" s="77" t="s">
        <v>1336</v>
      </c>
      <c r="C32" s="84">
        <v>383.01600999999999</v>
      </c>
      <c r="D32" s="96">
        <v>46325</v>
      </c>
    </row>
    <row r="33" spans="2:4">
      <c r="B33" s="77" t="s">
        <v>1337</v>
      </c>
      <c r="C33" s="84">
        <v>499.12833813880798</v>
      </c>
      <c r="D33" s="96">
        <v>44104</v>
      </c>
    </row>
    <row r="34" spans="2:4">
      <c r="B34" s="91"/>
      <c r="C34" s="91"/>
      <c r="D34" s="91"/>
    </row>
    <row r="35" spans="2:4">
      <c r="B35" s="91"/>
      <c r="C35" s="91"/>
      <c r="D35" s="91"/>
    </row>
    <row r="36" spans="2:4">
      <c r="B36" s="91"/>
      <c r="C36" s="91"/>
      <c r="D36" s="91"/>
    </row>
    <row r="37" spans="2:4">
      <c r="B37" s="91"/>
      <c r="C37" s="91"/>
      <c r="D37" s="91"/>
    </row>
    <row r="38" spans="2:4">
      <c r="B38" s="91"/>
      <c r="C38" s="91"/>
      <c r="D38" s="91"/>
    </row>
    <row r="39" spans="2:4">
      <c r="B39" s="91"/>
      <c r="C39" s="91"/>
      <c r="D39" s="91"/>
    </row>
    <row r="40" spans="2:4">
      <c r="B40" s="91"/>
      <c r="C40" s="91"/>
      <c r="D40" s="91"/>
    </row>
    <row r="41" spans="2:4">
      <c r="B41" s="91"/>
      <c r="C41" s="91"/>
      <c r="D41" s="91"/>
    </row>
    <row r="42" spans="2:4">
      <c r="B42" s="91"/>
      <c r="C42" s="91"/>
      <c r="D42" s="91"/>
    </row>
    <row r="43" spans="2:4">
      <c r="B43" s="91"/>
      <c r="C43" s="91"/>
      <c r="D43" s="91"/>
    </row>
    <row r="44" spans="2:4">
      <c r="B44" s="91"/>
      <c r="C44" s="91"/>
      <c r="D44" s="91"/>
    </row>
    <row r="45" spans="2:4">
      <c r="B45" s="91"/>
      <c r="C45" s="91"/>
      <c r="D45" s="91"/>
    </row>
    <row r="46" spans="2:4">
      <c r="B46" s="91"/>
      <c r="C46" s="91"/>
      <c r="D46" s="91"/>
    </row>
    <row r="47" spans="2:4">
      <c r="B47" s="91"/>
      <c r="C47" s="91"/>
      <c r="D47" s="91"/>
    </row>
    <row r="48" spans="2:4">
      <c r="B48" s="91"/>
      <c r="C48" s="91"/>
      <c r="D48" s="91"/>
    </row>
    <row r="49" spans="2:4">
      <c r="B49" s="91"/>
      <c r="C49" s="91"/>
      <c r="D49" s="91"/>
    </row>
    <row r="50" spans="2:4">
      <c r="B50" s="91"/>
      <c r="C50" s="91"/>
      <c r="D50" s="91"/>
    </row>
    <row r="51" spans="2:4">
      <c r="B51" s="91"/>
      <c r="C51" s="91"/>
      <c r="D51" s="91"/>
    </row>
    <row r="52" spans="2:4">
      <c r="B52" s="91"/>
      <c r="C52" s="91"/>
      <c r="D52" s="91"/>
    </row>
    <row r="53" spans="2:4">
      <c r="B53" s="91"/>
      <c r="C53" s="91"/>
      <c r="D53" s="91"/>
    </row>
    <row r="54" spans="2:4">
      <c r="B54" s="91"/>
      <c r="C54" s="91"/>
      <c r="D54" s="91"/>
    </row>
    <row r="55" spans="2:4">
      <c r="B55" s="91"/>
      <c r="C55" s="91"/>
      <c r="D55" s="91"/>
    </row>
    <row r="56" spans="2:4">
      <c r="B56" s="91"/>
      <c r="C56" s="91"/>
      <c r="D56" s="91"/>
    </row>
    <row r="57" spans="2:4">
      <c r="B57" s="91"/>
      <c r="C57" s="91"/>
      <c r="D57" s="91"/>
    </row>
    <row r="58" spans="2:4">
      <c r="B58" s="91"/>
      <c r="C58" s="91"/>
      <c r="D58" s="91"/>
    </row>
    <row r="59" spans="2:4">
      <c r="B59" s="91"/>
      <c r="C59" s="91"/>
      <c r="D59" s="91"/>
    </row>
    <row r="60" spans="2:4">
      <c r="B60" s="91"/>
      <c r="C60" s="91"/>
      <c r="D60" s="91"/>
    </row>
    <row r="61" spans="2:4">
      <c r="B61" s="91"/>
      <c r="C61" s="91"/>
      <c r="D61" s="91"/>
    </row>
    <row r="62" spans="2:4">
      <c r="B62" s="91"/>
      <c r="C62" s="91"/>
      <c r="D62" s="91"/>
    </row>
    <row r="63" spans="2:4">
      <c r="B63" s="91"/>
      <c r="C63" s="91"/>
      <c r="D63" s="91"/>
    </row>
    <row r="64" spans="2:4">
      <c r="B64" s="91"/>
      <c r="C64" s="91"/>
      <c r="D64" s="91"/>
    </row>
    <row r="65" spans="2:4">
      <c r="B65" s="91"/>
      <c r="C65" s="91"/>
      <c r="D65" s="91"/>
    </row>
    <row r="66" spans="2:4">
      <c r="B66" s="91"/>
      <c r="C66" s="91"/>
      <c r="D66" s="91"/>
    </row>
    <row r="67" spans="2:4">
      <c r="B67" s="91"/>
      <c r="C67" s="91"/>
      <c r="D67" s="91"/>
    </row>
    <row r="68" spans="2:4">
      <c r="B68" s="91"/>
      <c r="C68" s="91"/>
      <c r="D68" s="91"/>
    </row>
    <row r="69" spans="2:4">
      <c r="B69" s="91"/>
      <c r="C69" s="91"/>
      <c r="D69" s="91"/>
    </row>
    <row r="70" spans="2:4">
      <c r="B70" s="91"/>
      <c r="C70" s="91"/>
      <c r="D70" s="91"/>
    </row>
    <row r="71" spans="2:4">
      <c r="B71" s="91"/>
      <c r="C71" s="91"/>
      <c r="D71" s="91"/>
    </row>
    <row r="72" spans="2:4">
      <c r="B72" s="91"/>
      <c r="C72" s="91"/>
      <c r="D72" s="91"/>
    </row>
    <row r="73" spans="2:4">
      <c r="B73" s="91"/>
      <c r="C73" s="91"/>
      <c r="D73" s="91"/>
    </row>
    <row r="74" spans="2:4">
      <c r="B74" s="91"/>
      <c r="C74" s="91"/>
      <c r="D74" s="91"/>
    </row>
    <row r="75" spans="2:4">
      <c r="B75" s="91"/>
      <c r="C75" s="91"/>
      <c r="D75" s="91"/>
    </row>
    <row r="76" spans="2:4">
      <c r="B76" s="91"/>
      <c r="C76" s="91"/>
      <c r="D76" s="91"/>
    </row>
    <row r="77" spans="2:4">
      <c r="B77" s="91"/>
      <c r="C77" s="91"/>
      <c r="D77" s="91"/>
    </row>
    <row r="78" spans="2:4">
      <c r="B78" s="91"/>
      <c r="C78" s="91"/>
      <c r="D78" s="91"/>
    </row>
    <row r="79" spans="2:4">
      <c r="B79" s="91"/>
      <c r="C79" s="91"/>
      <c r="D79" s="91"/>
    </row>
    <row r="80" spans="2:4">
      <c r="B80" s="91"/>
      <c r="C80" s="91"/>
      <c r="D80" s="91"/>
    </row>
    <row r="81" spans="2:4">
      <c r="B81" s="91"/>
      <c r="C81" s="91"/>
      <c r="D81" s="91"/>
    </row>
    <row r="82" spans="2:4">
      <c r="B82" s="91"/>
      <c r="C82" s="91"/>
      <c r="D82" s="91"/>
    </row>
    <row r="83" spans="2:4">
      <c r="B83" s="91"/>
      <c r="C83" s="91"/>
      <c r="D83" s="91"/>
    </row>
    <row r="84" spans="2:4">
      <c r="B84" s="91"/>
      <c r="C84" s="91"/>
      <c r="D84" s="91"/>
    </row>
    <row r="85" spans="2:4">
      <c r="B85" s="91"/>
      <c r="C85" s="91"/>
      <c r="D85" s="91"/>
    </row>
    <row r="86" spans="2:4">
      <c r="B86" s="91"/>
      <c r="C86" s="91"/>
      <c r="D86" s="91"/>
    </row>
    <row r="87" spans="2:4">
      <c r="B87" s="91"/>
      <c r="C87" s="91"/>
      <c r="D87" s="91"/>
    </row>
    <row r="88" spans="2:4">
      <c r="B88" s="91"/>
      <c r="C88" s="91"/>
      <c r="D88" s="91"/>
    </row>
    <row r="89" spans="2:4">
      <c r="B89" s="91"/>
      <c r="C89" s="91"/>
      <c r="D89" s="91"/>
    </row>
    <row r="90" spans="2:4">
      <c r="B90" s="91"/>
      <c r="C90" s="91"/>
      <c r="D90" s="91"/>
    </row>
    <row r="91" spans="2:4">
      <c r="B91" s="91"/>
      <c r="C91" s="91"/>
      <c r="D91" s="91"/>
    </row>
    <row r="92" spans="2:4">
      <c r="B92" s="91"/>
      <c r="C92" s="91"/>
      <c r="D92" s="91"/>
    </row>
    <row r="93" spans="2:4">
      <c r="B93" s="91"/>
      <c r="C93" s="91"/>
      <c r="D93" s="91"/>
    </row>
    <row r="94" spans="2:4">
      <c r="B94" s="91"/>
      <c r="C94" s="91"/>
      <c r="D94" s="91"/>
    </row>
    <row r="95" spans="2:4">
      <c r="B95" s="91"/>
      <c r="C95" s="91"/>
      <c r="D95" s="91"/>
    </row>
    <row r="96" spans="2:4">
      <c r="B96" s="91"/>
      <c r="C96" s="91"/>
      <c r="D96" s="91"/>
    </row>
    <row r="97" spans="2:4">
      <c r="B97" s="91"/>
      <c r="C97" s="91"/>
      <c r="D97" s="91"/>
    </row>
    <row r="98" spans="2:4">
      <c r="B98" s="91"/>
      <c r="C98" s="91"/>
      <c r="D98" s="91"/>
    </row>
    <row r="99" spans="2:4">
      <c r="B99" s="91"/>
      <c r="C99" s="91"/>
      <c r="D99" s="91"/>
    </row>
    <row r="100" spans="2:4">
      <c r="B100" s="91"/>
      <c r="C100" s="91"/>
      <c r="D100" s="91"/>
    </row>
    <row r="101" spans="2:4">
      <c r="B101" s="91"/>
      <c r="C101" s="91"/>
      <c r="D101" s="91"/>
    </row>
    <row r="102" spans="2:4">
      <c r="B102" s="91"/>
      <c r="C102" s="91"/>
      <c r="D102" s="91"/>
    </row>
    <row r="103" spans="2:4">
      <c r="B103" s="91"/>
      <c r="C103" s="91"/>
      <c r="D103" s="91"/>
    </row>
    <row r="104" spans="2:4">
      <c r="B104" s="91"/>
      <c r="C104" s="91"/>
      <c r="D104" s="91"/>
    </row>
    <row r="105" spans="2:4">
      <c r="B105" s="91"/>
      <c r="C105" s="91"/>
      <c r="D105" s="91"/>
    </row>
    <row r="106" spans="2:4">
      <c r="B106" s="91"/>
      <c r="C106" s="91"/>
      <c r="D106" s="91"/>
    </row>
    <row r="107" spans="2:4">
      <c r="B107" s="91"/>
      <c r="C107" s="91"/>
      <c r="D107" s="91"/>
    </row>
    <row r="108" spans="2:4">
      <c r="B108" s="91"/>
      <c r="C108" s="91"/>
      <c r="D108" s="91"/>
    </row>
    <row r="109" spans="2:4">
      <c r="B109" s="91"/>
      <c r="C109" s="91"/>
      <c r="D109" s="91"/>
    </row>
    <row r="110" spans="2:4">
      <c r="B110" s="91"/>
      <c r="C110" s="91"/>
      <c r="D110" s="9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8 D31:XFD1048576 D29:AF30 AH29:XFD30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170</v>
      </c>
      <c r="C1" s="68" t="s" vm="1">
        <v>247</v>
      </c>
    </row>
    <row r="2" spans="2:18">
      <c r="B2" s="47" t="s">
        <v>169</v>
      </c>
      <c r="C2" s="68" t="s">
        <v>248</v>
      </c>
    </row>
    <row r="3" spans="2:18">
      <c r="B3" s="47" t="s">
        <v>171</v>
      </c>
      <c r="C3" s="68" t="s">
        <v>249</v>
      </c>
    </row>
    <row r="4" spans="2:18">
      <c r="B4" s="47" t="s">
        <v>172</v>
      </c>
      <c r="C4" s="68">
        <v>2144</v>
      </c>
    </row>
    <row r="6" spans="2:18" ht="26.25" customHeight="1">
      <c r="B6" s="134" t="s">
        <v>210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8" s="3" customFormat="1" ht="78.75">
      <c r="B7" s="22" t="s">
        <v>107</v>
      </c>
      <c r="C7" s="30" t="s">
        <v>41</v>
      </c>
      <c r="D7" s="30" t="s">
        <v>60</v>
      </c>
      <c r="E7" s="30" t="s">
        <v>14</v>
      </c>
      <c r="F7" s="30" t="s">
        <v>61</v>
      </c>
      <c r="G7" s="30" t="s">
        <v>95</v>
      </c>
      <c r="H7" s="30" t="s">
        <v>17</v>
      </c>
      <c r="I7" s="30" t="s">
        <v>94</v>
      </c>
      <c r="J7" s="30" t="s">
        <v>16</v>
      </c>
      <c r="K7" s="30" t="s">
        <v>208</v>
      </c>
      <c r="L7" s="30" t="s">
        <v>229</v>
      </c>
      <c r="M7" s="30" t="s">
        <v>209</v>
      </c>
      <c r="N7" s="30" t="s">
        <v>53</v>
      </c>
      <c r="O7" s="30" t="s">
        <v>173</v>
      </c>
      <c r="P7" s="31" t="s">
        <v>175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231</v>
      </c>
      <c r="M8" s="32" t="s">
        <v>227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240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103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230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topLeftCell="A5" workbookViewId="0">
      <selection activeCell="P28" sqref="O28:P3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170</v>
      </c>
      <c r="C1" s="68" t="s" vm="1">
        <v>247</v>
      </c>
    </row>
    <row r="2" spans="2:18">
      <c r="B2" s="47" t="s">
        <v>169</v>
      </c>
      <c r="C2" s="68" t="s">
        <v>248</v>
      </c>
    </row>
    <row r="3" spans="2:18">
      <c r="B3" s="47" t="s">
        <v>171</v>
      </c>
      <c r="C3" s="68" t="s">
        <v>249</v>
      </c>
    </row>
    <row r="4" spans="2:18">
      <c r="B4" s="47" t="s">
        <v>172</v>
      </c>
      <c r="C4" s="68">
        <v>2144</v>
      </c>
    </row>
    <row r="6" spans="2:18" ht="26.25" customHeight="1">
      <c r="B6" s="134" t="s">
        <v>211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8" s="3" customFormat="1" ht="78.75">
      <c r="B7" s="22" t="s">
        <v>107</v>
      </c>
      <c r="C7" s="30" t="s">
        <v>41</v>
      </c>
      <c r="D7" s="30" t="s">
        <v>60</v>
      </c>
      <c r="E7" s="30" t="s">
        <v>14</v>
      </c>
      <c r="F7" s="30" t="s">
        <v>61</v>
      </c>
      <c r="G7" s="30" t="s">
        <v>95</v>
      </c>
      <c r="H7" s="30" t="s">
        <v>17</v>
      </c>
      <c r="I7" s="30" t="s">
        <v>94</v>
      </c>
      <c r="J7" s="30" t="s">
        <v>16</v>
      </c>
      <c r="K7" s="30" t="s">
        <v>208</v>
      </c>
      <c r="L7" s="30" t="s">
        <v>224</v>
      </c>
      <c r="M7" s="30" t="s">
        <v>209</v>
      </c>
      <c r="N7" s="30" t="s">
        <v>53</v>
      </c>
      <c r="O7" s="30" t="s">
        <v>173</v>
      </c>
      <c r="P7" s="31" t="s">
        <v>175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231</v>
      </c>
      <c r="M8" s="32" t="s">
        <v>227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240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103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230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1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1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16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1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1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1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1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1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1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1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1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1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1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1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1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</row>
    <row r="32" spans="2:1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</row>
    <row r="33" spans="2:16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</row>
    <row r="34" spans="2:16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</row>
    <row r="35" spans="2:16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2:16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</row>
    <row r="37" spans="2:16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</row>
    <row r="38" spans="2:16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</row>
    <row r="39" spans="2:16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</row>
    <row r="40" spans="2:16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</row>
    <row r="41" spans="2:16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2:16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2:16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16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16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16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16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16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7"/>
  <sheetViews>
    <sheetView rightToLeft="1" topLeftCell="A40" workbookViewId="0">
      <selection activeCell="R57" activeCellId="3" sqref="R12:R25 R27:R38 R40:R55 R57:R59"/>
    </sheetView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49.28515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170</v>
      </c>
      <c r="C1" s="68" t="s" vm="1">
        <v>247</v>
      </c>
    </row>
    <row r="2" spans="2:53">
      <c r="B2" s="47" t="s">
        <v>169</v>
      </c>
      <c r="C2" s="68" t="s">
        <v>248</v>
      </c>
    </row>
    <row r="3" spans="2:53">
      <c r="B3" s="47" t="s">
        <v>171</v>
      </c>
      <c r="C3" s="68" t="s">
        <v>249</v>
      </c>
    </row>
    <row r="4" spans="2:53">
      <c r="B4" s="47" t="s">
        <v>172</v>
      </c>
      <c r="C4" s="68">
        <v>2144</v>
      </c>
    </row>
    <row r="6" spans="2:53" ht="21.75" customHeight="1">
      <c r="B6" s="137" t="s">
        <v>200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9"/>
    </row>
    <row r="7" spans="2:53" ht="27.75" customHeight="1">
      <c r="B7" s="140" t="s">
        <v>80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2"/>
      <c r="AU7" s="3"/>
      <c r="AV7" s="3"/>
    </row>
    <row r="8" spans="2:53" s="3" customFormat="1" ht="66" customHeight="1">
      <c r="B8" s="22" t="s">
        <v>106</v>
      </c>
      <c r="C8" s="30" t="s">
        <v>41</v>
      </c>
      <c r="D8" s="30" t="s">
        <v>110</v>
      </c>
      <c r="E8" s="30" t="s">
        <v>14</v>
      </c>
      <c r="F8" s="30" t="s">
        <v>61</v>
      </c>
      <c r="G8" s="30" t="s">
        <v>95</v>
      </c>
      <c r="H8" s="30" t="s">
        <v>17</v>
      </c>
      <c r="I8" s="30" t="s">
        <v>94</v>
      </c>
      <c r="J8" s="30" t="s">
        <v>16</v>
      </c>
      <c r="K8" s="30" t="s">
        <v>18</v>
      </c>
      <c r="L8" s="30" t="s">
        <v>224</v>
      </c>
      <c r="M8" s="30" t="s">
        <v>223</v>
      </c>
      <c r="N8" s="30" t="s">
        <v>239</v>
      </c>
      <c r="O8" s="30" t="s">
        <v>56</v>
      </c>
      <c r="P8" s="30" t="s">
        <v>226</v>
      </c>
      <c r="Q8" s="30" t="s">
        <v>173</v>
      </c>
      <c r="R8" s="60" t="s">
        <v>175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231</v>
      </c>
      <c r="M9" s="32"/>
      <c r="N9" s="16" t="s">
        <v>227</v>
      </c>
      <c r="O9" s="32" t="s">
        <v>232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104</v>
      </c>
      <c r="R10" s="20" t="s">
        <v>105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69" t="s">
        <v>26</v>
      </c>
      <c r="C11" s="70"/>
      <c r="D11" s="70"/>
      <c r="E11" s="70"/>
      <c r="F11" s="70"/>
      <c r="G11" s="70"/>
      <c r="H11" s="78">
        <v>7.0414097865421956</v>
      </c>
      <c r="I11" s="70"/>
      <c r="J11" s="70"/>
      <c r="K11" s="79">
        <v>6.8660322669079309E-3</v>
      </c>
      <c r="L11" s="78"/>
      <c r="M11" s="80"/>
      <c r="N11" s="70"/>
      <c r="O11" s="78">
        <v>80557.584329414996</v>
      </c>
      <c r="P11" s="70"/>
      <c r="Q11" s="79">
        <v>1</v>
      </c>
      <c r="R11" s="79">
        <f>O11/'סכום נכסי הקרן'!$C$42</f>
        <v>0.2768696738207021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1" t="s">
        <v>221</v>
      </c>
      <c r="C12" s="72"/>
      <c r="D12" s="72"/>
      <c r="E12" s="72"/>
      <c r="F12" s="72"/>
      <c r="G12" s="72"/>
      <c r="H12" s="81">
        <v>6.960946990312145</v>
      </c>
      <c r="I12" s="72"/>
      <c r="J12" s="72"/>
      <c r="K12" s="82">
        <v>6.6733795741324127E-3</v>
      </c>
      <c r="L12" s="81"/>
      <c r="M12" s="83"/>
      <c r="N12" s="72"/>
      <c r="O12" s="81">
        <v>80007.76166873498</v>
      </c>
      <c r="P12" s="72"/>
      <c r="Q12" s="82">
        <v>0.99317478713820806</v>
      </c>
      <c r="R12" s="82">
        <f>O12/'סכום נכסי הקרן'!$C$42</f>
        <v>0.27497997936190088</v>
      </c>
      <c r="AW12" s="4"/>
    </row>
    <row r="13" spans="2:53" s="90" customFormat="1">
      <c r="B13" s="110" t="s">
        <v>25</v>
      </c>
      <c r="C13" s="111"/>
      <c r="D13" s="111"/>
      <c r="E13" s="111"/>
      <c r="F13" s="111"/>
      <c r="G13" s="111"/>
      <c r="H13" s="112">
        <v>6.7247845305995035</v>
      </c>
      <c r="I13" s="111"/>
      <c r="J13" s="111"/>
      <c r="K13" s="113">
        <v>2.0508348582894825E-3</v>
      </c>
      <c r="L13" s="112"/>
      <c r="M13" s="114"/>
      <c r="N13" s="111"/>
      <c r="O13" s="112">
        <v>29564.747287058999</v>
      </c>
      <c r="P13" s="111"/>
      <c r="Q13" s="113">
        <v>0.36700141312782208</v>
      </c>
      <c r="R13" s="113">
        <f>O13/'סכום נכסי הקרן'!$C$42</f>
        <v>0.10161156154443683</v>
      </c>
    </row>
    <row r="14" spans="2:53">
      <c r="B14" s="75" t="s">
        <v>24</v>
      </c>
      <c r="C14" s="72"/>
      <c r="D14" s="72"/>
      <c r="E14" s="72"/>
      <c r="F14" s="72"/>
      <c r="G14" s="72"/>
      <c r="H14" s="81">
        <v>6.7247845305995035</v>
      </c>
      <c r="I14" s="72"/>
      <c r="J14" s="72"/>
      <c r="K14" s="82">
        <v>2.0508348582894825E-3</v>
      </c>
      <c r="L14" s="81"/>
      <c r="M14" s="83"/>
      <c r="N14" s="72"/>
      <c r="O14" s="81">
        <v>29564.747287058999</v>
      </c>
      <c r="P14" s="72"/>
      <c r="Q14" s="82">
        <v>0.36700141312782208</v>
      </c>
      <c r="R14" s="82">
        <f>O14/'סכום נכסי הקרן'!$C$42</f>
        <v>0.10161156154443683</v>
      </c>
    </row>
    <row r="15" spans="2:53">
      <c r="B15" s="76" t="s">
        <v>250</v>
      </c>
      <c r="C15" s="74" t="s">
        <v>251</v>
      </c>
      <c r="D15" s="87" t="s">
        <v>111</v>
      </c>
      <c r="E15" s="74" t="s">
        <v>252</v>
      </c>
      <c r="F15" s="74"/>
      <c r="G15" s="74"/>
      <c r="H15" s="84">
        <v>1.2899999999998484</v>
      </c>
      <c r="I15" s="87" t="s">
        <v>155</v>
      </c>
      <c r="J15" s="88">
        <v>0.04</v>
      </c>
      <c r="K15" s="85">
        <v>9.2999999999990798E-3</v>
      </c>
      <c r="L15" s="84">
        <v>2884943.1134930002</v>
      </c>
      <c r="M15" s="86">
        <v>139.44999999999999</v>
      </c>
      <c r="N15" s="74"/>
      <c r="O15" s="84">
        <v>4023.0533155089997</v>
      </c>
      <c r="P15" s="85">
        <v>1.8555305667821836E-4</v>
      </c>
      <c r="Q15" s="85">
        <v>4.9940093772648193E-2</v>
      </c>
      <c r="R15" s="85">
        <f>O15/'סכום נכסי הקרן'!$C$42</f>
        <v>1.3826897473408381E-2</v>
      </c>
    </row>
    <row r="16" spans="2:53" ht="20.25">
      <c r="B16" s="76" t="s">
        <v>253</v>
      </c>
      <c r="C16" s="74" t="s">
        <v>254</v>
      </c>
      <c r="D16" s="87" t="s">
        <v>111</v>
      </c>
      <c r="E16" s="74" t="s">
        <v>252</v>
      </c>
      <c r="F16" s="74"/>
      <c r="G16" s="74"/>
      <c r="H16" s="84">
        <v>4</v>
      </c>
      <c r="I16" s="87" t="s">
        <v>155</v>
      </c>
      <c r="J16" s="88">
        <v>0.04</v>
      </c>
      <c r="K16" s="85">
        <v>-9.0000000000041436E-4</v>
      </c>
      <c r="L16" s="84">
        <v>2591415.3064569999</v>
      </c>
      <c r="M16" s="86">
        <v>149</v>
      </c>
      <c r="N16" s="74"/>
      <c r="O16" s="84">
        <v>3861.208934276</v>
      </c>
      <c r="P16" s="85">
        <v>2.2305379154406125E-4</v>
      </c>
      <c r="Q16" s="85">
        <v>4.7931041706598301E-2</v>
      </c>
      <c r="R16" s="85">
        <f>O16/'סכום נכסי הקרן'!$C$42</f>
        <v>1.327065188319234E-2</v>
      </c>
      <c r="AU16" s="4"/>
    </row>
    <row r="17" spans="2:48" ht="20.25">
      <c r="B17" s="76" t="s">
        <v>255</v>
      </c>
      <c r="C17" s="74" t="s">
        <v>256</v>
      </c>
      <c r="D17" s="87" t="s">
        <v>111</v>
      </c>
      <c r="E17" s="74" t="s">
        <v>252</v>
      </c>
      <c r="F17" s="74"/>
      <c r="G17" s="74"/>
      <c r="H17" s="84">
        <v>6.9700000000012663</v>
      </c>
      <c r="I17" s="87" t="s">
        <v>155</v>
      </c>
      <c r="J17" s="88">
        <v>7.4999999999999997E-3</v>
      </c>
      <c r="K17" s="85">
        <v>-5.999999999967661E-4</v>
      </c>
      <c r="L17" s="84">
        <v>1263277.816081</v>
      </c>
      <c r="M17" s="86">
        <v>107.7</v>
      </c>
      <c r="N17" s="74"/>
      <c r="O17" s="84">
        <v>1360.5501184239997</v>
      </c>
      <c r="P17" s="85">
        <v>8.9113542140607986E-5</v>
      </c>
      <c r="Q17" s="85">
        <v>1.6889162327167809E-2</v>
      </c>
      <c r="R17" s="85">
        <f>O17/'סכום נכסי הקרן'!$C$42</f>
        <v>4.6760968646278418E-3</v>
      </c>
      <c r="AV17" s="4"/>
    </row>
    <row r="18" spans="2:48">
      <c r="B18" s="76" t="s">
        <v>257</v>
      </c>
      <c r="C18" s="74" t="s">
        <v>258</v>
      </c>
      <c r="D18" s="87" t="s">
        <v>111</v>
      </c>
      <c r="E18" s="74" t="s">
        <v>252</v>
      </c>
      <c r="F18" s="74"/>
      <c r="G18" s="74"/>
      <c r="H18" s="84">
        <v>12.899999999999705</v>
      </c>
      <c r="I18" s="87" t="s">
        <v>155</v>
      </c>
      <c r="J18" s="88">
        <v>0.04</v>
      </c>
      <c r="K18" s="85">
        <v>1.399999999998241E-3</v>
      </c>
      <c r="L18" s="84">
        <v>1041578.7179280001</v>
      </c>
      <c r="M18" s="86">
        <v>196.5</v>
      </c>
      <c r="N18" s="74"/>
      <c r="O18" s="84">
        <v>2046.702178774</v>
      </c>
      <c r="P18" s="85">
        <v>6.4209358219899728E-5</v>
      </c>
      <c r="Q18" s="85">
        <v>2.5406697529616242E-2</v>
      </c>
      <c r="R18" s="85">
        <f>O18/'סכום נכסי הקרן'!$C$42</f>
        <v>7.0343440578860862E-3</v>
      </c>
      <c r="AU18" s="3"/>
    </row>
    <row r="19" spans="2:48">
      <c r="B19" s="76" t="s">
        <v>259</v>
      </c>
      <c r="C19" s="74" t="s">
        <v>260</v>
      </c>
      <c r="D19" s="87" t="s">
        <v>111</v>
      </c>
      <c r="E19" s="74" t="s">
        <v>252</v>
      </c>
      <c r="F19" s="74"/>
      <c r="G19" s="74"/>
      <c r="H19" s="84">
        <v>17.33999999999828</v>
      </c>
      <c r="I19" s="87" t="s">
        <v>155</v>
      </c>
      <c r="J19" s="88">
        <v>2.75E-2</v>
      </c>
      <c r="K19" s="85">
        <v>2.999999999998408E-3</v>
      </c>
      <c r="L19" s="84">
        <v>1538398.149498</v>
      </c>
      <c r="M19" s="86">
        <v>163.28</v>
      </c>
      <c r="N19" s="74"/>
      <c r="O19" s="84">
        <v>2511.8965946479998</v>
      </c>
      <c r="P19" s="85">
        <v>8.7037754906275607E-5</v>
      </c>
      <c r="Q19" s="85">
        <v>3.1181379327071004E-2</v>
      </c>
      <c r="R19" s="85">
        <f>O19/'סכום נכסי הקרן'!$C$42</f>
        <v>8.6331783235657315E-3</v>
      </c>
      <c r="AV19" s="3"/>
    </row>
    <row r="20" spans="2:48">
      <c r="B20" s="76" t="s">
        <v>261</v>
      </c>
      <c r="C20" s="74" t="s">
        <v>262</v>
      </c>
      <c r="D20" s="87" t="s">
        <v>111</v>
      </c>
      <c r="E20" s="74" t="s">
        <v>252</v>
      </c>
      <c r="F20" s="74"/>
      <c r="G20" s="74"/>
      <c r="H20" s="84">
        <v>3.3999999999999133</v>
      </c>
      <c r="I20" s="87" t="s">
        <v>155</v>
      </c>
      <c r="J20" s="88">
        <v>1.7500000000000002E-2</v>
      </c>
      <c r="K20" s="85">
        <v>6.0000000000073471E-4</v>
      </c>
      <c r="L20" s="84">
        <v>4253198.2241860004</v>
      </c>
      <c r="M20" s="86">
        <v>108.8</v>
      </c>
      <c r="N20" s="74"/>
      <c r="O20" s="84">
        <v>4627.4793173609996</v>
      </c>
      <c r="P20" s="85">
        <v>2.5358118128897782E-4</v>
      </c>
      <c r="Q20" s="85">
        <v>5.744312414382205E-2</v>
      </c>
      <c r="R20" s="85">
        <f>O20/'סכום נכסי הקרן'!$C$42</f>
        <v>1.590425904494211E-2</v>
      </c>
    </row>
    <row r="21" spans="2:48">
      <c r="B21" s="76" t="s">
        <v>263</v>
      </c>
      <c r="C21" s="74" t="s">
        <v>264</v>
      </c>
      <c r="D21" s="87" t="s">
        <v>111</v>
      </c>
      <c r="E21" s="74" t="s">
        <v>252</v>
      </c>
      <c r="F21" s="74"/>
      <c r="G21" s="74"/>
      <c r="H21" s="84">
        <v>0.58000000001065255</v>
      </c>
      <c r="I21" s="87" t="s">
        <v>155</v>
      </c>
      <c r="J21" s="88">
        <v>1E-3</v>
      </c>
      <c r="K21" s="85">
        <v>1.5000000000532629E-2</v>
      </c>
      <c r="L21" s="84">
        <v>9365.8680339999992</v>
      </c>
      <c r="M21" s="86">
        <v>100.23</v>
      </c>
      <c r="N21" s="74"/>
      <c r="O21" s="84">
        <v>9.3874088049999997</v>
      </c>
      <c r="P21" s="85">
        <v>6.1798724761453623E-7</v>
      </c>
      <c r="Q21" s="85">
        <v>1.1653041588999408E-4</v>
      </c>
      <c r="R21" s="85">
        <f>O21/'סכום נכסי הקרן'!$C$42</f>
        <v>3.2263738237653421E-5</v>
      </c>
    </row>
    <row r="22" spans="2:48">
      <c r="B22" s="76" t="s">
        <v>265</v>
      </c>
      <c r="C22" s="74" t="s">
        <v>266</v>
      </c>
      <c r="D22" s="87" t="s">
        <v>111</v>
      </c>
      <c r="E22" s="74" t="s">
        <v>252</v>
      </c>
      <c r="F22" s="74"/>
      <c r="G22" s="74"/>
      <c r="H22" s="84">
        <v>5.4800000000003166</v>
      </c>
      <c r="I22" s="87" t="s">
        <v>155</v>
      </c>
      <c r="J22" s="88">
        <v>7.4999999999999997E-3</v>
      </c>
      <c r="K22" s="85">
        <v>-8.9999999999988711E-4</v>
      </c>
      <c r="L22" s="84">
        <v>2515674.1576419999</v>
      </c>
      <c r="M22" s="86">
        <v>105.65</v>
      </c>
      <c r="N22" s="74"/>
      <c r="O22" s="84">
        <v>2657.8099509670001</v>
      </c>
      <c r="P22" s="85">
        <v>1.8409388287935017E-4</v>
      </c>
      <c r="Q22" s="85">
        <v>3.2992671926441078E-2</v>
      </c>
      <c r="R22" s="85">
        <f>O22/'סכום נכסי הקרן'!$C$42</f>
        <v>9.1346703147471772E-3</v>
      </c>
    </row>
    <row r="23" spans="2:48">
      <c r="B23" s="76" t="s">
        <v>267</v>
      </c>
      <c r="C23" s="74" t="s">
        <v>268</v>
      </c>
      <c r="D23" s="87" t="s">
        <v>111</v>
      </c>
      <c r="E23" s="74" t="s">
        <v>252</v>
      </c>
      <c r="F23" s="74"/>
      <c r="G23" s="74"/>
      <c r="H23" s="84">
        <v>8.9600000000010169</v>
      </c>
      <c r="I23" s="87" t="s">
        <v>155</v>
      </c>
      <c r="J23" s="88">
        <v>5.0000000000000001E-3</v>
      </c>
      <c r="K23" s="85">
        <v>-7.9999999999872675E-4</v>
      </c>
      <c r="L23" s="84">
        <v>1482017.553049</v>
      </c>
      <c r="M23" s="86">
        <v>106</v>
      </c>
      <c r="N23" s="74"/>
      <c r="O23" s="84">
        <v>1570.9386493400002</v>
      </c>
      <c r="P23" s="85">
        <v>1.3908437141403303E-4</v>
      </c>
      <c r="Q23" s="85">
        <v>1.9500816247370812E-2</v>
      </c>
      <c r="R23" s="85">
        <f>O23/'סכום נכסי הקרן'!$C$42</f>
        <v>5.3991846336470042E-3</v>
      </c>
    </row>
    <row r="24" spans="2:48">
      <c r="B24" s="76" t="s">
        <v>269</v>
      </c>
      <c r="C24" s="74" t="s">
        <v>270</v>
      </c>
      <c r="D24" s="87" t="s">
        <v>111</v>
      </c>
      <c r="E24" s="74" t="s">
        <v>252</v>
      </c>
      <c r="F24" s="74"/>
      <c r="G24" s="74"/>
      <c r="H24" s="84">
        <v>22.370000000005383</v>
      </c>
      <c r="I24" s="87" t="s">
        <v>155</v>
      </c>
      <c r="J24" s="88">
        <v>0.01</v>
      </c>
      <c r="K24" s="85">
        <v>6.0000000000031773E-3</v>
      </c>
      <c r="L24" s="84">
        <v>1696357.166676</v>
      </c>
      <c r="M24" s="86">
        <v>111.32</v>
      </c>
      <c r="N24" s="74"/>
      <c r="O24" s="84">
        <v>1888.384647759</v>
      </c>
      <c r="P24" s="85">
        <v>1.0888585764451426E-4</v>
      </c>
      <c r="Q24" s="85">
        <v>2.3441425949877578E-2</v>
      </c>
      <c r="R24" s="85">
        <f>O24/'סכום נכסי הקרן'!$C$42</f>
        <v>6.4902199566347473E-3</v>
      </c>
    </row>
    <row r="25" spans="2:48">
      <c r="B25" s="76" t="s">
        <v>271</v>
      </c>
      <c r="C25" s="74" t="s">
        <v>272</v>
      </c>
      <c r="D25" s="87" t="s">
        <v>111</v>
      </c>
      <c r="E25" s="74" t="s">
        <v>252</v>
      </c>
      <c r="F25" s="74"/>
      <c r="G25" s="74"/>
      <c r="H25" s="84">
        <v>2.4199999999999364</v>
      </c>
      <c r="I25" s="87" t="s">
        <v>155</v>
      </c>
      <c r="J25" s="88">
        <v>2.75E-2</v>
      </c>
      <c r="K25" s="85">
        <v>1.2999999999990413E-3</v>
      </c>
      <c r="L25" s="84">
        <v>4471234.9420980001</v>
      </c>
      <c r="M25" s="86">
        <v>111.99</v>
      </c>
      <c r="N25" s="74"/>
      <c r="O25" s="84">
        <v>5007.3361711959997</v>
      </c>
      <c r="P25" s="85">
        <v>2.6965624658336772E-4</v>
      </c>
      <c r="Q25" s="85">
        <v>6.215846978131901E-2</v>
      </c>
      <c r="R25" s="85">
        <f>O25/'סכום נכסי הקרן'!$C$42</f>
        <v>1.7209795253547763E-2</v>
      </c>
    </row>
    <row r="26" spans="2:48">
      <c r="B26" s="77"/>
      <c r="C26" s="74"/>
      <c r="D26" s="74"/>
      <c r="E26" s="74"/>
      <c r="F26" s="74"/>
      <c r="G26" s="74"/>
      <c r="H26" s="74"/>
      <c r="I26" s="74"/>
      <c r="J26" s="74"/>
      <c r="K26" s="85"/>
      <c r="L26" s="84"/>
      <c r="M26" s="86"/>
      <c r="N26" s="74"/>
      <c r="O26" s="74"/>
      <c r="P26" s="74"/>
      <c r="Q26" s="85"/>
      <c r="R26" s="74"/>
    </row>
    <row r="27" spans="2:48" s="90" customFormat="1">
      <c r="B27" s="110" t="s">
        <v>42</v>
      </c>
      <c r="C27" s="111"/>
      <c r="D27" s="111"/>
      <c r="E27" s="111"/>
      <c r="F27" s="111"/>
      <c r="G27" s="111"/>
      <c r="H27" s="112">
        <v>7.0993622600116213</v>
      </c>
      <c r="I27" s="111"/>
      <c r="J27" s="111"/>
      <c r="K27" s="113">
        <v>9.3826618805576013E-3</v>
      </c>
      <c r="L27" s="112"/>
      <c r="M27" s="114"/>
      <c r="N27" s="111"/>
      <c r="O27" s="112">
        <v>50443.014381675996</v>
      </c>
      <c r="P27" s="111"/>
      <c r="Q27" s="113">
        <v>0.62617337401038609</v>
      </c>
      <c r="R27" s="113">
        <f>O27/'סכום נכסי הקרן'!$C$42</f>
        <v>0.17336841781746409</v>
      </c>
    </row>
    <row r="28" spans="2:48">
      <c r="B28" s="75" t="s">
        <v>22</v>
      </c>
      <c r="C28" s="72"/>
      <c r="D28" s="72"/>
      <c r="E28" s="72"/>
      <c r="F28" s="72"/>
      <c r="G28" s="72"/>
      <c r="H28" s="81">
        <v>0.49639997628209021</v>
      </c>
      <c r="I28" s="72"/>
      <c r="J28" s="72"/>
      <c r="K28" s="82">
        <v>2.4906622071180304E-3</v>
      </c>
      <c r="L28" s="81"/>
      <c r="M28" s="83"/>
      <c r="N28" s="72"/>
      <c r="O28" s="81">
        <v>12711.053742604001</v>
      </c>
      <c r="P28" s="72"/>
      <c r="Q28" s="82">
        <v>0.15778841742108515</v>
      </c>
      <c r="R28" s="82">
        <f>O28/'סכום נכסי הקרן'!$C$42</f>
        <v>4.368682766406063E-2</v>
      </c>
    </row>
    <row r="29" spans="2:48">
      <c r="B29" s="76" t="s">
        <v>273</v>
      </c>
      <c r="C29" s="74" t="s">
        <v>274</v>
      </c>
      <c r="D29" s="87" t="s">
        <v>111</v>
      </c>
      <c r="E29" s="74" t="s">
        <v>252</v>
      </c>
      <c r="F29" s="74"/>
      <c r="G29" s="74"/>
      <c r="H29" s="84">
        <v>0.54000000000011905</v>
      </c>
      <c r="I29" s="87" t="s">
        <v>155</v>
      </c>
      <c r="J29" s="88">
        <v>0</v>
      </c>
      <c r="K29" s="85">
        <v>2.2000000000010648E-3</v>
      </c>
      <c r="L29" s="84">
        <v>3197147.0761210001</v>
      </c>
      <c r="M29" s="86">
        <v>99.88</v>
      </c>
      <c r="N29" s="74"/>
      <c r="O29" s="84">
        <v>3193.3104996529996</v>
      </c>
      <c r="P29" s="85">
        <v>3.5523856401344447E-4</v>
      </c>
      <c r="Q29" s="85">
        <v>3.9640097530667717E-2</v>
      </c>
      <c r="R29" s="85">
        <f>O29/'סכום נכסי הקרן'!$C$42</f>
        <v>1.0975140873536789E-2</v>
      </c>
    </row>
    <row r="30" spans="2:48">
      <c r="B30" s="76" t="s">
        <v>275</v>
      </c>
      <c r="C30" s="74" t="s">
        <v>276</v>
      </c>
      <c r="D30" s="87" t="s">
        <v>111</v>
      </c>
      <c r="E30" s="74" t="s">
        <v>252</v>
      </c>
      <c r="F30" s="74"/>
      <c r="G30" s="74"/>
      <c r="H30" s="84">
        <v>0.76999999999942736</v>
      </c>
      <c r="I30" s="87" t="s">
        <v>155</v>
      </c>
      <c r="J30" s="88">
        <v>0</v>
      </c>
      <c r="K30" s="85">
        <v>2.5999999999971367E-3</v>
      </c>
      <c r="L30" s="84">
        <v>1259870.6891310001</v>
      </c>
      <c r="M30" s="86">
        <v>99.8</v>
      </c>
      <c r="N30" s="74"/>
      <c r="O30" s="84">
        <v>1257.3509477359999</v>
      </c>
      <c r="P30" s="85">
        <v>1.5748383614137501E-4</v>
      </c>
      <c r="Q30" s="85">
        <v>1.5608101437034869E-2</v>
      </c>
      <c r="R30" s="85">
        <f>O30/'סכום נכסי הקרן'!$C$42</f>
        <v>4.3214099538322762E-3</v>
      </c>
    </row>
    <row r="31" spans="2:48">
      <c r="B31" s="76" t="s">
        <v>277</v>
      </c>
      <c r="C31" s="74" t="s">
        <v>278</v>
      </c>
      <c r="D31" s="87" t="s">
        <v>111</v>
      </c>
      <c r="E31" s="74" t="s">
        <v>252</v>
      </c>
      <c r="F31" s="74"/>
      <c r="G31" s="74"/>
      <c r="H31" s="84">
        <v>0.58999999999996444</v>
      </c>
      <c r="I31" s="87" t="s">
        <v>155</v>
      </c>
      <c r="J31" s="88">
        <v>0</v>
      </c>
      <c r="K31" s="85">
        <v>2.1999999999996957E-3</v>
      </c>
      <c r="L31" s="84">
        <v>1975369.2723310001</v>
      </c>
      <c r="M31" s="86">
        <v>99.87</v>
      </c>
      <c r="N31" s="74"/>
      <c r="O31" s="84">
        <v>1972.8012922730002</v>
      </c>
      <c r="P31" s="85">
        <v>2.1948547470344444E-4</v>
      </c>
      <c r="Q31" s="85">
        <v>2.4489330318121848E-2</v>
      </c>
      <c r="R31" s="85">
        <f>O31/'סכום נכסי הקרן'!$C$42</f>
        <v>6.7803528972658266E-3</v>
      </c>
    </row>
    <row r="32" spans="2:48">
      <c r="B32" s="76" t="s">
        <v>279</v>
      </c>
      <c r="C32" s="74" t="s">
        <v>280</v>
      </c>
      <c r="D32" s="87" t="s">
        <v>111</v>
      </c>
      <c r="E32" s="74" t="s">
        <v>252</v>
      </c>
      <c r="F32" s="74"/>
      <c r="G32" s="74"/>
      <c r="H32" s="84">
        <v>0.67000000000024584</v>
      </c>
      <c r="I32" s="87" t="s">
        <v>155</v>
      </c>
      <c r="J32" s="88">
        <v>0</v>
      </c>
      <c r="K32" s="85">
        <v>2.2000000000009217E-3</v>
      </c>
      <c r="L32" s="84">
        <v>1304151.1933190001</v>
      </c>
      <c r="M32" s="86">
        <v>99.85</v>
      </c>
      <c r="N32" s="74"/>
      <c r="O32" s="84">
        <v>1302.1949665039999</v>
      </c>
      <c r="P32" s="85">
        <v>1.4490568814655558E-4</v>
      </c>
      <c r="Q32" s="85">
        <v>1.616477178832823E-2</v>
      </c>
      <c r="R32" s="85">
        <f>O32/'סכום נכסי הקרן'!$C$42</f>
        <v>4.4755350924205245E-3</v>
      </c>
    </row>
    <row r="33" spans="2:18">
      <c r="B33" s="76" t="s">
        <v>281</v>
      </c>
      <c r="C33" s="74" t="s">
        <v>282</v>
      </c>
      <c r="D33" s="87" t="s">
        <v>111</v>
      </c>
      <c r="E33" s="74" t="s">
        <v>252</v>
      </c>
      <c r="F33" s="74"/>
      <c r="G33" s="74"/>
      <c r="H33" s="84">
        <v>0.84000000000032538</v>
      </c>
      <c r="I33" s="87" t="s">
        <v>155</v>
      </c>
      <c r="J33" s="88">
        <v>0</v>
      </c>
      <c r="K33" s="85">
        <v>2.1000000000008135E-3</v>
      </c>
      <c r="L33" s="84">
        <v>246254.51909800002</v>
      </c>
      <c r="M33" s="86">
        <v>99.82</v>
      </c>
      <c r="N33" s="74"/>
      <c r="O33" s="84">
        <v>245.81126093800003</v>
      </c>
      <c r="P33" s="85">
        <v>3.5179217014000001E-5</v>
      </c>
      <c r="Q33" s="85">
        <v>3.0513732876203425E-3</v>
      </c>
      <c r="R33" s="85">
        <f>O33/'סכום נכסי הקרן'!$C$42</f>
        <v>8.4483272684864768E-4</v>
      </c>
    </row>
    <row r="34" spans="2:18">
      <c r="B34" s="76" t="s">
        <v>283</v>
      </c>
      <c r="C34" s="74" t="s">
        <v>284</v>
      </c>
      <c r="D34" s="87" t="s">
        <v>111</v>
      </c>
      <c r="E34" s="74" t="s">
        <v>252</v>
      </c>
      <c r="F34" s="74"/>
      <c r="G34" s="74"/>
      <c r="H34" s="84">
        <v>2.0000000000279874E-2</v>
      </c>
      <c r="I34" s="87" t="s">
        <v>155</v>
      </c>
      <c r="J34" s="88">
        <v>0</v>
      </c>
      <c r="K34" s="85">
        <v>5.2000000000027979E-3</v>
      </c>
      <c r="L34" s="84">
        <v>1143472.3846730001</v>
      </c>
      <c r="M34" s="86">
        <v>99.99</v>
      </c>
      <c r="N34" s="74"/>
      <c r="O34" s="84">
        <v>1143.3580374340002</v>
      </c>
      <c r="P34" s="85">
        <v>9.5289365389416669E-5</v>
      </c>
      <c r="Q34" s="85">
        <v>1.4193052670976276E-2</v>
      </c>
      <c r="R34" s="85">
        <f>O34/'סכום נכסי הקרן'!$C$42</f>
        <v>3.9296258635332466E-3</v>
      </c>
    </row>
    <row r="35" spans="2:18">
      <c r="B35" s="76" t="s">
        <v>285</v>
      </c>
      <c r="C35" s="74" t="s">
        <v>286</v>
      </c>
      <c r="D35" s="87" t="s">
        <v>111</v>
      </c>
      <c r="E35" s="74" t="s">
        <v>252</v>
      </c>
      <c r="F35" s="74"/>
      <c r="G35" s="74"/>
      <c r="H35" s="84">
        <v>0.10000000000207383</v>
      </c>
      <c r="I35" s="87" t="s">
        <v>155</v>
      </c>
      <c r="J35" s="88">
        <v>0</v>
      </c>
      <c r="K35" s="85">
        <v>2.0999999999951609E-3</v>
      </c>
      <c r="L35" s="84">
        <v>144688.85196100001</v>
      </c>
      <c r="M35" s="86">
        <v>99.98</v>
      </c>
      <c r="N35" s="74"/>
      <c r="O35" s="84">
        <v>144.65991416700001</v>
      </c>
      <c r="P35" s="85">
        <v>1.2057404330083334E-5</v>
      </c>
      <c r="Q35" s="85">
        <v>1.7957330196925795E-3</v>
      </c>
      <c r="R35" s="85">
        <f>O35/'סכום נכסי הקרן'!$C$42</f>
        <v>4.9718401543134892E-4</v>
      </c>
    </row>
    <row r="36" spans="2:18">
      <c r="B36" s="76" t="s">
        <v>287</v>
      </c>
      <c r="C36" s="74" t="s">
        <v>288</v>
      </c>
      <c r="D36" s="87" t="s">
        <v>111</v>
      </c>
      <c r="E36" s="74" t="s">
        <v>252</v>
      </c>
      <c r="F36" s="74"/>
      <c r="G36" s="74"/>
      <c r="H36" s="84">
        <v>0.1700000000002336</v>
      </c>
      <c r="I36" s="87" t="s">
        <v>155</v>
      </c>
      <c r="J36" s="88">
        <v>0</v>
      </c>
      <c r="K36" s="85">
        <v>2.2999999999859838E-3</v>
      </c>
      <c r="L36" s="84">
        <v>342597.62336199998</v>
      </c>
      <c r="M36" s="86">
        <v>99.96</v>
      </c>
      <c r="N36" s="74"/>
      <c r="O36" s="84">
        <v>342.46058427599996</v>
      </c>
      <c r="P36" s="85">
        <v>2.8549801946833332E-5</v>
      </c>
      <c r="Q36" s="85">
        <v>4.2511277755749814E-3</v>
      </c>
      <c r="R36" s="85">
        <f>O36/'סכום נכסי הקרן'!$C$42</f>
        <v>1.1770083605935719E-3</v>
      </c>
    </row>
    <row r="37" spans="2:18">
      <c r="B37" s="76" t="s">
        <v>289</v>
      </c>
      <c r="C37" s="74" t="s">
        <v>290</v>
      </c>
      <c r="D37" s="87" t="s">
        <v>111</v>
      </c>
      <c r="E37" s="74" t="s">
        <v>252</v>
      </c>
      <c r="F37" s="74"/>
      <c r="G37" s="74"/>
      <c r="H37" s="84">
        <v>0.35000000000103465</v>
      </c>
      <c r="I37" s="87" t="s">
        <v>155</v>
      </c>
      <c r="J37" s="88">
        <v>0</v>
      </c>
      <c r="K37" s="85">
        <v>2.3000000000082776E-3</v>
      </c>
      <c r="L37" s="84">
        <v>386910.16447800002</v>
      </c>
      <c r="M37" s="86">
        <v>99.92</v>
      </c>
      <c r="N37" s="74"/>
      <c r="O37" s="84">
        <v>386.60063631600002</v>
      </c>
      <c r="P37" s="85">
        <v>4.2990018275333334E-5</v>
      </c>
      <c r="Q37" s="85">
        <v>4.7990594496368942E-3</v>
      </c>
      <c r="R37" s="85">
        <f>O37/'סכום נכסי הקרן'!$C$42</f>
        <v>1.3287140244671251E-3</v>
      </c>
    </row>
    <row r="38" spans="2:18">
      <c r="B38" s="76" t="s">
        <v>291</v>
      </c>
      <c r="C38" s="74" t="s">
        <v>292</v>
      </c>
      <c r="D38" s="87" t="s">
        <v>111</v>
      </c>
      <c r="E38" s="74" t="s">
        <v>252</v>
      </c>
      <c r="F38" s="74"/>
      <c r="G38" s="74"/>
      <c r="H38" s="84">
        <v>0.42000000000002208</v>
      </c>
      <c r="I38" s="87" t="s">
        <v>155</v>
      </c>
      <c r="J38" s="88">
        <v>0</v>
      </c>
      <c r="K38" s="85">
        <v>2.1000000000019471E-3</v>
      </c>
      <c r="L38" s="84">
        <v>2724958.0655649994</v>
      </c>
      <c r="M38" s="86">
        <v>99.91</v>
      </c>
      <c r="N38" s="74"/>
      <c r="O38" s="84">
        <v>2722.505603307</v>
      </c>
      <c r="P38" s="85">
        <v>3.0277311839611105E-4</v>
      </c>
      <c r="Q38" s="85">
        <v>3.3795770143431395E-2</v>
      </c>
      <c r="R38" s="85">
        <f>O38/'סכום נכסי הקרן'!$C$42</f>
        <v>9.3570238561312725E-3</v>
      </c>
    </row>
    <row r="39" spans="2:18">
      <c r="B39" s="77"/>
      <c r="C39" s="74"/>
      <c r="D39" s="74"/>
      <c r="E39" s="74"/>
      <c r="F39" s="74"/>
      <c r="G39" s="74"/>
      <c r="H39" s="74"/>
      <c r="I39" s="74"/>
      <c r="J39" s="74"/>
      <c r="K39" s="85"/>
      <c r="L39" s="84"/>
      <c r="M39" s="86"/>
      <c r="N39" s="74"/>
      <c r="O39" s="74"/>
      <c r="P39" s="74"/>
      <c r="Q39" s="85"/>
      <c r="R39" s="74"/>
    </row>
    <row r="40" spans="2:18">
      <c r="B40" s="75" t="s">
        <v>23</v>
      </c>
      <c r="C40" s="72"/>
      <c r="D40" s="72"/>
      <c r="E40" s="72"/>
      <c r="F40" s="72"/>
      <c r="G40" s="72"/>
      <c r="H40" s="81">
        <v>9.3237525919034123</v>
      </c>
      <c r="I40" s="72"/>
      <c r="J40" s="72"/>
      <c r="K40" s="82">
        <v>1.1704422445323581E-2</v>
      </c>
      <c r="L40" s="81"/>
      <c r="M40" s="83"/>
      <c r="N40" s="72"/>
      <c r="O40" s="81">
        <v>37731.960639071993</v>
      </c>
      <c r="P40" s="72"/>
      <c r="Q40" s="82">
        <v>0.46838495658930096</v>
      </c>
      <c r="R40" s="82">
        <f>O40/'סכום נכסי הקרן'!$C$42</f>
        <v>0.12968159015340347</v>
      </c>
    </row>
    <row r="41" spans="2:18">
      <c r="B41" s="76" t="s">
        <v>293</v>
      </c>
      <c r="C41" s="74" t="s">
        <v>294</v>
      </c>
      <c r="D41" s="87" t="s">
        <v>111</v>
      </c>
      <c r="E41" s="74" t="s">
        <v>252</v>
      </c>
      <c r="F41" s="74"/>
      <c r="G41" s="74"/>
      <c r="H41" s="84">
        <v>5.6400000000000183</v>
      </c>
      <c r="I41" s="87" t="s">
        <v>155</v>
      </c>
      <c r="J41" s="88">
        <v>6.25E-2</v>
      </c>
      <c r="K41" s="85">
        <v>8.3000000000006333E-3</v>
      </c>
      <c r="L41" s="84">
        <v>1493351.494222</v>
      </c>
      <c r="M41" s="86">
        <v>137.18</v>
      </c>
      <c r="N41" s="74"/>
      <c r="O41" s="84">
        <v>2048.5796247890003</v>
      </c>
      <c r="P41" s="85">
        <v>9.0680203671185514E-5</v>
      </c>
      <c r="Q41" s="85">
        <v>2.5430003169061969E-2</v>
      </c>
      <c r="R41" s="85">
        <f>O41/'סכום נכסי הקרן'!$C$42</f>
        <v>7.0407966826776082E-3</v>
      </c>
    </row>
    <row r="42" spans="2:18">
      <c r="B42" s="76" t="s">
        <v>295</v>
      </c>
      <c r="C42" s="74" t="s">
        <v>296</v>
      </c>
      <c r="D42" s="87" t="s">
        <v>111</v>
      </c>
      <c r="E42" s="74" t="s">
        <v>252</v>
      </c>
      <c r="F42" s="74"/>
      <c r="G42" s="74"/>
      <c r="H42" s="84">
        <v>3.8000000000005332</v>
      </c>
      <c r="I42" s="87" t="s">
        <v>155</v>
      </c>
      <c r="J42" s="88">
        <v>3.7499999999999999E-2</v>
      </c>
      <c r="K42" s="85">
        <v>5.5000000000031092E-3</v>
      </c>
      <c r="L42" s="84">
        <v>1998589.128977</v>
      </c>
      <c r="M42" s="86">
        <v>112.64</v>
      </c>
      <c r="N42" s="74"/>
      <c r="O42" s="84">
        <v>2251.2107948859998</v>
      </c>
      <c r="P42" s="85">
        <v>1.2316453153882057E-4</v>
      </c>
      <c r="Q42" s="85">
        <v>2.7945361242218719E-2</v>
      </c>
      <c r="R42" s="85">
        <f>O42/'סכום נכסי הקרן'!$C$42</f>
        <v>7.7372230519347869E-3</v>
      </c>
    </row>
    <row r="43" spans="2:18">
      <c r="B43" s="76" t="s">
        <v>297</v>
      </c>
      <c r="C43" s="74" t="s">
        <v>298</v>
      </c>
      <c r="D43" s="87" t="s">
        <v>111</v>
      </c>
      <c r="E43" s="74" t="s">
        <v>252</v>
      </c>
      <c r="F43" s="74"/>
      <c r="G43" s="74"/>
      <c r="H43" s="84">
        <v>18.809999999999004</v>
      </c>
      <c r="I43" s="87" t="s">
        <v>155</v>
      </c>
      <c r="J43" s="88">
        <v>3.7499999999999999E-2</v>
      </c>
      <c r="K43" s="85">
        <v>2.1299999999998799E-2</v>
      </c>
      <c r="L43" s="84">
        <v>6334756.0115069998</v>
      </c>
      <c r="M43" s="86">
        <v>132.96</v>
      </c>
      <c r="N43" s="74"/>
      <c r="O43" s="84">
        <v>8422.6915928770013</v>
      </c>
      <c r="P43" s="85">
        <v>4.0025162242459593E-4</v>
      </c>
      <c r="Q43" s="85">
        <v>0.10455491761564055</v>
      </c>
      <c r="R43" s="85">
        <f>O43/'סכום נכסי הקרן'!$C$42</f>
        <v>2.8948085936592781E-2</v>
      </c>
    </row>
    <row r="44" spans="2:18">
      <c r="B44" s="76" t="s">
        <v>299</v>
      </c>
      <c r="C44" s="74" t="s">
        <v>300</v>
      </c>
      <c r="D44" s="87" t="s">
        <v>111</v>
      </c>
      <c r="E44" s="74" t="s">
        <v>252</v>
      </c>
      <c r="F44" s="74"/>
      <c r="G44" s="74"/>
      <c r="H44" s="84">
        <v>2.6299999999993919</v>
      </c>
      <c r="I44" s="87" t="s">
        <v>155</v>
      </c>
      <c r="J44" s="88">
        <v>1.2500000000000001E-2</v>
      </c>
      <c r="K44" s="85">
        <v>4.3999999999951925E-3</v>
      </c>
      <c r="L44" s="84">
        <v>1378710.4330279999</v>
      </c>
      <c r="M44" s="86">
        <v>102.56</v>
      </c>
      <c r="N44" s="74"/>
      <c r="O44" s="84">
        <v>1414.0053955219998</v>
      </c>
      <c r="P44" s="85">
        <v>1.1866793783777527E-4</v>
      </c>
      <c r="Q44" s="85">
        <v>1.7552728365585888E-2</v>
      </c>
      <c r="R44" s="85">
        <f>O44/'סכום נכסי הקרן'!$C$42</f>
        <v>4.85981817724315E-3</v>
      </c>
    </row>
    <row r="45" spans="2:18">
      <c r="B45" s="76" t="s">
        <v>301</v>
      </c>
      <c r="C45" s="74" t="s">
        <v>302</v>
      </c>
      <c r="D45" s="87" t="s">
        <v>111</v>
      </c>
      <c r="E45" s="74" t="s">
        <v>252</v>
      </c>
      <c r="F45" s="74"/>
      <c r="G45" s="74"/>
      <c r="H45" s="84">
        <v>3.580000000000553</v>
      </c>
      <c r="I45" s="87" t="s">
        <v>155</v>
      </c>
      <c r="J45" s="88">
        <v>1.4999999999999999E-2</v>
      </c>
      <c r="K45" s="85">
        <v>5.2000000000017466E-3</v>
      </c>
      <c r="L45" s="84">
        <v>3302429.0805339999</v>
      </c>
      <c r="M45" s="86">
        <v>104.07</v>
      </c>
      <c r="N45" s="74"/>
      <c r="O45" s="84">
        <v>3436.8379395450002</v>
      </c>
      <c r="P45" s="85">
        <v>1.9637254396202261E-4</v>
      </c>
      <c r="Q45" s="85">
        <v>4.2663120650330434E-2</v>
      </c>
      <c r="R45" s="85">
        <f>O45/'סכום נכסי הקרן'!$C$42</f>
        <v>1.1812124298630248E-2</v>
      </c>
    </row>
    <row r="46" spans="2:18">
      <c r="B46" s="76" t="s">
        <v>303</v>
      </c>
      <c r="C46" s="74" t="s">
        <v>304</v>
      </c>
      <c r="D46" s="87" t="s">
        <v>111</v>
      </c>
      <c r="E46" s="74" t="s">
        <v>252</v>
      </c>
      <c r="F46" s="74"/>
      <c r="G46" s="74"/>
      <c r="H46" s="84">
        <v>0.84000000000201813</v>
      </c>
      <c r="I46" s="87" t="s">
        <v>155</v>
      </c>
      <c r="J46" s="88">
        <v>5.0000000000000001E-3</v>
      </c>
      <c r="K46" s="85">
        <v>2.3999999999977568E-3</v>
      </c>
      <c r="L46" s="84">
        <v>177832.79766800001</v>
      </c>
      <c r="M46" s="86">
        <v>100.3</v>
      </c>
      <c r="N46" s="74"/>
      <c r="O46" s="84">
        <v>178.36629919600003</v>
      </c>
      <c r="P46" s="85">
        <v>1.1367602635570098E-5</v>
      </c>
      <c r="Q46" s="85">
        <v>2.2141465720549283E-3</v>
      </c>
      <c r="R46" s="85">
        <f>O46/'סכום נכסי הקרן'!$C$42</f>
        <v>6.1303003919607366E-4</v>
      </c>
    </row>
    <row r="47" spans="2:18">
      <c r="B47" s="76" t="s">
        <v>305</v>
      </c>
      <c r="C47" s="74" t="s">
        <v>306</v>
      </c>
      <c r="D47" s="87" t="s">
        <v>111</v>
      </c>
      <c r="E47" s="74" t="s">
        <v>252</v>
      </c>
      <c r="F47" s="74"/>
      <c r="G47" s="74"/>
      <c r="H47" s="84">
        <v>1.7899999999999148</v>
      </c>
      <c r="I47" s="87" t="s">
        <v>155</v>
      </c>
      <c r="J47" s="88">
        <v>5.5E-2</v>
      </c>
      <c r="K47" s="85">
        <v>3.6000000000014627E-3</v>
      </c>
      <c r="L47" s="84">
        <v>1487599.4695379999</v>
      </c>
      <c r="M47" s="86">
        <v>110.31</v>
      </c>
      <c r="N47" s="74"/>
      <c r="O47" s="84">
        <v>1640.9709687659999</v>
      </c>
      <c r="P47" s="85">
        <v>8.3943032343355729E-5</v>
      </c>
      <c r="Q47" s="85">
        <v>2.037016107702241E-2</v>
      </c>
      <c r="R47" s="85">
        <f>O47/'סכום נכסי הקרן'!$C$42</f>
        <v>5.639879853070357E-3</v>
      </c>
    </row>
    <row r="48" spans="2:18">
      <c r="B48" s="76" t="s">
        <v>307</v>
      </c>
      <c r="C48" s="74" t="s">
        <v>308</v>
      </c>
      <c r="D48" s="87" t="s">
        <v>111</v>
      </c>
      <c r="E48" s="74" t="s">
        <v>252</v>
      </c>
      <c r="F48" s="74"/>
      <c r="G48" s="74"/>
      <c r="H48" s="84">
        <v>15.119999999999745</v>
      </c>
      <c r="I48" s="87" t="s">
        <v>155</v>
      </c>
      <c r="J48" s="88">
        <v>5.5E-2</v>
      </c>
      <c r="K48" s="85">
        <v>1.8899999999999476E-2</v>
      </c>
      <c r="L48" s="84">
        <v>3670281.3312929999</v>
      </c>
      <c r="M48" s="86">
        <v>165.1</v>
      </c>
      <c r="N48" s="74"/>
      <c r="O48" s="84">
        <v>6059.6344628879997</v>
      </c>
      <c r="P48" s="85">
        <v>2.0074143560434895E-4</v>
      </c>
      <c r="Q48" s="85">
        <v>7.5221154076679161E-2</v>
      </c>
      <c r="R48" s="85">
        <f>O48/'סכום נכסי הקרן'!$C$42</f>
        <v>2.0826456393626933E-2</v>
      </c>
    </row>
    <row r="49" spans="2:18">
      <c r="B49" s="76" t="s">
        <v>309</v>
      </c>
      <c r="C49" s="74" t="s">
        <v>310</v>
      </c>
      <c r="D49" s="87" t="s">
        <v>111</v>
      </c>
      <c r="E49" s="74" t="s">
        <v>252</v>
      </c>
      <c r="F49" s="74"/>
      <c r="G49" s="74"/>
      <c r="H49" s="84">
        <v>2.8799999999998258</v>
      </c>
      <c r="I49" s="87" t="s">
        <v>155</v>
      </c>
      <c r="J49" s="88">
        <v>4.2500000000000003E-2</v>
      </c>
      <c r="K49" s="85">
        <v>4.8999999999980379E-3</v>
      </c>
      <c r="L49" s="84">
        <v>2062854.7441640003</v>
      </c>
      <c r="M49" s="86">
        <v>111.16</v>
      </c>
      <c r="N49" s="74"/>
      <c r="O49" s="84">
        <v>2293.0693336049999</v>
      </c>
      <c r="P49" s="85">
        <v>1.2190956875918188E-4</v>
      </c>
      <c r="Q49" s="85">
        <v>2.8464971395222222E-2</v>
      </c>
      <c r="R49" s="85">
        <f>O49/'סכום נכסי הקרן'!$C$42</f>
        <v>7.881087345510792E-3</v>
      </c>
    </row>
    <row r="50" spans="2:18">
      <c r="B50" s="76" t="s">
        <v>311</v>
      </c>
      <c r="C50" s="74" t="s">
        <v>312</v>
      </c>
      <c r="D50" s="87" t="s">
        <v>111</v>
      </c>
      <c r="E50" s="74" t="s">
        <v>252</v>
      </c>
      <c r="F50" s="74"/>
      <c r="G50" s="74"/>
      <c r="H50" s="84">
        <v>6.6199999999996813</v>
      </c>
      <c r="I50" s="87" t="s">
        <v>155</v>
      </c>
      <c r="J50" s="88">
        <v>0.02</v>
      </c>
      <c r="K50" s="85">
        <v>8.8999999999999444E-3</v>
      </c>
      <c r="L50" s="84">
        <v>1695343.334241</v>
      </c>
      <c r="M50" s="86">
        <v>107.5</v>
      </c>
      <c r="N50" s="74"/>
      <c r="O50" s="84">
        <v>1822.4940843090001</v>
      </c>
      <c r="P50" s="85">
        <v>1.0410092512961904E-4</v>
      </c>
      <c r="Q50" s="85">
        <v>2.2623494727156683E-2</v>
      </c>
      <c r="R50" s="85">
        <f>O50/'סכום נכסי הקרן'!$C$42</f>
        <v>6.2637596057922452E-3</v>
      </c>
    </row>
    <row r="51" spans="2:18">
      <c r="B51" s="76" t="s">
        <v>313</v>
      </c>
      <c r="C51" s="74" t="s">
        <v>314</v>
      </c>
      <c r="D51" s="87" t="s">
        <v>111</v>
      </c>
      <c r="E51" s="74" t="s">
        <v>252</v>
      </c>
      <c r="F51" s="74"/>
      <c r="G51" s="74"/>
      <c r="H51" s="84">
        <v>9.5700000000023255</v>
      </c>
      <c r="I51" s="87" t="s">
        <v>155</v>
      </c>
      <c r="J51" s="88">
        <v>0.01</v>
      </c>
      <c r="K51" s="85">
        <v>1.0700000000003713E-2</v>
      </c>
      <c r="L51" s="84">
        <v>1030880.9064</v>
      </c>
      <c r="M51" s="86">
        <v>99.3</v>
      </c>
      <c r="N51" s="74"/>
      <c r="O51" s="84">
        <v>1023.664737266</v>
      </c>
      <c r="P51" s="85">
        <v>1.9096151364208084E-4</v>
      </c>
      <c r="Q51" s="85">
        <v>1.2707242226629386E-2</v>
      </c>
      <c r="R51" s="85">
        <f>O51/'סכום נכסי הקרן'!$C$42</f>
        <v>3.5182500104475305E-3</v>
      </c>
    </row>
    <row r="52" spans="2:18">
      <c r="B52" s="76" t="s">
        <v>315</v>
      </c>
      <c r="C52" s="74" t="s">
        <v>316</v>
      </c>
      <c r="D52" s="87" t="s">
        <v>111</v>
      </c>
      <c r="E52" s="74" t="s">
        <v>252</v>
      </c>
      <c r="F52" s="74"/>
      <c r="G52" s="74"/>
      <c r="H52" s="84">
        <v>1.0699999999950047</v>
      </c>
      <c r="I52" s="87" t="s">
        <v>155</v>
      </c>
      <c r="J52" s="88">
        <v>0.01</v>
      </c>
      <c r="K52" s="85">
        <v>2.5000000000000001E-3</v>
      </c>
      <c r="L52" s="84">
        <v>39357.240844</v>
      </c>
      <c r="M52" s="86">
        <v>101.73</v>
      </c>
      <c r="N52" s="74"/>
      <c r="O52" s="84">
        <v>40.038122860000001</v>
      </c>
      <c r="P52" s="85">
        <v>2.6643908206926116E-6</v>
      </c>
      <c r="Q52" s="85">
        <v>4.9701245628563841E-4</v>
      </c>
      <c r="R52" s="85">
        <f>O52/'סכום נכסי הקרן'!$C$42</f>
        <v>1.3760767665663067E-4</v>
      </c>
    </row>
    <row r="53" spans="2:18">
      <c r="B53" s="76" t="s">
        <v>317</v>
      </c>
      <c r="C53" s="74" t="s">
        <v>318</v>
      </c>
      <c r="D53" s="87" t="s">
        <v>111</v>
      </c>
      <c r="E53" s="74" t="s">
        <v>252</v>
      </c>
      <c r="F53" s="74"/>
      <c r="G53" s="74"/>
      <c r="H53" s="84">
        <v>2.3100000000009193</v>
      </c>
      <c r="I53" s="87" t="s">
        <v>155</v>
      </c>
      <c r="J53" s="88">
        <v>7.4999999999999997E-3</v>
      </c>
      <c r="K53" s="85">
        <v>4.1000000000038896E-3</v>
      </c>
      <c r="L53" s="84">
        <v>1116632.012784</v>
      </c>
      <c r="M53" s="86">
        <v>101.3</v>
      </c>
      <c r="N53" s="74"/>
      <c r="O53" s="84">
        <v>1131.1482274160001</v>
      </c>
      <c r="P53" s="85">
        <v>1.0784215945309E-4</v>
      </c>
      <c r="Q53" s="85">
        <v>1.4041486432742618E-2</v>
      </c>
      <c r="R53" s="85">
        <f>O53/'סכום נכסי הקרן'!$C$42</f>
        <v>3.8876617685912628E-3</v>
      </c>
    </row>
    <row r="54" spans="2:18">
      <c r="B54" s="76" t="s">
        <v>319</v>
      </c>
      <c r="C54" s="74" t="s">
        <v>320</v>
      </c>
      <c r="D54" s="87" t="s">
        <v>111</v>
      </c>
      <c r="E54" s="74" t="s">
        <v>252</v>
      </c>
      <c r="F54" s="74"/>
      <c r="G54" s="74"/>
      <c r="H54" s="84">
        <v>5.1700000000001713</v>
      </c>
      <c r="I54" s="87" t="s">
        <v>155</v>
      </c>
      <c r="J54" s="88">
        <v>1.7500000000000002E-2</v>
      </c>
      <c r="K54" s="85">
        <v>7.3999999999996178E-3</v>
      </c>
      <c r="L54" s="84">
        <v>5413314.7942970004</v>
      </c>
      <c r="M54" s="86">
        <v>106.39</v>
      </c>
      <c r="N54" s="74"/>
      <c r="O54" s="84">
        <v>5759.225713453</v>
      </c>
      <c r="P54" s="85">
        <v>2.7751386613531127E-4</v>
      </c>
      <c r="Q54" s="85">
        <v>7.1492035931743581E-2</v>
      </c>
      <c r="R54" s="85">
        <f>O54/'סכום נכסי הקרן'!$C$42</f>
        <v>1.9793976669199759E-2</v>
      </c>
    </row>
    <row r="55" spans="2:18">
      <c r="B55" s="76" t="s">
        <v>321</v>
      </c>
      <c r="C55" s="74" t="s">
        <v>322</v>
      </c>
      <c r="D55" s="87" t="s">
        <v>111</v>
      </c>
      <c r="E55" s="74" t="s">
        <v>252</v>
      </c>
      <c r="F55" s="74"/>
      <c r="G55" s="74"/>
      <c r="H55" s="84">
        <v>7.7899999999844773</v>
      </c>
      <c r="I55" s="87" t="s">
        <v>155</v>
      </c>
      <c r="J55" s="88">
        <v>2.2499999999999999E-2</v>
      </c>
      <c r="K55" s="85">
        <v>1.0100000000002858E-2</v>
      </c>
      <c r="L55" s="84">
        <v>188886.90367199999</v>
      </c>
      <c r="M55" s="86">
        <v>111.19</v>
      </c>
      <c r="N55" s="74"/>
      <c r="O55" s="84">
        <v>210.02334169400001</v>
      </c>
      <c r="P55" s="85">
        <v>1.2128108134492515E-5</v>
      </c>
      <c r="Q55" s="85">
        <v>2.607120650926862E-3</v>
      </c>
      <c r="R55" s="85">
        <f>O55/'סכום נכסי הקרן'!$C$42</f>
        <v>7.2183264423333687E-4</v>
      </c>
    </row>
    <row r="56" spans="2:18">
      <c r="B56" s="77"/>
      <c r="C56" s="74"/>
      <c r="D56" s="74"/>
      <c r="E56" s="74"/>
      <c r="F56" s="74"/>
      <c r="G56" s="74"/>
      <c r="H56" s="74"/>
      <c r="I56" s="74"/>
      <c r="J56" s="74"/>
      <c r="K56" s="85"/>
      <c r="L56" s="84"/>
      <c r="M56" s="86"/>
      <c r="N56" s="74"/>
      <c r="O56" s="74"/>
      <c r="P56" s="74"/>
      <c r="Q56" s="85"/>
      <c r="R56" s="74"/>
    </row>
    <row r="57" spans="2:18">
      <c r="B57" s="71" t="s">
        <v>220</v>
      </c>
      <c r="C57" s="72"/>
      <c r="D57" s="72"/>
      <c r="E57" s="72"/>
      <c r="F57" s="72"/>
      <c r="G57" s="72"/>
      <c r="H57" s="81">
        <v>18.749999999998181</v>
      </c>
      <c r="I57" s="72"/>
      <c r="J57" s="72"/>
      <c r="K57" s="82">
        <v>3.4899999999996364E-2</v>
      </c>
      <c r="L57" s="81"/>
      <c r="M57" s="83"/>
      <c r="N57" s="72"/>
      <c r="O57" s="81">
        <v>549.82266068000001</v>
      </c>
      <c r="P57" s="72"/>
      <c r="Q57" s="82">
        <v>6.8252128617917905E-3</v>
      </c>
      <c r="R57" s="82">
        <f>O57/'סכום נכסי הקרן'!$C$42</f>
        <v>1.8896944588011537E-3</v>
      </c>
    </row>
    <row r="58" spans="2:18" s="90" customFormat="1">
      <c r="B58" s="110" t="s">
        <v>57</v>
      </c>
      <c r="C58" s="111"/>
      <c r="D58" s="111"/>
      <c r="E58" s="111"/>
      <c r="F58" s="111"/>
      <c r="G58" s="111"/>
      <c r="H58" s="112">
        <v>18.749999999998181</v>
      </c>
      <c r="I58" s="111"/>
      <c r="J58" s="111"/>
      <c r="K58" s="113">
        <v>3.4899999999996364E-2</v>
      </c>
      <c r="L58" s="112"/>
      <c r="M58" s="114"/>
      <c r="N58" s="111"/>
      <c r="O58" s="112">
        <v>549.82266068000001</v>
      </c>
      <c r="P58" s="111"/>
      <c r="Q58" s="113">
        <v>6.8252128617917905E-3</v>
      </c>
      <c r="R58" s="113">
        <f>O58/'סכום נכסי הקרן'!$C$42</f>
        <v>1.8896944588011537E-3</v>
      </c>
    </row>
    <row r="59" spans="2:18">
      <c r="B59" s="76" t="s">
        <v>323</v>
      </c>
      <c r="C59" s="74" t="s">
        <v>324</v>
      </c>
      <c r="D59" s="87" t="s">
        <v>27</v>
      </c>
      <c r="E59" s="74" t="s">
        <v>325</v>
      </c>
      <c r="F59" s="74" t="s">
        <v>326</v>
      </c>
      <c r="G59" s="74"/>
      <c r="H59" s="84">
        <v>18.749999999998181</v>
      </c>
      <c r="I59" s="87" t="s">
        <v>154</v>
      </c>
      <c r="J59" s="88">
        <v>3.3750000000000002E-2</v>
      </c>
      <c r="K59" s="85">
        <v>3.4899999999996364E-2</v>
      </c>
      <c r="L59" s="84">
        <v>157181.92180000001</v>
      </c>
      <c r="M59" s="86">
        <v>98.120699999999999</v>
      </c>
      <c r="N59" s="74"/>
      <c r="O59" s="84">
        <v>549.82266068000001</v>
      </c>
      <c r="P59" s="85">
        <v>7.8590960900000009E-5</v>
      </c>
      <c r="Q59" s="85">
        <v>6.8252128617917905E-3</v>
      </c>
      <c r="R59" s="85">
        <f>O59/'סכום נכסי הקרן'!$C$42</f>
        <v>1.8896944588011537E-3</v>
      </c>
    </row>
    <row r="60" spans="2:18">
      <c r="C60" s="1"/>
      <c r="D60" s="1"/>
    </row>
    <row r="61" spans="2:18">
      <c r="C61" s="1"/>
      <c r="D61" s="1"/>
    </row>
    <row r="62" spans="2:18">
      <c r="C62" s="1"/>
      <c r="D62" s="1"/>
    </row>
    <row r="63" spans="2:18">
      <c r="B63" s="89" t="s">
        <v>103</v>
      </c>
      <c r="C63" s="90"/>
      <c r="D63" s="90"/>
    </row>
    <row r="64" spans="2:18">
      <c r="B64" s="89" t="s">
        <v>222</v>
      </c>
      <c r="C64" s="90"/>
      <c r="D64" s="90"/>
    </row>
    <row r="65" spans="2:4">
      <c r="B65" s="143" t="s">
        <v>230</v>
      </c>
      <c r="C65" s="143"/>
      <c r="D65" s="143"/>
    </row>
    <row r="66" spans="2:4">
      <c r="C66" s="1"/>
      <c r="D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sheetProtection sheet="1" objects="1" scenarios="1"/>
  <mergeCells count="3">
    <mergeCell ref="B6:R6"/>
    <mergeCell ref="B7:R7"/>
    <mergeCell ref="B65:D65"/>
  </mergeCells>
  <phoneticPr fontId="3" type="noConversion"/>
  <dataValidations count="1">
    <dataValidation allowBlank="1" showInputMessage="1" showErrorMessage="1" sqref="N10:Q10 N9 N1:N7 C5:C29 O1:Q9 E1:I30 D1:D29 AG1:AI27 C66:D1048576 C32:D64 E32:I1048576 A1:B1048576 AG31:AI1048576 AJ1:XFD1048576 R1:AF1048576 J1:M1048576 O11:Q1048576 N32:N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170</v>
      </c>
      <c r="C1" s="68" t="s" vm="1">
        <v>247</v>
      </c>
    </row>
    <row r="2" spans="2:18">
      <c r="B2" s="47" t="s">
        <v>169</v>
      </c>
      <c r="C2" s="68" t="s">
        <v>248</v>
      </c>
    </row>
    <row r="3" spans="2:18">
      <c r="B3" s="47" t="s">
        <v>171</v>
      </c>
      <c r="C3" s="68" t="s">
        <v>249</v>
      </c>
    </row>
    <row r="4" spans="2:18">
      <c r="B4" s="47" t="s">
        <v>172</v>
      </c>
      <c r="C4" s="68">
        <v>2144</v>
      </c>
    </row>
    <row r="6" spans="2:18" ht="26.25" customHeight="1">
      <c r="B6" s="134" t="s">
        <v>213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6"/>
    </row>
    <row r="7" spans="2:18" s="3" customFormat="1" ht="78.75">
      <c r="B7" s="22" t="s">
        <v>107</v>
      </c>
      <c r="C7" s="30" t="s">
        <v>41</v>
      </c>
      <c r="D7" s="30" t="s">
        <v>60</v>
      </c>
      <c r="E7" s="30" t="s">
        <v>14</v>
      </c>
      <c r="F7" s="30" t="s">
        <v>61</v>
      </c>
      <c r="G7" s="30" t="s">
        <v>95</v>
      </c>
      <c r="H7" s="30" t="s">
        <v>17</v>
      </c>
      <c r="I7" s="30" t="s">
        <v>94</v>
      </c>
      <c r="J7" s="30" t="s">
        <v>16</v>
      </c>
      <c r="K7" s="30" t="s">
        <v>208</v>
      </c>
      <c r="L7" s="30" t="s">
        <v>224</v>
      </c>
      <c r="M7" s="30" t="s">
        <v>209</v>
      </c>
      <c r="N7" s="30" t="s">
        <v>53</v>
      </c>
      <c r="O7" s="30" t="s">
        <v>173</v>
      </c>
      <c r="P7" s="31" t="s">
        <v>175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231</v>
      </c>
      <c r="M8" s="32" t="s">
        <v>227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5"/>
    </row>
    <row r="11" spans="2:18" ht="20.25" customHeight="1">
      <c r="B11" s="89" t="s">
        <v>240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2:18">
      <c r="B12" s="89" t="s">
        <v>103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2:18">
      <c r="B13" s="89" t="s">
        <v>230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</row>
    <row r="14" spans="2:18"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</row>
    <row r="15" spans="2:18"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2:18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2:23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</row>
    <row r="18" spans="2:23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2:23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2:23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2:23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2:23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2:23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</row>
    <row r="24" spans="2:23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</row>
    <row r="25" spans="2:23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</row>
    <row r="26" spans="2:23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</row>
    <row r="27" spans="2:23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</row>
    <row r="28" spans="2:23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</row>
    <row r="29" spans="2:23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</row>
    <row r="30" spans="2:23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</row>
    <row r="31" spans="2:23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2"/>
      <c r="R31" s="2"/>
      <c r="S31" s="2"/>
      <c r="T31" s="2"/>
      <c r="U31" s="2"/>
      <c r="V31" s="2"/>
      <c r="W31" s="2"/>
    </row>
    <row r="32" spans="2:23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2"/>
      <c r="R32" s="2"/>
      <c r="S32" s="2"/>
      <c r="T32" s="2"/>
      <c r="U32" s="2"/>
      <c r="V32" s="2"/>
      <c r="W32" s="2"/>
    </row>
    <row r="33" spans="2:23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2"/>
      <c r="R33" s="2"/>
      <c r="S33" s="2"/>
      <c r="T33" s="2"/>
      <c r="U33" s="2"/>
      <c r="V33" s="2"/>
      <c r="W33" s="2"/>
    </row>
    <row r="34" spans="2:23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2"/>
      <c r="R34" s="2"/>
      <c r="S34" s="2"/>
      <c r="T34" s="2"/>
      <c r="U34" s="2"/>
      <c r="V34" s="2"/>
      <c r="W34" s="2"/>
    </row>
    <row r="35" spans="2:23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2"/>
      <c r="R35" s="2"/>
      <c r="S35" s="2"/>
      <c r="T35" s="2"/>
      <c r="U35" s="2"/>
      <c r="V35" s="2"/>
      <c r="W35" s="2"/>
    </row>
    <row r="36" spans="2:23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2"/>
      <c r="R36" s="2"/>
      <c r="S36" s="2"/>
      <c r="T36" s="2"/>
      <c r="U36" s="2"/>
      <c r="V36" s="2"/>
      <c r="W36" s="2"/>
    </row>
    <row r="37" spans="2:23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2"/>
      <c r="R37" s="2"/>
      <c r="S37" s="2"/>
      <c r="T37" s="2"/>
      <c r="U37" s="2"/>
      <c r="V37" s="2"/>
      <c r="W37" s="2"/>
    </row>
    <row r="38" spans="2:23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2"/>
      <c r="R38" s="2"/>
      <c r="S38" s="2"/>
      <c r="T38" s="2"/>
      <c r="U38" s="2"/>
      <c r="V38" s="2"/>
      <c r="W38" s="2"/>
    </row>
    <row r="39" spans="2:23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2"/>
      <c r="R39" s="2"/>
      <c r="S39" s="2"/>
      <c r="T39" s="2"/>
      <c r="U39" s="2"/>
      <c r="V39" s="2"/>
      <c r="W39" s="2"/>
    </row>
    <row r="40" spans="2:23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2"/>
      <c r="R40" s="2"/>
      <c r="S40" s="2"/>
      <c r="T40" s="2"/>
      <c r="U40" s="2"/>
      <c r="V40" s="2"/>
      <c r="W40" s="2"/>
    </row>
    <row r="41" spans="2:23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2"/>
      <c r="R41" s="2"/>
      <c r="S41" s="2"/>
      <c r="T41" s="2"/>
      <c r="U41" s="2"/>
      <c r="V41" s="2"/>
      <c r="W41" s="2"/>
    </row>
    <row r="42" spans="2:23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2"/>
      <c r="R42" s="2"/>
      <c r="S42" s="2"/>
      <c r="T42" s="2"/>
      <c r="U42" s="2"/>
      <c r="V42" s="2"/>
      <c r="W42" s="2"/>
    </row>
    <row r="43" spans="2:23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2:23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</row>
    <row r="45" spans="2:23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</row>
    <row r="46" spans="2:23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</row>
    <row r="47" spans="2:23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</row>
    <row r="48" spans="2:23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</row>
    <row r="49" spans="2:16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</row>
    <row r="50" spans="2:16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1" spans="2:16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</row>
    <row r="52" spans="2:16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</row>
    <row r="53" spans="2:16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</row>
    <row r="54" spans="2:16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  <row r="55" spans="2:16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</row>
    <row r="56" spans="2:16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</row>
    <row r="57" spans="2:16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</row>
    <row r="58" spans="2:16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</row>
    <row r="59" spans="2:16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2:16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2:16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</row>
    <row r="62" spans="2:16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</row>
    <row r="63" spans="2:16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</row>
    <row r="64" spans="2:16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</row>
    <row r="65" spans="2:16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</row>
    <row r="66" spans="2:16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</row>
    <row r="67" spans="2:16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</row>
    <row r="68" spans="2:16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</row>
    <row r="69" spans="2:16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2:16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</row>
    <row r="71" spans="2:16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</row>
    <row r="72" spans="2:16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</row>
    <row r="73" spans="2:16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</row>
    <row r="74" spans="2:16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</row>
    <row r="75" spans="2:16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</row>
    <row r="76" spans="2:16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</row>
    <row r="77" spans="2:16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</row>
    <row r="78" spans="2:16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</row>
    <row r="79" spans="2:16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</row>
    <row r="80" spans="2:16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</row>
    <row r="81" spans="2:16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</row>
    <row r="82" spans="2:16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</row>
    <row r="83" spans="2:16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</row>
    <row r="84" spans="2:16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</row>
    <row r="85" spans="2:16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</row>
    <row r="86" spans="2:16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</row>
    <row r="87" spans="2:16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</row>
    <row r="88" spans="2:16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</row>
    <row r="89" spans="2:16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</row>
    <row r="90" spans="2:16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</row>
    <row r="91" spans="2:16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</row>
    <row r="92" spans="2:16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</row>
    <row r="93" spans="2:16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</row>
    <row r="94" spans="2:16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</row>
    <row r="95" spans="2:16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</row>
    <row r="96" spans="2:16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</row>
    <row r="97" spans="2:16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</row>
    <row r="98" spans="2:16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</row>
    <row r="99" spans="2:16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</row>
    <row r="100" spans="2:16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</row>
    <row r="101" spans="2:16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</row>
    <row r="102" spans="2:16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</row>
    <row r="103" spans="2:16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</row>
    <row r="104" spans="2:16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</row>
    <row r="105" spans="2:16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</row>
    <row r="106" spans="2:16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</row>
    <row r="107" spans="2:16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</row>
    <row r="108" spans="2:16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</row>
    <row r="109" spans="2:16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170</v>
      </c>
      <c r="C1" s="68" t="s" vm="1">
        <v>247</v>
      </c>
    </row>
    <row r="2" spans="2:67">
      <c r="B2" s="47" t="s">
        <v>169</v>
      </c>
      <c r="C2" s="68" t="s">
        <v>248</v>
      </c>
    </row>
    <row r="3" spans="2:67">
      <c r="B3" s="47" t="s">
        <v>171</v>
      </c>
      <c r="C3" s="68" t="s">
        <v>249</v>
      </c>
    </row>
    <row r="4" spans="2:67">
      <c r="B4" s="47" t="s">
        <v>172</v>
      </c>
      <c r="C4" s="68">
        <v>2144</v>
      </c>
    </row>
    <row r="6" spans="2:67" ht="26.25" customHeight="1">
      <c r="B6" s="140" t="s">
        <v>200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BO6" s="3"/>
    </row>
    <row r="7" spans="2:67" ht="26.25" customHeight="1">
      <c r="B7" s="140" t="s">
        <v>81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5"/>
      <c r="AZ7" s="42"/>
      <c r="BJ7" s="3"/>
      <c r="BO7" s="3"/>
    </row>
    <row r="8" spans="2:67" s="3" customFormat="1" ht="78.75">
      <c r="B8" s="37" t="s">
        <v>106</v>
      </c>
      <c r="C8" s="13" t="s">
        <v>41</v>
      </c>
      <c r="D8" s="13" t="s">
        <v>110</v>
      </c>
      <c r="E8" s="13" t="s">
        <v>216</v>
      </c>
      <c r="F8" s="13" t="s">
        <v>108</v>
      </c>
      <c r="G8" s="13" t="s">
        <v>60</v>
      </c>
      <c r="H8" s="13" t="s">
        <v>14</v>
      </c>
      <c r="I8" s="13" t="s">
        <v>61</v>
      </c>
      <c r="J8" s="13" t="s">
        <v>95</v>
      </c>
      <c r="K8" s="13" t="s">
        <v>17</v>
      </c>
      <c r="L8" s="13" t="s">
        <v>94</v>
      </c>
      <c r="M8" s="13" t="s">
        <v>16</v>
      </c>
      <c r="N8" s="13" t="s">
        <v>18</v>
      </c>
      <c r="O8" s="13" t="s">
        <v>224</v>
      </c>
      <c r="P8" s="13" t="s">
        <v>223</v>
      </c>
      <c r="Q8" s="13" t="s">
        <v>56</v>
      </c>
      <c r="R8" s="13" t="s">
        <v>53</v>
      </c>
      <c r="S8" s="13" t="s">
        <v>173</v>
      </c>
      <c r="T8" s="38" t="s">
        <v>175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231</v>
      </c>
      <c r="P9" s="16"/>
      <c r="Q9" s="16" t="s">
        <v>227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104</v>
      </c>
      <c r="R10" s="19" t="s">
        <v>105</v>
      </c>
      <c r="S10" s="44" t="s">
        <v>176</v>
      </c>
      <c r="T10" s="61" t="s">
        <v>217</v>
      </c>
      <c r="U10" s="5"/>
      <c r="BJ10" s="1"/>
      <c r="BK10" s="3"/>
      <c r="BL10" s="1"/>
      <c r="BO10" s="1"/>
    </row>
    <row r="11" spans="2:67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5"/>
      <c r="BJ11" s="1"/>
      <c r="BK11" s="3"/>
      <c r="BL11" s="1"/>
      <c r="BO11" s="1"/>
    </row>
    <row r="12" spans="2:67" ht="20.25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BK12" s="4"/>
    </row>
    <row r="13" spans="2:67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2:67">
      <c r="B14" s="89" t="s">
        <v>222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</row>
    <row r="15" spans="2:67">
      <c r="B15" s="89" t="s">
        <v>230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</row>
    <row r="16" spans="2:67" ht="20.25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BJ16" s="4"/>
    </row>
    <row r="17" spans="2:20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</row>
    <row r="18" spans="2:20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</row>
    <row r="19" spans="2:20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</row>
    <row r="20" spans="2:20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</row>
    <row r="21" spans="2:20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</row>
    <row r="22" spans="2:20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</row>
    <row r="23" spans="2:20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</row>
    <row r="24" spans="2:20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</row>
    <row r="25" spans="2:20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</row>
    <row r="26" spans="2:20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</row>
    <row r="27" spans="2:20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</row>
    <row r="28" spans="2:20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</row>
    <row r="29" spans="2:20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</row>
    <row r="30" spans="2:20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</row>
    <row r="31" spans="2:20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2:20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2:20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</row>
    <row r="34" spans="2:20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</row>
    <row r="35" spans="2:20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</row>
    <row r="36" spans="2:20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</row>
    <row r="37" spans="2:20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</row>
    <row r="38" spans="2:20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</row>
    <row r="39" spans="2:20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</row>
    <row r="40" spans="2:20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</row>
    <row r="41" spans="2:20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</row>
    <row r="42" spans="2:20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</row>
    <row r="43" spans="2:20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</row>
    <row r="44" spans="2:20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</row>
    <row r="45" spans="2:20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</row>
    <row r="46" spans="2:20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</row>
    <row r="47" spans="2:20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</row>
    <row r="48" spans="2:20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</row>
    <row r="49" spans="2:20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</row>
    <row r="50" spans="2:20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</row>
    <row r="51" spans="2:20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</row>
    <row r="52" spans="2:20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2:20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2:20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</row>
    <row r="55" spans="2:20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</row>
    <row r="56" spans="2:20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</row>
    <row r="57" spans="2:20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</row>
    <row r="58" spans="2:20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</row>
    <row r="59" spans="2:20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</row>
    <row r="60" spans="2:20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</row>
    <row r="61" spans="2:20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</row>
    <row r="62" spans="2:20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</row>
    <row r="63" spans="2:20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2:20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2:20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2:20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2:20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2:20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2:20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2:20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2:20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2:20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2:20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2:20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2:20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2:20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2:20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2:20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2:20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2:20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2:20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2:20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2:20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2:20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2:20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1"/>
    </row>
    <row r="86" spans="2:20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</row>
    <row r="87" spans="2:20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</row>
    <row r="88" spans="2:20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</row>
    <row r="89" spans="2:20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</row>
    <row r="90" spans="2:20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</row>
    <row r="91" spans="2:20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</row>
    <row r="92" spans="2:20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</row>
    <row r="93" spans="2:20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1"/>
    </row>
    <row r="94" spans="2:20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</row>
    <row r="95" spans="2:20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</row>
    <row r="96" spans="2:20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</row>
    <row r="97" spans="2:20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</row>
    <row r="98" spans="2:20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</row>
    <row r="99" spans="2:20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</row>
    <row r="100" spans="2:20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</row>
    <row r="101" spans="2:20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</row>
    <row r="102" spans="2:20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</row>
    <row r="103" spans="2:20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</row>
    <row r="104" spans="2:20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</row>
    <row r="105" spans="2:20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</row>
    <row r="106" spans="2:20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</row>
    <row r="107" spans="2:20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  <c r="P107" s="91"/>
      <c r="Q107" s="91"/>
      <c r="R107" s="91"/>
      <c r="S107" s="91"/>
      <c r="T107" s="91"/>
    </row>
    <row r="108" spans="2:20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</row>
    <row r="109" spans="2:20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1"/>
    </row>
    <row r="110" spans="2:20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  <c r="P110" s="91"/>
      <c r="Q110" s="91"/>
      <c r="R110" s="91"/>
      <c r="S110" s="91"/>
      <c r="T110" s="9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X833"/>
  <sheetViews>
    <sheetView rightToLeft="1" zoomScale="80" zoomScaleNormal="80" workbookViewId="0">
      <selection activeCell="R14" sqref="R14"/>
    </sheetView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49.28515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42578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7.42578125" style="1" bestFit="1" customWidth="1"/>
    <col min="14" max="14" width="8.7109375" style="1" bestFit="1" customWidth="1"/>
    <col min="15" max="15" width="13.140625" style="1" bestFit="1" customWidth="1"/>
    <col min="16" max="16" width="13" style="1" bestFit="1" customWidth="1"/>
    <col min="17" max="17" width="8.28515625" style="1" bestFit="1" customWidth="1"/>
    <col min="18" max="18" width="11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6.42578125" style="1" customWidth="1"/>
    <col min="23" max="23" width="6.7109375" style="1" customWidth="1"/>
    <col min="24" max="24" width="7.28515625" style="1" customWidth="1"/>
    <col min="25" max="36" width="5.7109375" style="1" customWidth="1"/>
    <col min="37" max="16384" width="9.140625" style="1"/>
  </cols>
  <sheetData>
    <row r="1" spans="2:50">
      <c r="B1" s="47" t="s">
        <v>170</v>
      </c>
      <c r="C1" s="68" t="s" vm="1">
        <v>247</v>
      </c>
    </row>
    <row r="2" spans="2:50">
      <c r="B2" s="47" t="s">
        <v>169</v>
      </c>
      <c r="C2" s="68" t="s">
        <v>248</v>
      </c>
    </row>
    <row r="3" spans="2:50">
      <c r="B3" s="47" t="s">
        <v>171</v>
      </c>
      <c r="C3" s="68" t="s">
        <v>249</v>
      </c>
    </row>
    <row r="4" spans="2:50">
      <c r="B4" s="47" t="s">
        <v>172</v>
      </c>
      <c r="C4" s="68">
        <v>2144</v>
      </c>
    </row>
    <row r="6" spans="2:50" ht="26.25" customHeight="1">
      <c r="B6" s="134" t="s">
        <v>200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6"/>
    </row>
    <row r="7" spans="2:50" ht="26.25" customHeight="1">
      <c r="B7" s="134" t="s">
        <v>82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6"/>
      <c r="AX7" s="3"/>
    </row>
    <row r="8" spans="2:50" s="3" customFormat="1" ht="78.75">
      <c r="B8" s="22" t="s">
        <v>106</v>
      </c>
      <c r="C8" s="30" t="s">
        <v>41</v>
      </c>
      <c r="D8" s="30" t="s">
        <v>110</v>
      </c>
      <c r="E8" s="30" t="s">
        <v>216</v>
      </c>
      <c r="F8" s="30" t="s">
        <v>108</v>
      </c>
      <c r="G8" s="30" t="s">
        <v>60</v>
      </c>
      <c r="H8" s="30" t="s">
        <v>14</v>
      </c>
      <c r="I8" s="30" t="s">
        <v>61</v>
      </c>
      <c r="J8" s="30" t="s">
        <v>95</v>
      </c>
      <c r="K8" s="30" t="s">
        <v>17</v>
      </c>
      <c r="L8" s="30" t="s">
        <v>94</v>
      </c>
      <c r="M8" s="30" t="s">
        <v>16</v>
      </c>
      <c r="N8" s="30" t="s">
        <v>18</v>
      </c>
      <c r="O8" s="13" t="s">
        <v>224</v>
      </c>
      <c r="P8" s="30" t="s">
        <v>223</v>
      </c>
      <c r="Q8" s="30" t="s">
        <v>239</v>
      </c>
      <c r="R8" s="30" t="s">
        <v>56</v>
      </c>
      <c r="S8" s="13" t="s">
        <v>53</v>
      </c>
      <c r="T8" s="30" t="s">
        <v>173</v>
      </c>
      <c r="U8" s="14" t="s">
        <v>175</v>
      </c>
      <c r="AT8" s="1"/>
      <c r="AU8" s="1"/>
    </row>
    <row r="9" spans="2:50" s="3" customFormat="1" ht="20.2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231</v>
      </c>
      <c r="P9" s="32"/>
      <c r="Q9" s="16" t="s">
        <v>227</v>
      </c>
      <c r="R9" s="32" t="s">
        <v>227</v>
      </c>
      <c r="S9" s="16" t="s">
        <v>19</v>
      </c>
      <c r="T9" s="32" t="s">
        <v>227</v>
      </c>
      <c r="U9" s="17" t="s">
        <v>19</v>
      </c>
      <c r="AS9" s="1"/>
      <c r="AT9" s="1"/>
      <c r="AU9" s="1"/>
      <c r="AX9" s="4"/>
    </row>
    <row r="10" spans="2:5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104</v>
      </c>
      <c r="R10" s="19" t="s">
        <v>105</v>
      </c>
      <c r="S10" s="19" t="s">
        <v>176</v>
      </c>
      <c r="T10" s="19" t="s">
        <v>217</v>
      </c>
      <c r="U10" s="20" t="s">
        <v>233</v>
      </c>
      <c r="AS10" s="1"/>
      <c r="AT10" s="3"/>
      <c r="AU10" s="1"/>
    </row>
    <row r="11" spans="2:50" s="4" customFormat="1" ht="18" customHeight="1">
      <c r="B11" s="69" t="s">
        <v>30</v>
      </c>
      <c r="C11" s="70"/>
      <c r="D11" s="70"/>
      <c r="E11" s="70"/>
      <c r="F11" s="70"/>
      <c r="G11" s="70"/>
      <c r="H11" s="70"/>
      <c r="I11" s="70"/>
      <c r="J11" s="70"/>
      <c r="K11" s="78">
        <v>4.9020887468404126</v>
      </c>
      <c r="L11" s="70"/>
      <c r="M11" s="70"/>
      <c r="N11" s="93">
        <v>3.4638488869668096E-2</v>
      </c>
      <c r="O11" s="78"/>
      <c r="P11" s="80"/>
      <c r="Q11" s="78">
        <f>Q12</f>
        <v>162.79338799155968</v>
      </c>
      <c r="R11" s="78">
        <f>R12+R265</f>
        <v>83398.58600143902</v>
      </c>
      <c r="S11" s="70"/>
      <c r="T11" s="79">
        <f>R11/$R$11</f>
        <v>1</v>
      </c>
      <c r="U11" s="79">
        <f>R11/'סכום נכסי הקרן'!$C$42</f>
        <v>0.28663395874564296</v>
      </c>
      <c r="AS11" s="1"/>
      <c r="AT11" s="3"/>
      <c r="AU11" s="1"/>
      <c r="AX11" s="1"/>
    </row>
    <row r="12" spans="2:50">
      <c r="B12" s="71" t="s">
        <v>221</v>
      </c>
      <c r="C12" s="72"/>
      <c r="D12" s="72"/>
      <c r="E12" s="72"/>
      <c r="F12" s="72"/>
      <c r="G12" s="72"/>
      <c r="H12" s="72"/>
      <c r="I12" s="72"/>
      <c r="J12" s="72"/>
      <c r="K12" s="81">
        <v>4.3471170453828654</v>
      </c>
      <c r="L12" s="72"/>
      <c r="M12" s="72"/>
      <c r="N12" s="94">
        <v>3.0849607765125048E-2</v>
      </c>
      <c r="O12" s="81"/>
      <c r="P12" s="83"/>
      <c r="Q12" s="81">
        <f>Q13+Q167</f>
        <v>162.79338799155968</v>
      </c>
      <c r="R12" s="81">
        <f>R13+R167+R257</f>
        <v>70468.059542465009</v>
      </c>
      <c r="S12" s="72"/>
      <c r="T12" s="82">
        <f t="shared" ref="T12:T74" si="0">R12/$R$11</f>
        <v>0.84495508762281779</v>
      </c>
      <c r="U12" s="82">
        <f>R12/'סכום נכסי הקרן'!$C$42</f>
        <v>0.2421928217275999</v>
      </c>
      <c r="AT12" s="3"/>
    </row>
    <row r="13" spans="2:50" ht="20.25">
      <c r="B13" s="92" t="s">
        <v>29</v>
      </c>
      <c r="C13" s="72"/>
      <c r="D13" s="72"/>
      <c r="E13" s="72"/>
      <c r="F13" s="72"/>
      <c r="G13" s="72"/>
      <c r="H13" s="72"/>
      <c r="I13" s="72"/>
      <c r="J13" s="72"/>
      <c r="K13" s="81">
        <v>4.3133885129049023</v>
      </c>
      <c r="L13" s="72"/>
      <c r="M13" s="72"/>
      <c r="N13" s="94">
        <v>2.5676603467150186E-2</v>
      </c>
      <c r="O13" s="81"/>
      <c r="P13" s="83"/>
      <c r="Q13" s="81">
        <f>SUM(Q14:Q164)</f>
        <v>151.562445854</v>
      </c>
      <c r="R13" s="81">
        <f>SUM(R14:R165)</f>
        <v>54484.64954713</v>
      </c>
      <c r="S13" s="72"/>
      <c r="T13" s="82">
        <f t="shared" si="0"/>
        <v>0.65330423643141722</v>
      </c>
      <c r="U13" s="82">
        <f>R13/'סכום נכסי הקרן'!$C$42</f>
        <v>0.18725917955363663</v>
      </c>
      <c r="AT13" s="4"/>
    </row>
    <row r="14" spans="2:50">
      <c r="B14" s="77" t="s">
        <v>327</v>
      </c>
      <c r="C14" s="74">
        <v>1142215</v>
      </c>
      <c r="D14" s="87" t="s">
        <v>111</v>
      </c>
      <c r="E14" s="87" t="s">
        <v>328</v>
      </c>
      <c r="F14" s="74" t="s">
        <v>329</v>
      </c>
      <c r="G14" s="87" t="s">
        <v>330</v>
      </c>
      <c r="H14" s="74" t="s">
        <v>331</v>
      </c>
      <c r="I14" s="74" t="s">
        <v>332</v>
      </c>
      <c r="J14" s="74"/>
      <c r="K14" s="84">
        <v>2.5700000000000882</v>
      </c>
      <c r="L14" s="87" t="s">
        <v>155</v>
      </c>
      <c r="M14" s="88">
        <v>6.1999999999999998E-3</v>
      </c>
      <c r="N14" s="88">
        <v>1.5999999999998387E-2</v>
      </c>
      <c r="O14" s="84">
        <v>1256713.0858720001</v>
      </c>
      <c r="P14" s="86">
        <v>98.76</v>
      </c>
      <c r="Q14" s="74"/>
      <c r="R14" s="84">
        <v>1241.129907577</v>
      </c>
      <c r="S14" s="85">
        <v>2.5375803843908631E-4</v>
      </c>
      <c r="T14" s="85">
        <f t="shared" si="0"/>
        <v>1.4881905882140311E-2</v>
      </c>
      <c r="U14" s="85">
        <f>R14/'סכום נכסי הקרן'!$C$42</f>
        <v>4.2656595966779481E-3</v>
      </c>
    </row>
    <row r="15" spans="2:50">
      <c r="B15" s="77" t="s">
        <v>333</v>
      </c>
      <c r="C15" s="74">
        <v>1162577</v>
      </c>
      <c r="D15" s="87" t="s">
        <v>111</v>
      </c>
      <c r="E15" s="87" t="s">
        <v>328</v>
      </c>
      <c r="F15" s="74" t="s">
        <v>329</v>
      </c>
      <c r="G15" s="87" t="s">
        <v>330</v>
      </c>
      <c r="H15" s="74" t="s">
        <v>331</v>
      </c>
      <c r="I15" s="74" t="s">
        <v>332</v>
      </c>
      <c r="J15" s="74"/>
      <c r="K15" s="84">
        <v>5.7299999999945648</v>
      </c>
      <c r="L15" s="87" t="s">
        <v>155</v>
      </c>
      <c r="M15" s="88">
        <v>5.0000000000000001E-4</v>
      </c>
      <c r="N15" s="88">
        <v>1.3199999999988927E-2</v>
      </c>
      <c r="O15" s="84">
        <v>429549.25514100003</v>
      </c>
      <c r="P15" s="86">
        <v>92.5</v>
      </c>
      <c r="Q15" s="74"/>
      <c r="R15" s="84">
        <v>397.33305019199997</v>
      </c>
      <c r="S15" s="85">
        <v>5.3874000107986494E-4</v>
      </c>
      <c r="T15" s="85">
        <f t="shared" si="0"/>
        <v>4.764266029464146E-3</v>
      </c>
      <c r="U15" s="85">
        <f>R15/'סכום נכסי הקרן'!$C$42</f>
        <v>1.3656004325426942E-3</v>
      </c>
    </row>
    <row r="16" spans="2:50">
      <c r="B16" s="77" t="s">
        <v>334</v>
      </c>
      <c r="C16" s="74">
        <v>1119825</v>
      </c>
      <c r="D16" s="87" t="s">
        <v>111</v>
      </c>
      <c r="E16" s="87" t="s">
        <v>328</v>
      </c>
      <c r="F16" s="74" t="s">
        <v>335</v>
      </c>
      <c r="G16" s="87" t="s">
        <v>336</v>
      </c>
      <c r="H16" s="74" t="s">
        <v>331</v>
      </c>
      <c r="I16" s="74" t="s">
        <v>332</v>
      </c>
      <c r="J16" s="74"/>
      <c r="K16" s="84">
        <v>1.769999999995544</v>
      </c>
      <c r="L16" s="87" t="s">
        <v>155</v>
      </c>
      <c r="M16" s="88">
        <v>3.5499999999999997E-2</v>
      </c>
      <c r="N16" s="88">
        <v>1.7399999999973426E-2</v>
      </c>
      <c r="O16" s="84">
        <v>112171.235786</v>
      </c>
      <c r="P16" s="86">
        <v>114.04</v>
      </c>
      <c r="Q16" s="74"/>
      <c r="R16" s="84">
        <v>127.92007044099999</v>
      </c>
      <c r="S16" s="85">
        <v>3.9345420287028644E-4</v>
      </c>
      <c r="T16" s="85">
        <f t="shared" si="0"/>
        <v>1.5338397996195374E-3</v>
      </c>
      <c r="U16" s="85">
        <f>R16/'סכום נכסי הקרן'!$C$42</f>
        <v>4.396505738465718E-4</v>
      </c>
    </row>
    <row r="17" spans="2:45" ht="20.25">
      <c r="B17" s="77" t="s">
        <v>337</v>
      </c>
      <c r="C17" s="74">
        <v>1095066</v>
      </c>
      <c r="D17" s="87" t="s">
        <v>111</v>
      </c>
      <c r="E17" s="87" t="s">
        <v>328</v>
      </c>
      <c r="F17" s="74" t="s">
        <v>335</v>
      </c>
      <c r="G17" s="87" t="s">
        <v>336</v>
      </c>
      <c r="H17" s="74" t="s">
        <v>331</v>
      </c>
      <c r="I17" s="74" t="s">
        <v>332</v>
      </c>
      <c r="J17" s="74"/>
      <c r="K17" s="84">
        <v>0.69000000000044248</v>
      </c>
      <c r="L17" s="87" t="s">
        <v>155</v>
      </c>
      <c r="M17" s="88">
        <v>4.6500000000000007E-2</v>
      </c>
      <c r="N17" s="88">
        <v>1.4399999999893793E-2</v>
      </c>
      <c r="O17" s="84">
        <v>36205.197382999999</v>
      </c>
      <c r="P17" s="86">
        <v>124.83</v>
      </c>
      <c r="Q17" s="74"/>
      <c r="R17" s="84">
        <v>45.194944941999999</v>
      </c>
      <c r="S17" s="85">
        <v>1.8228188816201918E-4</v>
      </c>
      <c r="T17" s="85">
        <f t="shared" si="0"/>
        <v>5.4191500250639951E-4</v>
      </c>
      <c r="U17" s="85">
        <f>R17/'סכום נכסי הקרן'!$C$42</f>
        <v>1.5533124247206433E-4</v>
      </c>
      <c r="AS17" s="4"/>
    </row>
    <row r="18" spans="2:45">
      <c r="B18" s="77" t="s">
        <v>338</v>
      </c>
      <c r="C18" s="74">
        <v>1134147</v>
      </c>
      <c r="D18" s="87" t="s">
        <v>111</v>
      </c>
      <c r="E18" s="87" t="s">
        <v>328</v>
      </c>
      <c r="F18" s="74" t="s">
        <v>335</v>
      </c>
      <c r="G18" s="87" t="s">
        <v>336</v>
      </c>
      <c r="H18" s="74" t="s">
        <v>331</v>
      </c>
      <c r="I18" s="74" t="s">
        <v>332</v>
      </c>
      <c r="J18" s="74"/>
      <c r="K18" s="84">
        <v>5.1499999999927173</v>
      </c>
      <c r="L18" s="87" t="s">
        <v>155</v>
      </c>
      <c r="M18" s="88">
        <v>1.4999999999999999E-2</v>
      </c>
      <c r="N18" s="88">
        <v>9.4999999999715017E-3</v>
      </c>
      <c r="O18" s="84">
        <v>306035.06769900001</v>
      </c>
      <c r="P18" s="86">
        <v>103.19</v>
      </c>
      <c r="Q18" s="74"/>
      <c r="R18" s="84">
        <v>315.79757534200002</v>
      </c>
      <c r="S18" s="85">
        <v>6.5846713205778271E-4</v>
      </c>
      <c r="T18" s="85">
        <f t="shared" si="0"/>
        <v>3.7866058704706458E-3</v>
      </c>
      <c r="U18" s="85">
        <f>R18/'סכום נכסי הקרן'!$C$42</f>
        <v>1.0853698308624926E-3</v>
      </c>
    </row>
    <row r="19" spans="2:45">
      <c r="B19" s="77" t="s">
        <v>339</v>
      </c>
      <c r="C19" s="74">
        <v>1160290</v>
      </c>
      <c r="D19" s="87" t="s">
        <v>111</v>
      </c>
      <c r="E19" s="87" t="s">
        <v>328</v>
      </c>
      <c r="F19" s="74" t="s">
        <v>340</v>
      </c>
      <c r="G19" s="87" t="s">
        <v>336</v>
      </c>
      <c r="H19" s="74" t="s">
        <v>341</v>
      </c>
      <c r="I19" s="74" t="s">
        <v>151</v>
      </c>
      <c r="J19" s="74"/>
      <c r="K19" s="84">
        <v>5.4299999999961628</v>
      </c>
      <c r="L19" s="87" t="s">
        <v>155</v>
      </c>
      <c r="M19" s="88">
        <v>1E-3</v>
      </c>
      <c r="N19" s="88">
        <v>7.4999999999899036E-3</v>
      </c>
      <c r="O19" s="84">
        <v>515266.93494499999</v>
      </c>
      <c r="P19" s="86">
        <v>96.1</v>
      </c>
      <c r="Q19" s="74"/>
      <c r="R19" s="84">
        <v>495.17155613</v>
      </c>
      <c r="S19" s="85">
        <v>3.435112899633333E-4</v>
      </c>
      <c r="T19" s="85">
        <f t="shared" si="0"/>
        <v>5.9374094918282659E-3</v>
      </c>
      <c r="U19" s="85">
        <f>R19/'סכום נכסי הקרן'!$C$42</f>
        <v>1.7018631873366922E-3</v>
      </c>
      <c r="AS19" s="3"/>
    </row>
    <row r="20" spans="2:45">
      <c r="B20" s="77" t="s">
        <v>342</v>
      </c>
      <c r="C20" s="74">
        <v>1135177</v>
      </c>
      <c r="D20" s="87" t="s">
        <v>111</v>
      </c>
      <c r="E20" s="87" t="s">
        <v>328</v>
      </c>
      <c r="F20" s="74" t="s">
        <v>340</v>
      </c>
      <c r="G20" s="87" t="s">
        <v>336</v>
      </c>
      <c r="H20" s="74" t="s">
        <v>341</v>
      </c>
      <c r="I20" s="74" t="s">
        <v>151</v>
      </c>
      <c r="J20" s="74"/>
      <c r="K20" s="84">
        <v>0.99000000000354405</v>
      </c>
      <c r="L20" s="87" t="s">
        <v>155</v>
      </c>
      <c r="M20" s="88">
        <v>8.0000000000000002E-3</v>
      </c>
      <c r="N20" s="88">
        <v>1.600000000001477E-2</v>
      </c>
      <c r="O20" s="84">
        <v>134201.55170400001</v>
      </c>
      <c r="P20" s="86">
        <v>100.92</v>
      </c>
      <c r="Q20" s="74"/>
      <c r="R20" s="84">
        <v>135.43620674799999</v>
      </c>
      <c r="S20" s="85">
        <v>6.2463749430432148E-4</v>
      </c>
      <c r="T20" s="85">
        <f t="shared" si="0"/>
        <v>1.6239628660570226E-3</v>
      </c>
      <c r="U20" s="85">
        <f>R20/'סכום נכסי הקרן'!$C$42</f>
        <v>4.6548290515384475E-4</v>
      </c>
    </row>
    <row r="21" spans="2:45">
      <c r="B21" s="77" t="s">
        <v>343</v>
      </c>
      <c r="C21" s="74">
        <v>6040315</v>
      </c>
      <c r="D21" s="87" t="s">
        <v>111</v>
      </c>
      <c r="E21" s="87" t="s">
        <v>328</v>
      </c>
      <c r="F21" s="74" t="s">
        <v>344</v>
      </c>
      <c r="G21" s="87" t="s">
        <v>336</v>
      </c>
      <c r="H21" s="74" t="s">
        <v>341</v>
      </c>
      <c r="I21" s="74" t="s">
        <v>151</v>
      </c>
      <c r="J21" s="74"/>
      <c r="K21" s="84">
        <v>0.24999999999955572</v>
      </c>
      <c r="L21" s="87" t="s">
        <v>155</v>
      </c>
      <c r="M21" s="88">
        <v>5.8999999999999999E-3</v>
      </c>
      <c r="N21" s="88">
        <v>4.2799999999992899E-2</v>
      </c>
      <c r="O21" s="84">
        <v>565257.62577699998</v>
      </c>
      <c r="P21" s="86">
        <v>99.55</v>
      </c>
      <c r="Q21" s="74"/>
      <c r="R21" s="84">
        <v>562.71394190500007</v>
      </c>
      <c r="S21" s="85">
        <v>1.0589015293441493E-4</v>
      </c>
      <c r="T21" s="85">
        <f t="shared" si="0"/>
        <v>6.7472839634869896E-3</v>
      </c>
      <c r="U21" s="85">
        <f>R21/'סכום נכסי הקרן'!$C$42</f>
        <v>1.9340007132352683E-3</v>
      </c>
    </row>
    <row r="22" spans="2:45">
      <c r="B22" s="77" t="s">
        <v>345</v>
      </c>
      <c r="C22" s="74">
        <v>6040372</v>
      </c>
      <c r="D22" s="87" t="s">
        <v>111</v>
      </c>
      <c r="E22" s="87" t="s">
        <v>328</v>
      </c>
      <c r="F22" s="74" t="s">
        <v>344</v>
      </c>
      <c r="G22" s="87" t="s">
        <v>336</v>
      </c>
      <c r="H22" s="74" t="s">
        <v>341</v>
      </c>
      <c r="I22" s="74" t="s">
        <v>151</v>
      </c>
      <c r="J22" s="74"/>
      <c r="K22" s="84">
        <v>5.1200000000007098</v>
      </c>
      <c r="L22" s="87" t="s">
        <v>155</v>
      </c>
      <c r="M22" s="88">
        <v>8.3000000000000001E-3</v>
      </c>
      <c r="N22" s="88">
        <v>8.2999999999948688E-3</v>
      </c>
      <c r="O22" s="84">
        <v>503177.63988999999</v>
      </c>
      <c r="P22" s="86">
        <v>100.72</v>
      </c>
      <c r="Q22" s="74"/>
      <c r="R22" s="84">
        <v>506.80053902200001</v>
      </c>
      <c r="S22" s="85">
        <v>3.9128256482655116E-4</v>
      </c>
      <c r="T22" s="85">
        <f t="shared" si="0"/>
        <v>6.0768481016363427E-3</v>
      </c>
      <c r="U22" s="85">
        <f>R22/'סכום נכסי הקרן'!$C$42</f>
        <v>1.7418310280679704E-3</v>
      </c>
    </row>
    <row r="23" spans="2:45">
      <c r="B23" s="77" t="s">
        <v>346</v>
      </c>
      <c r="C23" s="74">
        <v>2310142</v>
      </c>
      <c r="D23" s="87" t="s">
        <v>111</v>
      </c>
      <c r="E23" s="87" t="s">
        <v>328</v>
      </c>
      <c r="F23" s="74" t="s">
        <v>347</v>
      </c>
      <c r="G23" s="87" t="s">
        <v>336</v>
      </c>
      <c r="H23" s="74" t="s">
        <v>341</v>
      </c>
      <c r="I23" s="74" t="s">
        <v>151</v>
      </c>
      <c r="J23" s="74"/>
      <c r="K23" s="84">
        <v>0.93999999999869344</v>
      </c>
      <c r="L23" s="87" t="s">
        <v>155</v>
      </c>
      <c r="M23" s="88">
        <v>4.0999999999999995E-3</v>
      </c>
      <c r="N23" s="88">
        <v>1.3799999999973871E-2</v>
      </c>
      <c r="O23" s="84">
        <v>92658.411848999982</v>
      </c>
      <c r="P23" s="86">
        <v>99.12</v>
      </c>
      <c r="Q23" s="74"/>
      <c r="R23" s="84">
        <v>91.843021897999989</v>
      </c>
      <c r="S23" s="85">
        <v>1.1273145306902478E-4</v>
      </c>
      <c r="T23" s="85">
        <f t="shared" si="0"/>
        <v>1.1012539456773916E-3</v>
      </c>
      <c r="U23" s="85">
        <f>R23/'סכום נכסי הקרן'!$C$42</f>
        <v>3.1565677803376999E-4</v>
      </c>
    </row>
    <row r="24" spans="2:45">
      <c r="B24" s="77" t="s">
        <v>348</v>
      </c>
      <c r="C24" s="74">
        <v>2310191</v>
      </c>
      <c r="D24" s="87" t="s">
        <v>111</v>
      </c>
      <c r="E24" s="87" t="s">
        <v>328</v>
      </c>
      <c r="F24" s="74" t="s">
        <v>347</v>
      </c>
      <c r="G24" s="87" t="s">
        <v>336</v>
      </c>
      <c r="H24" s="74" t="s">
        <v>341</v>
      </c>
      <c r="I24" s="74" t="s">
        <v>151</v>
      </c>
      <c r="J24" s="74"/>
      <c r="K24" s="84">
        <v>1.2999999999992768</v>
      </c>
      <c r="L24" s="87" t="s">
        <v>155</v>
      </c>
      <c r="M24" s="88">
        <v>0.04</v>
      </c>
      <c r="N24" s="88">
        <v>2.1499999999989153E-2</v>
      </c>
      <c r="O24" s="84">
        <v>647376.51992400002</v>
      </c>
      <c r="P24" s="86">
        <v>106.76</v>
      </c>
      <c r="Q24" s="74"/>
      <c r="R24" s="84">
        <v>691.13917954499982</v>
      </c>
      <c r="S24" s="85">
        <v>3.1248625277260759E-4</v>
      </c>
      <c r="T24" s="85">
        <f t="shared" si="0"/>
        <v>8.2871810264633795E-3</v>
      </c>
      <c r="U24" s="85">
        <f>R24/'סכום נכסי הקרן'!$C$42</f>
        <v>2.3753875044569793E-3</v>
      </c>
    </row>
    <row r="25" spans="2:45">
      <c r="B25" s="77" t="s">
        <v>349</v>
      </c>
      <c r="C25" s="74">
        <v>2310209</v>
      </c>
      <c r="D25" s="87" t="s">
        <v>111</v>
      </c>
      <c r="E25" s="87" t="s">
        <v>328</v>
      </c>
      <c r="F25" s="74" t="s">
        <v>347</v>
      </c>
      <c r="G25" s="87" t="s">
        <v>336</v>
      </c>
      <c r="H25" s="74" t="s">
        <v>341</v>
      </c>
      <c r="I25" s="74" t="s">
        <v>151</v>
      </c>
      <c r="J25" s="74"/>
      <c r="K25" s="84">
        <v>2.4600000000005435</v>
      </c>
      <c r="L25" s="87" t="s">
        <v>155</v>
      </c>
      <c r="M25" s="88">
        <v>9.8999999999999991E-3</v>
      </c>
      <c r="N25" s="88">
        <v>1.2900000000000224E-2</v>
      </c>
      <c r="O25" s="84">
        <v>875875.93563299999</v>
      </c>
      <c r="P25" s="86">
        <v>100.78</v>
      </c>
      <c r="Q25" s="74"/>
      <c r="R25" s="84">
        <v>882.70774946199992</v>
      </c>
      <c r="S25" s="85">
        <v>2.906146493294013E-4</v>
      </c>
      <c r="T25" s="85">
        <f t="shared" si="0"/>
        <v>1.0584205221977852E-2</v>
      </c>
      <c r="U25" s="85">
        <f>R25/'סכום נכסי הקרן'!$C$42</f>
        <v>3.033792642951819E-3</v>
      </c>
    </row>
    <row r="26" spans="2:45">
      <c r="B26" s="77" t="s">
        <v>350</v>
      </c>
      <c r="C26" s="74">
        <v>2310217</v>
      </c>
      <c r="D26" s="87" t="s">
        <v>111</v>
      </c>
      <c r="E26" s="87" t="s">
        <v>328</v>
      </c>
      <c r="F26" s="74" t="s">
        <v>347</v>
      </c>
      <c r="G26" s="87" t="s">
        <v>336</v>
      </c>
      <c r="H26" s="74" t="s">
        <v>341</v>
      </c>
      <c r="I26" s="74" t="s">
        <v>151</v>
      </c>
      <c r="J26" s="74"/>
      <c r="K26" s="84">
        <v>4.4100000000000819</v>
      </c>
      <c r="L26" s="87" t="s">
        <v>155</v>
      </c>
      <c r="M26" s="88">
        <v>8.6E-3</v>
      </c>
      <c r="N26" s="88">
        <v>1.1600000000003736E-2</v>
      </c>
      <c r="O26" s="84">
        <v>854604.31568999996</v>
      </c>
      <c r="P26" s="86">
        <v>100.2</v>
      </c>
      <c r="Q26" s="74"/>
      <c r="R26" s="84">
        <v>856.31347167299998</v>
      </c>
      <c r="S26" s="85">
        <v>3.4165709478197978E-4</v>
      </c>
      <c r="T26" s="85">
        <f t="shared" si="0"/>
        <v>1.0267721705236399E-2</v>
      </c>
      <c r="U26" s="85">
        <f>R26/'סכום נכסי הקרן'!$C$42</f>
        <v>2.9430777196704731E-3</v>
      </c>
    </row>
    <row r="27" spans="2:45">
      <c r="B27" s="77" t="s">
        <v>351</v>
      </c>
      <c r="C27" s="74">
        <v>2310225</v>
      </c>
      <c r="D27" s="87" t="s">
        <v>111</v>
      </c>
      <c r="E27" s="87" t="s">
        <v>328</v>
      </c>
      <c r="F27" s="74" t="s">
        <v>347</v>
      </c>
      <c r="G27" s="87" t="s">
        <v>336</v>
      </c>
      <c r="H27" s="74" t="s">
        <v>341</v>
      </c>
      <c r="I27" s="74" t="s">
        <v>151</v>
      </c>
      <c r="J27" s="74"/>
      <c r="K27" s="84">
        <v>7.1700000000388027</v>
      </c>
      <c r="L27" s="87" t="s">
        <v>155</v>
      </c>
      <c r="M27" s="88">
        <v>1.2199999999999999E-2</v>
      </c>
      <c r="N27" s="88">
        <v>1.1000000000088859E-2</v>
      </c>
      <c r="O27" s="84">
        <v>32909.092546</v>
      </c>
      <c r="P27" s="86">
        <v>102.59</v>
      </c>
      <c r="Q27" s="74"/>
      <c r="R27" s="84">
        <v>33.761436957000001</v>
      </c>
      <c r="S27" s="85">
        <v>4.1053847449127252E-5</v>
      </c>
      <c r="T27" s="85">
        <f t="shared" si="0"/>
        <v>4.0482025626210807E-4</v>
      </c>
      <c r="U27" s="85">
        <f>R27/'סכום נכסי הקרן'!$C$42</f>
        <v>1.160352326328337E-4</v>
      </c>
    </row>
    <row r="28" spans="2:45">
      <c r="B28" s="77" t="s">
        <v>352</v>
      </c>
      <c r="C28" s="74">
        <v>2310282</v>
      </c>
      <c r="D28" s="87" t="s">
        <v>111</v>
      </c>
      <c r="E28" s="87" t="s">
        <v>328</v>
      </c>
      <c r="F28" s="74" t="s">
        <v>347</v>
      </c>
      <c r="G28" s="87" t="s">
        <v>336</v>
      </c>
      <c r="H28" s="74" t="s">
        <v>341</v>
      </c>
      <c r="I28" s="74" t="s">
        <v>151</v>
      </c>
      <c r="J28" s="74"/>
      <c r="K28" s="84">
        <v>6.1500000000018931</v>
      </c>
      <c r="L28" s="87" t="s">
        <v>155</v>
      </c>
      <c r="M28" s="88">
        <v>3.8E-3</v>
      </c>
      <c r="N28" s="88">
        <v>1.030000000000194E-2</v>
      </c>
      <c r="O28" s="84">
        <v>1138816.699885</v>
      </c>
      <c r="P28" s="86">
        <v>95.06</v>
      </c>
      <c r="Q28" s="74"/>
      <c r="R28" s="84">
        <v>1082.5591975929999</v>
      </c>
      <c r="S28" s="85">
        <v>3.7960556662833332E-4</v>
      </c>
      <c r="T28" s="85">
        <f t="shared" si="0"/>
        <v>1.2980546187849284E-2</v>
      </c>
      <c r="U28" s="85">
        <f>R28/'סכום נכסי הקרן'!$C$42</f>
        <v>3.7206653405039048E-3</v>
      </c>
    </row>
    <row r="29" spans="2:45">
      <c r="B29" s="77" t="s">
        <v>353</v>
      </c>
      <c r="C29" s="74">
        <v>2310324</v>
      </c>
      <c r="D29" s="87" t="s">
        <v>111</v>
      </c>
      <c r="E29" s="87" t="s">
        <v>328</v>
      </c>
      <c r="F29" s="74" t="s">
        <v>347</v>
      </c>
      <c r="G29" s="87" t="s">
        <v>336</v>
      </c>
      <c r="H29" s="74" t="s">
        <v>341</v>
      </c>
      <c r="I29" s="74" t="s">
        <v>151</v>
      </c>
      <c r="J29" s="74"/>
      <c r="K29" s="84">
        <v>3.570000000001591</v>
      </c>
      <c r="L29" s="87" t="s">
        <v>155</v>
      </c>
      <c r="M29" s="88">
        <v>1E-3</v>
      </c>
      <c r="N29" s="88">
        <v>1.2300000000008566E-2</v>
      </c>
      <c r="O29" s="84">
        <v>341677.56248800003</v>
      </c>
      <c r="P29" s="86">
        <v>95.65</v>
      </c>
      <c r="Q29" s="74"/>
      <c r="R29" s="84">
        <v>326.81459746399997</v>
      </c>
      <c r="S29" s="85">
        <v>1.343055285814015E-4</v>
      </c>
      <c r="T29" s="85">
        <f t="shared" si="0"/>
        <v>3.9187066967581547E-3</v>
      </c>
      <c r="U29" s="85">
        <f>R29/'סכום נכסי הקרן'!$C$42</f>
        <v>1.1232344136548518E-3</v>
      </c>
    </row>
    <row r="30" spans="2:45">
      <c r="B30" s="77" t="s">
        <v>354</v>
      </c>
      <c r="C30" s="74">
        <v>2310183</v>
      </c>
      <c r="D30" s="87" t="s">
        <v>111</v>
      </c>
      <c r="E30" s="87" t="s">
        <v>328</v>
      </c>
      <c r="F30" s="74" t="s">
        <v>347</v>
      </c>
      <c r="G30" s="87" t="s">
        <v>336</v>
      </c>
      <c r="H30" s="74" t="s">
        <v>341</v>
      </c>
      <c r="I30" s="74" t="s">
        <v>151</v>
      </c>
      <c r="J30" s="74"/>
      <c r="K30" s="84">
        <v>9.6599999999835404</v>
      </c>
      <c r="L30" s="87" t="s">
        <v>155</v>
      </c>
      <c r="M30" s="88">
        <v>1.09E-2</v>
      </c>
      <c r="N30" s="88">
        <v>1.6399999999951231E-2</v>
      </c>
      <c r="O30" s="84">
        <v>170998.66169999997</v>
      </c>
      <c r="P30" s="86">
        <v>95.93</v>
      </c>
      <c r="Q30" s="74"/>
      <c r="R30" s="84">
        <v>164.039020945</v>
      </c>
      <c r="S30" s="85">
        <v>2.4361317017296665E-4</v>
      </c>
      <c r="T30" s="85">
        <f t="shared" si="0"/>
        <v>1.9669280836748185E-3</v>
      </c>
      <c r="U30" s="85">
        <f>R30/'סכום נכסי הקרן'!$C$42</f>
        <v>5.6378838319169459E-4</v>
      </c>
    </row>
    <row r="31" spans="2:45">
      <c r="B31" s="77" t="s">
        <v>357</v>
      </c>
      <c r="C31" s="74">
        <v>1158468</v>
      </c>
      <c r="D31" s="87" t="s">
        <v>111</v>
      </c>
      <c r="E31" s="87" t="s">
        <v>328</v>
      </c>
      <c r="F31" s="74" t="s">
        <v>358</v>
      </c>
      <c r="G31" s="87" t="s">
        <v>147</v>
      </c>
      <c r="H31" s="74" t="s">
        <v>331</v>
      </c>
      <c r="I31" s="74" t="s">
        <v>332</v>
      </c>
      <c r="J31" s="74"/>
      <c r="K31" s="84">
        <v>5.7200000000974072</v>
      </c>
      <c r="L31" s="87" t="s">
        <v>155</v>
      </c>
      <c r="M31" s="88">
        <v>1E-3</v>
      </c>
      <c r="N31" s="88">
        <v>6.8999999999876192E-3</v>
      </c>
      <c r="O31" s="84">
        <v>25401.916902000001</v>
      </c>
      <c r="P31" s="86">
        <v>95.38</v>
      </c>
      <c r="Q31" s="74"/>
      <c r="R31" s="84">
        <v>24.228348386999997</v>
      </c>
      <c r="S31" s="85">
        <v>4.8398431746213203E-5</v>
      </c>
      <c r="T31" s="85">
        <f t="shared" si="0"/>
        <v>2.9051269989855636E-4</v>
      </c>
      <c r="U31" s="85">
        <f>R31/'סכום נכסי הקרן'!$C$42</f>
        <v>8.3270805237808162E-5</v>
      </c>
    </row>
    <row r="32" spans="2:45">
      <c r="B32" s="77" t="s">
        <v>359</v>
      </c>
      <c r="C32" s="74">
        <v>1158476</v>
      </c>
      <c r="D32" s="87" t="s">
        <v>111</v>
      </c>
      <c r="E32" s="87" t="s">
        <v>328</v>
      </c>
      <c r="F32" s="74" t="s">
        <v>358</v>
      </c>
      <c r="G32" s="87" t="s">
        <v>147</v>
      </c>
      <c r="H32" s="74" t="s">
        <v>331</v>
      </c>
      <c r="I32" s="74" t="s">
        <v>332</v>
      </c>
      <c r="J32" s="74"/>
      <c r="K32" s="84">
        <v>15.010000000002552</v>
      </c>
      <c r="L32" s="87" t="s">
        <v>155</v>
      </c>
      <c r="M32" s="88">
        <v>2.07E-2</v>
      </c>
      <c r="N32" s="88">
        <v>1.310000000000173E-2</v>
      </c>
      <c r="O32" s="84">
        <v>833321.36395099992</v>
      </c>
      <c r="P32" s="86">
        <v>110.8</v>
      </c>
      <c r="Q32" s="74"/>
      <c r="R32" s="84">
        <v>923.32007126400015</v>
      </c>
      <c r="S32" s="85">
        <v>5.6362240630837795E-4</v>
      </c>
      <c r="T32" s="85">
        <f t="shared" si="0"/>
        <v>1.1071171773200909E-2</v>
      </c>
      <c r="U32" s="85">
        <f>R32/'סכום נכסי הקרן'!$C$42</f>
        <v>3.1733737933055963E-3</v>
      </c>
    </row>
    <row r="33" spans="2:21">
      <c r="B33" s="77" t="s">
        <v>360</v>
      </c>
      <c r="C33" s="74">
        <v>1940535</v>
      </c>
      <c r="D33" s="87" t="s">
        <v>111</v>
      </c>
      <c r="E33" s="87" t="s">
        <v>328</v>
      </c>
      <c r="F33" s="74" t="s">
        <v>361</v>
      </c>
      <c r="G33" s="87" t="s">
        <v>336</v>
      </c>
      <c r="H33" s="74" t="s">
        <v>341</v>
      </c>
      <c r="I33" s="74" t="s">
        <v>151</v>
      </c>
      <c r="J33" s="74"/>
      <c r="K33" s="84">
        <v>2.2499999999991163</v>
      </c>
      <c r="L33" s="87" t="s">
        <v>155</v>
      </c>
      <c r="M33" s="88">
        <v>0.05</v>
      </c>
      <c r="N33" s="88">
        <v>1.5199999999991519E-2</v>
      </c>
      <c r="O33" s="84">
        <v>1007008.130538</v>
      </c>
      <c r="P33" s="86">
        <v>112.4</v>
      </c>
      <c r="Q33" s="74"/>
      <c r="R33" s="84">
        <v>1131.8771331480002</v>
      </c>
      <c r="S33" s="85">
        <v>3.195221138098754E-4</v>
      </c>
      <c r="T33" s="85">
        <f t="shared" si="0"/>
        <v>1.3571898366819673E-2</v>
      </c>
      <c r="U33" s="85">
        <f>R33/'סכום נכסי הקרן'!$C$42</f>
        <v>3.8901669565750492E-3</v>
      </c>
    </row>
    <row r="34" spans="2:21">
      <c r="B34" s="77" t="s">
        <v>362</v>
      </c>
      <c r="C34" s="74">
        <v>1940568</v>
      </c>
      <c r="D34" s="87" t="s">
        <v>111</v>
      </c>
      <c r="E34" s="87" t="s">
        <v>328</v>
      </c>
      <c r="F34" s="74" t="s">
        <v>361</v>
      </c>
      <c r="G34" s="87" t="s">
        <v>336</v>
      </c>
      <c r="H34" s="74" t="s">
        <v>341</v>
      </c>
      <c r="I34" s="74" t="s">
        <v>151</v>
      </c>
      <c r="J34" s="74"/>
      <c r="K34" s="84">
        <v>0.45999997928594316</v>
      </c>
      <c r="L34" s="87" t="s">
        <v>155</v>
      </c>
      <c r="M34" s="88">
        <v>1.6E-2</v>
      </c>
      <c r="N34" s="88">
        <v>1.8400000112985766E-2</v>
      </c>
      <c r="O34" s="84">
        <v>21.125384</v>
      </c>
      <c r="P34" s="86">
        <v>100.55</v>
      </c>
      <c r="Q34" s="74"/>
      <c r="R34" s="84">
        <v>2.1241613999999999E-2</v>
      </c>
      <c r="S34" s="85">
        <v>2.0126955555309898E-8</v>
      </c>
      <c r="T34" s="85">
        <f t="shared" si="0"/>
        <v>2.5469992980017046E-7</v>
      </c>
      <c r="U34" s="85">
        <f>R34/'סכום נכסי הקרן'!$C$42</f>
        <v>7.3005649170860226E-8</v>
      </c>
    </row>
    <row r="35" spans="2:21">
      <c r="B35" s="77" t="s">
        <v>363</v>
      </c>
      <c r="C35" s="74">
        <v>1940576</v>
      </c>
      <c r="D35" s="87" t="s">
        <v>111</v>
      </c>
      <c r="E35" s="87" t="s">
        <v>328</v>
      </c>
      <c r="F35" s="74" t="s">
        <v>361</v>
      </c>
      <c r="G35" s="87" t="s">
        <v>336</v>
      </c>
      <c r="H35" s="74" t="s">
        <v>341</v>
      </c>
      <c r="I35" s="74" t="s">
        <v>151</v>
      </c>
      <c r="J35" s="74"/>
      <c r="K35" s="84">
        <v>1.9699999999991706</v>
      </c>
      <c r="L35" s="87" t="s">
        <v>155</v>
      </c>
      <c r="M35" s="88">
        <v>6.9999999999999993E-3</v>
      </c>
      <c r="N35" s="88">
        <v>1.6799999999994472E-2</v>
      </c>
      <c r="O35" s="84">
        <v>362471.69119799999</v>
      </c>
      <c r="P35" s="86">
        <v>99.8</v>
      </c>
      <c r="Q35" s="74"/>
      <c r="R35" s="84">
        <v>361.74674248999997</v>
      </c>
      <c r="S35" s="85">
        <v>1.7000172401214337E-4</v>
      </c>
      <c r="T35" s="85">
        <f t="shared" si="0"/>
        <v>4.3375644580323953E-3</v>
      </c>
      <c r="U35" s="85">
        <f>R35/'סכום נכסי הקרן'!$C$42</f>
        <v>1.243293271920225E-3</v>
      </c>
    </row>
    <row r="36" spans="2:21">
      <c r="B36" s="77" t="s">
        <v>364</v>
      </c>
      <c r="C36" s="74">
        <v>1940618</v>
      </c>
      <c r="D36" s="87" t="s">
        <v>111</v>
      </c>
      <c r="E36" s="87" t="s">
        <v>328</v>
      </c>
      <c r="F36" s="74" t="s">
        <v>361</v>
      </c>
      <c r="G36" s="87" t="s">
        <v>336</v>
      </c>
      <c r="H36" s="74" t="s">
        <v>341</v>
      </c>
      <c r="I36" s="74" t="s">
        <v>151</v>
      </c>
      <c r="J36" s="74"/>
      <c r="K36" s="84">
        <v>3.9900000000017588</v>
      </c>
      <c r="L36" s="87" t="s">
        <v>155</v>
      </c>
      <c r="M36" s="88">
        <v>6.0000000000000001E-3</v>
      </c>
      <c r="N36" s="88">
        <v>8.3999999999971563E-3</v>
      </c>
      <c r="O36" s="84">
        <v>559413.22180900001</v>
      </c>
      <c r="P36" s="86">
        <v>100.6</v>
      </c>
      <c r="Q36" s="74"/>
      <c r="R36" s="84">
        <v>562.76966409900001</v>
      </c>
      <c r="S36" s="85">
        <v>2.7946480398285386E-4</v>
      </c>
      <c r="T36" s="85">
        <f t="shared" si="0"/>
        <v>6.7479521066375102E-3</v>
      </c>
      <c r="U36" s="85">
        <f>R36/'סכום נכסי הקרן'!$C$42</f>
        <v>1.9341922257515107E-3</v>
      </c>
    </row>
    <row r="37" spans="2:21">
      <c r="B37" s="77" t="s">
        <v>365</v>
      </c>
      <c r="C37" s="74">
        <v>1940659</v>
      </c>
      <c r="D37" s="87" t="s">
        <v>111</v>
      </c>
      <c r="E37" s="87" t="s">
        <v>328</v>
      </c>
      <c r="F37" s="74" t="s">
        <v>361</v>
      </c>
      <c r="G37" s="87" t="s">
        <v>336</v>
      </c>
      <c r="H37" s="74" t="s">
        <v>341</v>
      </c>
      <c r="I37" s="74" t="s">
        <v>151</v>
      </c>
      <c r="J37" s="74"/>
      <c r="K37" s="84">
        <v>5.409999999999684</v>
      </c>
      <c r="L37" s="87" t="s">
        <v>155</v>
      </c>
      <c r="M37" s="88">
        <v>1.7500000000000002E-2</v>
      </c>
      <c r="N37" s="88">
        <v>1.0499999999998561E-2</v>
      </c>
      <c r="O37" s="84">
        <v>1339171.283114</v>
      </c>
      <c r="P37" s="86">
        <v>103.87</v>
      </c>
      <c r="Q37" s="74"/>
      <c r="R37" s="84">
        <v>1390.997212884</v>
      </c>
      <c r="S37" s="85">
        <v>3.3771534410287606E-4</v>
      </c>
      <c r="T37" s="85">
        <f t="shared" si="0"/>
        <v>1.6678906436854921E-2</v>
      </c>
      <c r="U37" s="85">
        <f>R37/'סכום נכסי הקרן'!$C$42</f>
        <v>4.7807409795439125E-3</v>
      </c>
    </row>
    <row r="38" spans="2:21">
      <c r="B38" s="77" t="s">
        <v>366</v>
      </c>
      <c r="C38" s="74">
        <v>1121953</v>
      </c>
      <c r="D38" s="87" t="s">
        <v>111</v>
      </c>
      <c r="E38" s="87" t="s">
        <v>328</v>
      </c>
      <c r="F38" s="74" t="s">
        <v>340</v>
      </c>
      <c r="G38" s="87" t="s">
        <v>336</v>
      </c>
      <c r="H38" s="74" t="s">
        <v>367</v>
      </c>
      <c r="I38" s="74" t="s">
        <v>151</v>
      </c>
      <c r="J38" s="74"/>
      <c r="K38" s="84">
        <v>0.83000000000374385</v>
      </c>
      <c r="L38" s="87" t="s">
        <v>155</v>
      </c>
      <c r="M38" s="88">
        <v>3.1E-2</v>
      </c>
      <c r="N38" s="88">
        <v>2.5600000000028086E-2</v>
      </c>
      <c r="O38" s="84">
        <v>79860.409304000001</v>
      </c>
      <c r="P38" s="86">
        <v>107.03</v>
      </c>
      <c r="Q38" s="74"/>
      <c r="R38" s="84">
        <v>85.474591595999982</v>
      </c>
      <c r="S38" s="85">
        <v>4.6425773964726822E-4</v>
      </c>
      <c r="T38" s="85">
        <f t="shared" si="0"/>
        <v>1.024892575451161E-3</v>
      </c>
      <c r="U38" s="85">
        <f>R38/'סכום נכסי הקרן'!$C$42</f>
        <v>2.9376901619058385E-4</v>
      </c>
    </row>
    <row r="39" spans="2:21">
      <c r="B39" s="77" t="s">
        <v>368</v>
      </c>
      <c r="C39" s="74">
        <v>1103126</v>
      </c>
      <c r="D39" s="87" t="s">
        <v>111</v>
      </c>
      <c r="E39" s="87" t="s">
        <v>328</v>
      </c>
      <c r="F39" s="74" t="s">
        <v>340</v>
      </c>
      <c r="G39" s="87" t="s">
        <v>336</v>
      </c>
      <c r="H39" s="74" t="s">
        <v>367</v>
      </c>
      <c r="I39" s="74" t="s">
        <v>151</v>
      </c>
      <c r="J39" s="74"/>
      <c r="K39" s="84">
        <v>0.96000000008191</v>
      </c>
      <c r="L39" s="87" t="s">
        <v>155</v>
      </c>
      <c r="M39" s="88">
        <v>4.2000000000000003E-2</v>
      </c>
      <c r="N39" s="88">
        <v>-9.9999999795225494E-5</v>
      </c>
      <c r="O39" s="84">
        <v>4629.5653069999998</v>
      </c>
      <c r="P39" s="86">
        <v>126.58</v>
      </c>
      <c r="Q39" s="74"/>
      <c r="R39" s="84">
        <v>5.8601035119999985</v>
      </c>
      <c r="S39" s="85">
        <v>1.7749358996281103E-4</v>
      </c>
      <c r="T39" s="85">
        <f t="shared" si="0"/>
        <v>7.0266221442877742E-5</v>
      </c>
      <c r="U39" s="85">
        <f>R39/'סכום נכסי הקרן'!$C$42</f>
        <v>2.0140685218270034E-5</v>
      </c>
    </row>
    <row r="40" spans="2:21">
      <c r="B40" s="77" t="s">
        <v>369</v>
      </c>
      <c r="C40" s="74">
        <v>6910129</v>
      </c>
      <c r="D40" s="87" t="s">
        <v>111</v>
      </c>
      <c r="E40" s="87" t="s">
        <v>328</v>
      </c>
      <c r="F40" s="74" t="s">
        <v>370</v>
      </c>
      <c r="G40" s="87" t="s">
        <v>336</v>
      </c>
      <c r="H40" s="74" t="s">
        <v>367</v>
      </c>
      <c r="I40" s="74" t="s">
        <v>151</v>
      </c>
      <c r="J40" s="74"/>
      <c r="K40" s="84">
        <v>1.1699999999986934</v>
      </c>
      <c r="L40" s="87" t="s">
        <v>155</v>
      </c>
      <c r="M40" s="88">
        <v>3.85E-2</v>
      </c>
      <c r="N40" s="88">
        <v>1.6699999999936682E-2</v>
      </c>
      <c r="O40" s="84">
        <v>88792.288826000004</v>
      </c>
      <c r="P40" s="86">
        <v>112.06</v>
      </c>
      <c r="Q40" s="74"/>
      <c r="R40" s="84">
        <v>99.500642189000004</v>
      </c>
      <c r="S40" s="85">
        <v>2.7795385291739936E-4</v>
      </c>
      <c r="T40" s="85">
        <f t="shared" si="0"/>
        <v>1.1930734915251819E-3</v>
      </c>
      <c r="U40" s="85">
        <f>R40/'סכום נכסי הקרן'!$C$42</f>
        <v>3.4197537795034919E-4</v>
      </c>
    </row>
    <row r="41" spans="2:21">
      <c r="B41" s="77" t="s">
        <v>371</v>
      </c>
      <c r="C41" s="74">
        <v>7480049</v>
      </c>
      <c r="D41" s="87" t="s">
        <v>111</v>
      </c>
      <c r="E41" s="87" t="s">
        <v>328</v>
      </c>
      <c r="F41" s="74" t="s">
        <v>370</v>
      </c>
      <c r="G41" s="87" t="s">
        <v>336</v>
      </c>
      <c r="H41" s="74" t="s">
        <v>367</v>
      </c>
      <c r="I41" s="74" t="s">
        <v>151</v>
      </c>
      <c r="J41" s="74"/>
      <c r="K41" s="84">
        <v>1.5399999999965091</v>
      </c>
      <c r="L41" s="87" t="s">
        <v>155</v>
      </c>
      <c r="M41" s="88">
        <v>4.7500000000000001E-2</v>
      </c>
      <c r="N41" s="88">
        <v>1.1499999999953008E-2</v>
      </c>
      <c r="O41" s="84">
        <v>58554.038588000003</v>
      </c>
      <c r="P41" s="86">
        <v>127.2</v>
      </c>
      <c r="Q41" s="74"/>
      <c r="R41" s="84">
        <v>74.480735369000001</v>
      </c>
      <c r="S41" s="85">
        <v>2.6899246913461149E-4</v>
      </c>
      <c r="T41" s="85">
        <f t="shared" si="0"/>
        <v>8.9306952239831571E-4</v>
      </c>
      <c r="U41" s="85">
        <f>R41/'סכום נכסי הקרן'!$C$42</f>
        <v>2.5598405264010989E-4</v>
      </c>
    </row>
    <row r="42" spans="2:21">
      <c r="B42" s="77" t="s">
        <v>372</v>
      </c>
      <c r="C42" s="74">
        <v>4160115</v>
      </c>
      <c r="D42" s="87" t="s">
        <v>111</v>
      </c>
      <c r="E42" s="87" t="s">
        <v>328</v>
      </c>
      <c r="F42" s="74" t="s">
        <v>373</v>
      </c>
      <c r="G42" s="87" t="s">
        <v>1274</v>
      </c>
      <c r="H42" s="74" t="s">
        <v>374</v>
      </c>
      <c r="I42" s="74" t="s">
        <v>332</v>
      </c>
      <c r="J42" s="74"/>
      <c r="K42" s="84">
        <v>1.4</v>
      </c>
      <c r="L42" s="87" t="s">
        <v>155</v>
      </c>
      <c r="M42" s="88">
        <v>3.6400000000000002E-2</v>
      </c>
      <c r="N42" s="88">
        <v>1.8600000000361772E-2</v>
      </c>
      <c r="O42" s="84">
        <v>14786.864353000001</v>
      </c>
      <c r="P42" s="86">
        <v>112.16</v>
      </c>
      <c r="Q42" s="74"/>
      <c r="R42" s="84">
        <v>16.584946390000002</v>
      </c>
      <c r="S42" s="85">
        <v>2.6824243724263042E-4</v>
      </c>
      <c r="T42" s="85">
        <f t="shared" si="0"/>
        <v>1.9886364008274472E-4</v>
      </c>
      <c r="U42" s="85">
        <f>R42/'סכום נכסי הקרן'!$C$42</f>
        <v>5.7001072407485849E-5</v>
      </c>
    </row>
    <row r="43" spans="2:21">
      <c r="B43" s="77" t="s">
        <v>375</v>
      </c>
      <c r="C43" s="74">
        <v>6040299</v>
      </c>
      <c r="D43" s="87" t="s">
        <v>111</v>
      </c>
      <c r="E43" s="87" t="s">
        <v>328</v>
      </c>
      <c r="F43" s="74" t="s">
        <v>344</v>
      </c>
      <c r="G43" s="87" t="s">
        <v>336</v>
      </c>
      <c r="H43" s="74" t="s">
        <v>367</v>
      </c>
      <c r="I43" s="74" t="s">
        <v>151</v>
      </c>
      <c r="J43" s="74"/>
      <c r="K43" s="84">
        <v>0.61000000000122101</v>
      </c>
      <c r="L43" s="87" t="s">
        <v>155</v>
      </c>
      <c r="M43" s="88">
        <v>3.4000000000000002E-2</v>
      </c>
      <c r="N43" s="88">
        <v>3.250000000003981E-2</v>
      </c>
      <c r="O43" s="84">
        <v>179690.88914799999</v>
      </c>
      <c r="P43" s="86">
        <v>104.82</v>
      </c>
      <c r="Q43" s="74"/>
      <c r="R43" s="84">
        <v>188.35197385700005</v>
      </c>
      <c r="S43" s="85">
        <v>2.0103162212999382E-4</v>
      </c>
      <c r="T43" s="85">
        <f t="shared" si="0"/>
        <v>2.258455243518758E-3</v>
      </c>
      <c r="U43" s="85">
        <f>R43/'סכום נכסי הקרן'!$C$42</f>
        <v>6.4734996709963678E-4</v>
      </c>
    </row>
    <row r="44" spans="2:21">
      <c r="B44" s="77" t="s">
        <v>376</v>
      </c>
      <c r="C44" s="74">
        <v>1145564</v>
      </c>
      <c r="D44" s="87" t="s">
        <v>111</v>
      </c>
      <c r="E44" s="87" t="s">
        <v>328</v>
      </c>
      <c r="F44" s="74" t="s">
        <v>377</v>
      </c>
      <c r="G44" s="87" t="s">
        <v>1274</v>
      </c>
      <c r="H44" s="74" t="s">
        <v>367</v>
      </c>
      <c r="I44" s="74" t="s">
        <v>151</v>
      </c>
      <c r="J44" s="74"/>
      <c r="K44" s="84">
        <v>5.249999999998276</v>
      </c>
      <c r="L44" s="87" t="s">
        <v>155</v>
      </c>
      <c r="M44" s="88">
        <v>8.3000000000000001E-3</v>
      </c>
      <c r="N44" s="88">
        <v>1.0199999999996781E-2</v>
      </c>
      <c r="O44" s="84">
        <v>868115.38015500014</v>
      </c>
      <c r="P44" s="86">
        <v>100.2</v>
      </c>
      <c r="Q44" s="74"/>
      <c r="R44" s="84">
        <v>869.85165811399997</v>
      </c>
      <c r="S44" s="85">
        <v>5.6686881875472612E-4</v>
      </c>
      <c r="T44" s="85">
        <f t="shared" si="0"/>
        <v>1.0430052832058698E-2</v>
      </c>
      <c r="U44" s="85">
        <f>R44/'סכום נכסי הקרן'!$C$42</f>
        <v>2.9896073331791896E-3</v>
      </c>
    </row>
    <row r="45" spans="2:21">
      <c r="B45" s="77" t="s">
        <v>378</v>
      </c>
      <c r="C45" s="74">
        <v>1145572</v>
      </c>
      <c r="D45" s="87" t="s">
        <v>111</v>
      </c>
      <c r="E45" s="87" t="s">
        <v>328</v>
      </c>
      <c r="F45" s="74" t="s">
        <v>377</v>
      </c>
      <c r="G45" s="87" t="s">
        <v>1274</v>
      </c>
      <c r="H45" s="74" t="s">
        <v>367</v>
      </c>
      <c r="I45" s="74" t="s">
        <v>151</v>
      </c>
      <c r="J45" s="74"/>
      <c r="K45" s="84">
        <v>9.0199999999985216</v>
      </c>
      <c r="L45" s="87" t="s">
        <v>155</v>
      </c>
      <c r="M45" s="88">
        <v>1.6500000000000001E-2</v>
      </c>
      <c r="N45" s="88">
        <v>1.4099999999988132E-2</v>
      </c>
      <c r="O45" s="84">
        <v>430822.66531199997</v>
      </c>
      <c r="P45" s="86">
        <v>103.69</v>
      </c>
      <c r="Q45" s="74"/>
      <c r="R45" s="84">
        <v>446.72004183300004</v>
      </c>
      <c r="S45" s="85">
        <v>2.9507795409135424E-4</v>
      </c>
      <c r="T45" s="85">
        <f t="shared" si="0"/>
        <v>5.3564462330967103E-3</v>
      </c>
      <c r="U45" s="85">
        <f>R45/'סכום נכסי הקרן'!$C$42</f>
        <v>1.5353393886006971E-3</v>
      </c>
    </row>
    <row r="46" spans="2:21">
      <c r="B46" s="77" t="s">
        <v>379</v>
      </c>
      <c r="C46" s="74">
        <v>1147503</v>
      </c>
      <c r="D46" s="87" t="s">
        <v>111</v>
      </c>
      <c r="E46" s="87" t="s">
        <v>328</v>
      </c>
      <c r="F46" s="74" t="s">
        <v>380</v>
      </c>
      <c r="G46" s="87" t="s">
        <v>147</v>
      </c>
      <c r="H46" s="74" t="s">
        <v>367</v>
      </c>
      <c r="I46" s="74" t="s">
        <v>151</v>
      </c>
      <c r="J46" s="74"/>
      <c r="K46" s="84">
        <v>8.8599999999951802</v>
      </c>
      <c r="L46" s="87" t="s">
        <v>155</v>
      </c>
      <c r="M46" s="88">
        <v>2.6499999999999999E-2</v>
      </c>
      <c r="N46" s="88">
        <v>1.2800000000007137E-2</v>
      </c>
      <c r="O46" s="84">
        <v>98112.750977999996</v>
      </c>
      <c r="P46" s="86">
        <v>114.21</v>
      </c>
      <c r="Q46" s="74"/>
      <c r="R46" s="84">
        <v>112.05457253900002</v>
      </c>
      <c r="S46" s="85">
        <v>8.43772573813797E-5</v>
      </c>
      <c r="T46" s="85">
        <f t="shared" si="0"/>
        <v>1.3436027864677051E-3</v>
      </c>
      <c r="U46" s="85">
        <f>R46/'סכום נכסי הקרן'!$C$42</f>
        <v>3.8512218566691517E-4</v>
      </c>
    </row>
    <row r="47" spans="2:21">
      <c r="B47" s="77" t="s">
        <v>381</v>
      </c>
      <c r="C47" s="74">
        <v>1134436</v>
      </c>
      <c r="D47" s="87" t="s">
        <v>111</v>
      </c>
      <c r="E47" s="87" t="s">
        <v>328</v>
      </c>
      <c r="F47" s="74" t="s">
        <v>382</v>
      </c>
      <c r="G47" s="87" t="s">
        <v>1274</v>
      </c>
      <c r="H47" s="74" t="s">
        <v>374</v>
      </c>
      <c r="I47" s="74" t="s">
        <v>332</v>
      </c>
      <c r="J47" s="74"/>
      <c r="K47" s="84">
        <v>2.960000000000282</v>
      </c>
      <c r="L47" s="87" t="s">
        <v>155</v>
      </c>
      <c r="M47" s="88">
        <v>6.5000000000000006E-3</v>
      </c>
      <c r="N47" s="88">
        <v>1.3700000000009165E-2</v>
      </c>
      <c r="O47" s="84">
        <v>239610.20893199998</v>
      </c>
      <c r="P47" s="86">
        <v>98</v>
      </c>
      <c r="Q47" s="84">
        <v>48.900737638000003</v>
      </c>
      <c r="R47" s="84">
        <v>283.71874240199998</v>
      </c>
      <c r="S47" s="85">
        <v>3.8092912015309641E-4</v>
      </c>
      <c r="T47" s="85">
        <f t="shared" si="0"/>
        <v>3.4019610643890833E-3</v>
      </c>
      <c r="U47" s="85">
        <f>R47/'סכום נכסי הקרן'!$C$42</f>
        <v>9.7511756738438411E-4</v>
      </c>
    </row>
    <row r="48" spans="2:21">
      <c r="B48" s="77" t="s">
        <v>383</v>
      </c>
      <c r="C48" s="74">
        <v>1138650</v>
      </c>
      <c r="D48" s="87" t="s">
        <v>111</v>
      </c>
      <c r="E48" s="87" t="s">
        <v>328</v>
      </c>
      <c r="F48" s="74" t="s">
        <v>382</v>
      </c>
      <c r="G48" s="87" t="s">
        <v>1274</v>
      </c>
      <c r="H48" s="74" t="s">
        <v>367</v>
      </c>
      <c r="I48" s="74" t="s">
        <v>151</v>
      </c>
      <c r="J48" s="74"/>
      <c r="K48" s="84">
        <v>5.0199999999987455</v>
      </c>
      <c r="L48" s="87" t="s">
        <v>155</v>
      </c>
      <c r="M48" s="88">
        <v>1.34E-2</v>
      </c>
      <c r="N48" s="88">
        <v>1.4899999999998496E-2</v>
      </c>
      <c r="O48" s="84">
        <v>1910125.2900640003</v>
      </c>
      <c r="P48" s="86">
        <v>101</v>
      </c>
      <c r="Q48" s="74"/>
      <c r="R48" s="84">
        <v>1929.2265486210001</v>
      </c>
      <c r="S48" s="85">
        <v>5.0035044422282497E-4</v>
      </c>
      <c r="T48" s="85">
        <f t="shared" si="0"/>
        <v>2.3132605013083937E-2</v>
      </c>
      <c r="U48" s="85">
        <f>R48/'סכום נכסי הקרן'!$C$42</f>
        <v>6.6305901509995553E-3</v>
      </c>
    </row>
    <row r="49" spans="2:21">
      <c r="B49" s="77" t="s">
        <v>384</v>
      </c>
      <c r="C49" s="74">
        <v>1156603</v>
      </c>
      <c r="D49" s="87" t="s">
        <v>111</v>
      </c>
      <c r="E49" s="87" t="s">
        <v>328</v>
      </c>
      <c r="F49" s="74" t="s">
        <v>382</v>
      </c>
      <c r="G49" s="87" t="s">
        <v>1274</v>
      </c>
      <c r="H49" s="74" t="s">
        <v>367</v>
      </c>
      <c r="I49" s="74" t="s">
        <v>151</v>
      </c>
      <c r="J49" s="74"/>
      <c r="K49" s="84">
        <v>5.9700000000023863</v>
      </c>
      <c r="L49" s="87" t="s">
        <v>155</v>
      </c>
      <c r="M49" s="88">
        <v>1.77E-2</v>
      </c>
      <c r="N49" s="88">
        <v>1.5300000000004142E-2</v>
      </c>
      <c r="O49" s="84">
        <v>875272.547242</v>
      </c>
      <c r="P49" s="86">
        <v>102</v>
      </c>
      <c r="Q49" s="74"/>
      <c r="R49" s="84">
        <v>892.778001571</v>
      </c>
      <c r="S49" s="85">
        <v>3.5979898113719448E-4</v>
      </c>
      <c r="T49" s="85">
        <f t="shared" si="0"/>
        <v>1.070495369736359E-2</v>
      </c>
      <c r="U49" s="85">
        <f>R49/'סכום נכסי הקרן'!$C$42</f>
        <v>3.0684032564641337E-3</v>
      </c>
    </row>
    <row r="50" spans="2:21">
      <c r="B50" s="77" t="s">
        <v>385</v>
      </c>
      <c r="C50" s="74">
        <v>1156611</v>
      </c>
      <c r="D50" s="87" t="s">
        <v>111</v>
      </c>
      <c r="E50" s="87" t="s">
        <v>328</v>
      </c>
      <c r="F50" s="74" t="s">
        <v>382</v>
      </c>
      <c r="G50" s="87" t="s">
        <v>1274</v>
      </c>
      <c r="H50" s="74" t="s">
        <v>367</v>
      </c>
      <c r="I50" s="74" t="s">
        <v>151</v>
      </c>
      <c r="J50" s="74"/>
      <c r="K50" s="84">
        <v>9.2699999999946794</v>
      </c>
      <c r="L50" s="87" t="s">
        <v>155</v>
      </c>
      <c r="M50" s="88">
        <v>2.4799999999999999E-2</v>
      </c>
      <c r="N50" s="88">
        <v>1.5899999999982265E-2</v>
      </c>
      <c r="O50" s="84">
        <v>433383.84971699998</v>
      </c>
      <c r="P50" s="86">
        <v>109.3</v>
      </c>
      <c r="Q50" s="74"/>
      <c r="R50" s="84">
        <v>473.68855367600003</v>
      </c>
      <c r="S50" s="85">
        <v>3.6234229472803249E-4</v>
      </c>
      <c r="T50" s="85">
        <f t="shared" si="0"/>
        <v>5.6798151669840858E-3</v>
      </c>
      <c r="U50" s="85">
        <f>R50/'סכום נכסי הקרן'!$C$42</f>
        <v>1.6280279062561938E-3</v>
      </c>
    </row>
    <row r="51" spans="2:21">
      <c r="B51" s="77" t="s">
        <v>386</v>
      </c>
      <c r="C51" s="74">
        <v>1940402</v>
      </c>
      <c r="D51" s="87" t="s">
        <v>111</v>
      </c>
      <c r="E51" s="87" t="s">
        <v>328</v>
      </c>
      <c r="F51" s="74" t="s">
        <v>361</v>
      </c>
      <c r="G51" s="87" t="s">
        <v>336</v>
      </c>
      <c r="H51" s="74" t="s">
        <v>367</v>
      </c>
      <c r="I51" s="74" t="s">
        <v>151</v>
      </c>
      <c r="J51" s="74"/>
      <c r="K51" s="84">
        <v>0.98999999999942034</v>
      </c>
      <c r="L51" s="87" t="s">
        <v>155</v>
      </c>
      <c r="M51" s="88">
        <v>4.0999999999999995E-2</v>
      </c>
      <c r="N51" s="88">
        <v>1.9499999999971013E-2</v>
      </c>
      <c r="O51" s="84">
        <v>222497.176974</v>
      </c>
      <c r="P51" s="86">
        <v>124.05</v>
      </c>
      <c r="Q51" s="74"/>
      <c r="R51" s="84">
        <v>276.00773888399999</v>
      </c>
      <c r="S51" s="85">
        <v>2.8557813038546223E-4</v>
      </c>
      <c r="T51" s="85">
        <f t="shared" si="0"/>
        <v>3.3095014210341354E-3</v>
      </c>
      <c r="U51" s="85">
        <f>R51/'סכום נכסי הקרן'!$C$42</f>
        <v>9.4861549378534517E-4</v>
      </c>
    </row>
    <row r="52" spans="2:21">
      <c r="B52" s="77" t="s">
        <v>387</v>
      </c>
      <c r="C52" s="74">
        <v>1940543</v>
      </c>
      <c r="D52" s="87" t="s">
        <v>111</v>
      </c>
      <c r="E52" s="87" t="s">
        <v>328</v>
      </c>
      <c r="F52" s="74" t="s">
        <v>361</v>
      </c>
      <c r="G52" s="87" t="s">
        <v>336</v>
      </c>
      <c r="H52" s="74" t="s">
        <v>367</v>
      </c>
      <c r="I52" s="74" t="s">
        <v>151</v>
      </c>
      <c r="J52" s="74"/>
      <c r="K52" s="84">
        <v>2.0499999999996752</v>
      </c>
      <c r="L52" s="87" t="s">
        <v>155</v>
      </c>
      <c r="M52" s="88">
        <v>4.2000000000000003E-2</v>
      </c>
      <c r="N52" s="88">
        <v>1.8500000000009748E-2</v>
      </c>
      <c r="O52" s="84">
        <v>138961.68909599999</v>
      </c>
      <c r="P52" s="86">
        <v>110.7</v>
      </c>
      <c r="Q52" s="74"/>
      <c r="R52" s="84">
        <v>153.83058742099999</v>
      </c>
      <c r="S52" s="85">
        <v>1.3927729143839939E-4</v>
      </c>
      <c r="T52" s="85">
        <f t="shared" si="0"/>
        <v>1.8445227286988497E-3</v>
      </c>
      <c r="U52" s="85">
        <f>R52/'סכום נכסי הקרן'!$C$42</f>
        <v>5.2870285172326693E-4</v>
      </c>
    </row>
    <row r="53" spans="2:21">
      <c r="B53" s="77" t="s">
        <v>388</v>
      </c>
      <c r="C53" s="74">
        <v>1940501</v>
      </c>
      <c r="D53" s="87" t="s">
        <v>111</v>
      </c>
      <c r="E53" s="87" t="s">
        <v>328</v>
      </c>
      <c r="F53" s="74" t="s">
        <v>361</v>
      </c>
      <c r="G53" s="87" t="s">
        <v>336</v>
      </c>
      <c r="H53" s="74" t="s">
        <v>367</v>
      </c>
      <c r="I53" s="74" t="s">
        <v>151</v>
      </c>
      <c r="J53" s="74"/>
      <c r="K53" s="84">
        <v>1.6200000000005579</v>
      </c>
      <c r="L53" s="87" t="s">
        <v>155</v>
      </c>
      <c r="M53" s="88">
        <v>0.04</v>
      </c>
      <c r="N53" s="88">
        <v>2.1400000000018123E-2</v>
      </c>
      <c r="O53" s="84">
        <v>518340.21931800002</v>
      </c>
      <c r="P53" s="86">
        <v>110.7</v>
      </c>
      <c r="Q53" s="74"/>
      <c r="R53" s="84">
        <v>573.80258581399994</v>
      </c>
      <c r="S53" s="85">
        <v>2.3793459570174187E-4</v>
      </c>
      <c r="T53" s="85">
        <f t="shared" si="0"/>
        <v>6.8802435787592266E-3</v>
      </c>
      <c r="U53" s="85">
        <f>R53/'סכום נכסי הקרן'!$C$42</f>
        <v>1.9721114541140471E-3</v>
      </c>
    </row>
    <row r="54" spans="2:21">
      <c r="B54" s="77" t="s">
        <v>389</v>
      </c>
      <c r="C54" s="74">
        <v>1133487</v>
      </c>
      <c r="D54" s="87" t="s">
        <v>111</v>
      </c>
      <c r="E54" s="87" t="s">
        <v>328</v>
      </c>
      <c r="F54" s="74" t="s">
        <v>390</v>
      </c>
      <c r="G54" s="87" t="s">
        <v>1274</v>
      </c>
      <c r="H54" s="74" t="s">
        <v>391</v>
      </c>
      <c r="I54" s="74" t="s">
        <v>332</v>
      </c>
      <c r="J54" s="74"/>
      <c r="K54" s="84">
        <v>4.4300000000002155</v>
      </c>
      <c r="L54" s="87" t="s">
        <v>155</v>
      </c>
      <c r="M54" s="88">
        <v>2.3399999999999997E-2</v>
      </c>
      <c r="N54" s="88">
        <v>1.6299999999997195E-2</v>
      </c>
      <c r="O54" s="84">
        <v>1173988.586132</v>
      </c>
      <c r="P54" s="86">
        <v>103.2</v>
      </c>
      <c r="Q54" s="74"/>
      <c r="R54" s="84">
        <v>1211.556228918</v>
      </c>
      <c r="S54" s="85">
        <v>3.6750787135385478E-4</v>
      </c>
      <c r="T54" s="85">
        <f t="shared" si="0"/>
        <v>1.4527299406456303E-2</v>
      </c>
      <c r="U54" s="85">
        <f>R54/'סכום נכסי הקרן'!$C$42</f>
        <v>4.1640173387557993E-3</v>
      </c>
    </row>
    <row r="55" spans="2:21">
      <c r="B55" s="77" t="s">
        <v>392</v>
      </c>
      <c r="C55" s="74">
        <v>1140110</v>
      </c>
      <c r="D55" s="87" t="s">
        <v>111</v>
      </c>
      <c r="E55" s="87" t="s">
        <v>328</v>
      </c>
      <c r="F55" s="74" t="s">
        <v>390</v>
      </c>
      <c r="G55" s="87" t="s">
        <v>1274</v>
      </c>
      <c r="H55" s="74" t="s">
        <v>391</v>
      </c>
      <c r="I55" s="74" t="s">
        <v>332</v>
      </c>
      <c r="J55" s="74"/>
      <c r="K55" s="84">
        <v>1.5700000000011913</v>
      </c>
      <c r="L55" s="87" t="s">
        <v>155</v>
      </c>
      <c r="M55" s="88">
        <v>0.03</v>
      </c>
      <c r="N55" s="88">
        <v>2.2099999999996026E-2</v>
      </c>
      <c r="O55" s="84">
        <v>244472.622966</v>
      </c>
      <c r="P55" s="86">
        <v>103</v>
      </c>
      <c r="Q55" s="74"/>
      <c r="R55" s="84">
        <v>251.80679511</v>
      </c>
      <c r="S55" s="85">
        <v>6.7739382308914207E-4</v>
      </c>
      <c r="T55" s="85">
        <f t="shared" si="0"/>
        <v>3.0193173191887827E-3</v>
      </c>
      <c r="U55" s="85">
        <f>R55/'סכום נכסי הקרן'!$C$42</f>
        <v>8.6543887590836293E-4</v>
      </c>
    </row>
    <row r="56" spans="2:21">
      <c r="B56" s="77" t="s">
        <v>393</v>
      </c>
      <c r="C56" s="74">
        <v>1160944</v>
      </c>
      <c r="D56" s="87" t="s">
        <v>111</v>
      </c>
      <c r="E56" s="87" t="s">
        <v>328</v>
      </c>
      <c r="F56" s="74" t="s">
        <v>390</v>
      </c>
      <c r="G56" s="87" t="s">
        <v>1274</v>
      </c>
      <c r="H56" s="74" t="s">
        <v>391</v>
      </c>
      <c r="I56" s="74" t="s">
        <v>332</v>
      </c>
      <c r="J56" s="74"/>
      <c r="K56" s="84">
        <v>8.000000000006299</v>
      </c>
      <c r="L56" s="87" t="s">
        <v>155</v>
      </c>
      <c r="M56" s="88">
        <v>6.5000000000000006E-3</v>
      </c>
      <c r="N56" s="88">
        <v>1.9900000000027718E-2</v>
      </c>
      <c r="O56" s="84">
        <v>177565.12205999999</v>
      </c>
      <c r="P56" s="86">
        <v>89.4</v>
      </c>
      <c r="Q56" s="74"/>
      <c r="R56" s="84">
        <v>158.74322504399998</v>
      </c>
      <c r="S56" s="85">
        <v>5.9188374020000001E-4</v>
      </c>
      <c r="T56" s="85">
        <f t="shared" si="0"/>
        <v>1.9034282552615571E-3</v>
      </c>
      <c r="U56" s="85">
        <f>R56/'סכום נכסי הקרן'!$C$42</f>
        <v>5.4558717599393236E-4</v>
      </c>
    </row>
    <row r="57" spans="2:21">
      <c r="B57" s="77" t="s">
        <v>394</v>
      </c>
      <c r="C57" s="74">
        <v>1126630</v>
      </c>
      <c r="D57" s="87" t="s">
        <v>111</v>
      </c>
      <c r="E57" s="87" t="s">
        <v>328</v>
      </c>
      <c r="F57" s="74" t="s">
        <v>395</v>
      </c>
      <c r="G57" s="87" t="s">
        <v>1274</v>
      </c>
      <c r="H57" s="74" t="s">
        <v>396</v>
      </c>
      <c r="I57" s="74" t="s">
        <v>151</v>
      </c>
      <c r="J57" s="74"/>
      <c r="K57" s="84">
        <v>1.1999999999997857</v>
      </c>
      <c r="L57" s="87" t="s">
        <v>155</v>
      </c>
      <c r="M57" s="88">
        <v>4.8000000000000001E-2</v>
      </c>
      <c r="N57" s="88">
        <v>3.1200000000000852E-2</v>
      </c>
      <c r="O57" s="84">
        <v>865209.89113399992</v>
      </c>
      <c r="P57" s="86">
        <v>107.8</v>
      </c>
      <c r="Q57" s="74"/>
      <c r="R57" s="84">
        <v>932.69623596600002</v>
      </c>
      <c r="S57" s="85">
        <v>7.0710687500255391E-4</v>
      </c>
      <c r="T57" s="85">
        <f t="shared" si="0"/>
        <v>1.1183597716511723E-2</v>
      </c>
      <c r="U57" s="85">
        <f>R57/'סכום נכסי הקרן'!$C$42</f>
        <v>3.2055988865024886E-3</v>
      </c>
    </row>
    <row r="58" spans="2:21">
      <c r="B58" s="77" t="s">
        <v>397</v>
      </c>
      <c r="C58" s="74">
        <v>1117357</v>
      </c>
      <c r="D58" s="87" t="s">
        <v>111</v>
      </c>
      <c r="E58" s="87" t="s">
        <v>328</v>
      </c>
      <c r="F58" s="74" t="s">
        <v>395</v>
      </c>
      <c r="G58" s="87" t="s">
        <v>1274</v>
      </c>
      <c r="H58" s="74" t="s">
        <v>396</v>
      </c>
      <c r="I58" s="74" t="s">
        <v>151</v>
      </c>
      <c r="J58" s="74"/>
      <c r="K58" s="84">
        <v>0.74999999999598821</v>
      </c>
      <c r="L58" s="87" t="s">
        <v>155</v>
      </c>
      <c r="M58" s="88">
        <v>4.9000000000000002E-2</v>
      </c>
      <c r="N58" s="88">
        <v>2.080000000005135E-2</v>
      </c>
      <c r="O58" s="84">
        <v>55640.344101999995</v>
      </c>
      <c r="P58" s="86">
        <v>112</v>
      </c>
      <c r="Q58" s="74"/>
      <c r="R58" s="84">
        <v>62.317185871</v>
      </c>
      <c r="S58" s="85">
        <v>5.6172938833883251E-4</v>
      </c>
      <c r="T58" s="85">
        <f t="shared" si="0"/>
        <v>7.4722113238136591E-4</v>
      </c>
      <c r="U58" s="85">
        <f>R58/'סכום נכסי הקרן'!$C$42</f>
        <v>2.1417895123287308E-4</v>
      </c>
    </row>
    <row r="59" spans="2:21">
      <c r="B59" s="77" t="s">
        <v>398</v>
      </c>
      <c r="C59" s="74">
        <v>1133149</v>
      </c>
      <c r="D59" s="87" t="s">
        <v>111</v>
      </c>
      <c r="E59" s="87" t="s">
        <v>328</v>
      </c>
      <c r="F59" s="74" t="s">
        <v>395</v>
      </c>
      <c r="G59" s="87" t="s">
        <v>1274</v>
      </c>
      <c r="H59" s="74" t="s">
        <v>396</v>
      </c>
      <c r="I59" s="74" t="s">
        <v>151</v>
      </c>
      <c r="J59" s="74"/>
      <c r="K59" s="84">
        <v>5.0800000000013226</v>
      </c>
      <c r="L59" s="87" t="s">
        <v>155</v>
      </c>
      <c r="M59" s="88">
        <v>3.2000000000000001E-2</v>
      </c>
      <c r="N59" s="88">
        <v>1.6600000000002141E-2</v>
      </c>
      <c r="O59" s="84">
        <v>931341.55374600005</v>
      </c>
      <c r="P59" s="86">
        <v>110.35</v>
      </c>
      <c r="Q59" s="74"/>
      <c r="R59" s="84">
        <v>1027.7354479330002</v>
      </c>
      <c r="S59" s="85">
        <v>5.6458081986716913E-4</v>
      </c>
      <c r="T59" s="85">
        <f t="shared" si="0"/>
        <v>1.2323175933885341E-2</v>
      </c>
      <c r="U59" s="85">
        <f>R59/'סכום נכסי הקרן'!$C$42</f>
        <v>3.5322407022485912E-3</v>
      </c>
    </row>
    <row r="60" spans="2:21">
      <c r="B60" s="77" t="s">
        <v>399</v>
      </c>
      <c r="C60" s="74">
        <v>1158609</v>
      </c>
      <c r="D60" s="87" t="s">
        <v>111</v>
      </c>
      <c r="E60" s="87" t="s">
        <v>328</v>
      </c>
      <c r="F60" s="74" t="s">
        <v>395</v>
      </c>
      <c r="G60" s="87" t="s">
        <v>1274</v>
      </c>
      <c r="H60" s="74" t="s">
        <v>396</v>
      </c>
      <c r="I60" s="74" t="s">
        <v>151</v>
      </c>
      <c r="J60" s="74"/>
      <c r="K60" s="84">
        <v>7.5399999999957119</v>
      </c>
      <c r="L60" s="87" t="s">
        <v>155</v>
      </c>
      <c r="M60" s="88">
        <v>1.1399999999999999E-2</v>
      </c>
      <c r="N60" s="88">
        <v>1.8699999999997732E-2</v>
      </c>
      <c r="O60" s="84">
        <v>610990.70701400004</v>
      </c>
      <c r="P60" s="86">
        <v>93.9</v>
      </c>
      <c r="Q60" s="74"/>
      <c r="R60" s="84">
        <v>573.72027389900006</v>
      </c>
      <c r="S60" s="85">
        <v>3.7739167552346137E-4</v>
      </c>
      <c r="T60" s="85">
        <f t="shared" si="0"/>
        <v>6.8792566086084564E-3</v>
      </c>
      <c r="U60" s="85">
        <f>R60/'סכום נכסי הקרן'!$C$42</f>
        <v>1.971828554952568E-3</v>
      </c>
    </row>
    <row r="61" spans="2:21">
      <c r="B61" s="77" t="s">
        <v>400</v>
      </c>
      <c r="C61" s="74">
        <v>1151117</v>
      </c>
      <c r="D61" s="87" t="s">
        <v>111</v>
      </c>
      <c r="E61" s="87" t="s">
        <v>328</v>
      </c>
      <c r="F61" s="74" t="s">
        <v>401</v>
      </c>
      <c r="G61" s="87" t="s">
        <v>1274</v>
      </c>
      <c r="H61" s="74" t="s">
        <v>391</v>
      </c>
      <c r="I61" s="74" t="s">
        <v>332</v>
      </c>
      <c r="J61" s="74"/>
      <c r="K61" s="84">
        <v>5.9099999999937989</v>
      </c>
      <c r="L61" s="87" t="s">
        <v>155</v>
      </c>
      <c r="M61" s="88">
        <v>1.8200000000000001E-2</v>
      </c>
      <c r="N61" s="88">
        <v>2.1099999999979562E-2</v>
      </c>
      <c r="O61" s="84">
        <v>291099.21273799997</v>
      </c>
      <c r="P61" s="86">
        <v>99.17</v>
      </c>
      <c r="Q61" s="74"/>
      <c r="R61" s="84">
        <v>288.68309556899999</v>
      </c>
      <c r="S61" s="85">
        <v>6.4782288358295305E-4</v>
      </c>
      <c r="T61" s="85">
        <f t="shared" si="0"/>
        <v>3.461486691920878E-3</v>
      </c>
      <c r="U61" s="85">
        <f>R61/'סכום נכסי הקרן'!$C$42</f>
        <v>9.9217963365064101E-4</v>
      </c>
    </row>
    <row r="62" spans="2:21">
      <c r="B62" s="77" t="s">
        <v>402</v>
      </c>
      <c r="C62" s="74">
        <v>1159516</v>
      </c>
      <c r="D62" s="87" t="s">
        <v>111</v>
      </c>
      <c r="E62" s="87" t="s">
        <v>328</v>
      </c>
      <c r="F62" s="74" t="s">
        <v>401</v>
      </c>
      <c r="G62" s="87" t="s">
        <v>1274</v>
      </c>
      <c r="H62" s="74" t="s">
        <v>391</v>
      </c>
      <c r="I62" s="74" t="s">
        <v>332</v>
      </c>
      <c r="J62" s="74"/>
      <c r="K62" s="84">
        <v>7.0600000001482153</v>
      </c>
      <c r="L62" s="87" t="s">
        <v>155</v>
      </c>
      <c r="M62" s="88">
        <v>7.8000000000000005E-3</v>
      </c>
      <c r="N62" s="88">
        <v>2.1900000000344443E-2</v>
      </c>
      <c r="O62" s="84">
        <v>21309.239815000001</v>
      </c>
      <c r="P62" s="86">
        <v>89.92</v>
      </c>
      <c r="Q62" s="74"/>
      <c r="R62" s="84">
        <v>19.161269186000002</v>
      </c>
      <c r="S62" s="85">
        <v>4.6486125250872603E-5</v>
      </c>
      <c r="T62" s="85">
        <f t="shared" si="0"/>
        <v>2.2975532445681249E-4</v>
      </c>
      <c r="U62" s="85">
        <f>R62/'סכום נכסי הקרן'!$C$42</f>
        <v>6.5855678191945811E-5</v>
      </c>
    </row>
    <row r="63" spans="2:21">
      <c r="B63" s="77" t="s">
        <v>403</v>
      </c>
      <c r="C63" s="74">
        <v>1161512</v>
      </c>
      <c r="D63" s="87" t="s">
        <v>111</v>
      </c>
      <c r="E63" s="87" t="s">
        <v>328</v>
      </c>
      <c r="F63" s="74" t="s">
        <v>401</v>
      </c>
      <c r="G63" s="87" t="s">
        <v>1274</v>
      </c>
      <c r="H63" s="74" t="s">
        <v>391</v>
      </c>
      <c r="I63" s="74" t="s">
        <v>332</v>
      </c>
      <c r="J63" s="74"/>
      <c r="K63" s="84">
        <v>5.0099999999884792</v>
      </c>
      <c r="L63" s="87" t="s">
        <v>155</v>
      </c>
      <c r="M63" s="88">
        <v>2E-3</v>
      </c>
      <c r="N63" s="88">
        <v>1.6799999999952641E-2</v>
      </c>
      <c r="O63" s="84">
        <v>238306.63188999999</v>
      </c>
      <c r="P63" s="86">
        <v>92.15</v>
      </c>
      <c r="Q63" s="74"/>
      <c r="R63" s="84">
        <v>219.599550953</v>
      </c>
      <c r="S63" s="85">
        <v>6.3548435170666668E-4</v>
      </c>
      <c r="T63" s="85">
        <f t="shared" si="0"/>
        <v>2.6331327841602838E-3</v>
      </c>
      <c r="U63" s="85">
        <f>R63/'סכום נכסי הקרן'!$C$42</f>
        <v>7.5474527382679883E-4</v>
      </c>
    </row>
    <row r="64" spans="2:21">
      <c r="B64" s="77" t="s">
        <v>404</v>
      </c>
      <c r="C64" s="74">
        <v>6040141</v>
      </c>
      <c r="D64" s="87" t="s">
        <v>111</v>
      </c>
      <c r="E64" s="87" t="s">
        <v>328</v>
      </c>
      <c r="F64" s="74" t="s">
        <v>344</v>
      </c>
      <c r="G64" s="87" t="s">
        <v>336</v>
      </c>
      <c r="H64" s="74" t="s">
        <v>396</v>
      </c>
      <c r="I64" s="74" t="s">
        <v>151</v>
      </c>
      <c r="J64" s="74"/>
      <c r="K64" s="84">
        <v>0.82999999999967777</v>
      </c>
      <c r="L64" s="87" t="s">
        <v>155</v>
      </c>
      <c r="M64" s="88">
        <v>0.04</v>
      </c>
      <c r="N64" s="88">
        <v>1.4399999999999542E-2</v>
      </c>
      <c r="O64" s="84">
        <v>779335.99189299997</v>
      </c>
      <c r="P64" s="86">
        <v>111.43</v>
      </c>
      <c r="Q64" s="74"/>
      <c r="R64" s="84">
        <v>868.41410741599987</v>
      </c>
      <c r="S64" s="85">
        <v>5.7728677516040764E-4</v>
      </c>
      <c r="T64" s="85">
        <f t="shared" si="0"/>
        <v>1.0412815720892626E-2</v>
      </c>
      <c r="U64" s="85">
        <f>R64/'סכום נכסי הקרן'!$C$42</f>
        <v>2.9846665917683196E-3</v>
      </c>
    </row>
    <row r="65" spans="2:21">
      <c r="B65" s="77" t="s">
        <v>405</v>
      </c>
      <c r="C65" s="74">
        <v>7590128</v>
      </c>
      <c r="D65" s="87" t="s">
        <v>111</v>
      </c>
      <c r="E65" s="87" t="s">
        <v>328</v>
      </c>
      <c r="F65" s="74" t="s">
        <v>406</v>
      </c>
      <c r="G65" s="87" t="s">
        <v>1274</v>
      </c>
      <c r="H65" s="74" t="s">
        <v>396</v>
      </c>
      <c r="I65" s="74" t="s">
        <v>151</v>
      </c>
      <c r="J65" s="74"/>
      <c r="K65" s="84">
        <v>3.3000000000006531</v>
      </c>
      <c r="L65" s="87" t="s">
        <v>155</v>
      </c>
      <c r="M65" s="88">
        <v>4.7500000000000001E-2</v>
      </c>
      <c r="N65" s="88">
        <v>1.5700000000001525E-2</v>
      </c>
      <c r="O65" s="84">
        <v>1024513.558436</v>
      </c>
      <c r="P65" s="86">
        <v>134.51</v>
      </c>
      <c r="Q65" s="74"/>
      <c r="R65" s="84">
        <v>1378.073185447</v>
      </c>
      <c r="S65" s="85">
        <v>5.4284616035394479E-4</v>
      </c>
      <c r="T65" s="85">
        <f t="shared" si="0"/>
        <v>1.6523939451721901E-2</v>
      </c>
      <c r="U65" s="85">
        <f>R65/'סכום נכסי הקרן'!$C$42</f>
        <v>4.7363221791203577E-3</v>
      </c>
    </row>
    <row r="66" spans="2:21">
      <c r="B66" s="77" t="s">
        <v>407</v>
      </c>
      <c r="C66" s="74">
        <v>7590219</v>
      </c>
      <c r="D66" s="87" t="s">
        <v>111</v>
      </c>
      <c r="E66" s="87" t="s">
        <v>328</v>
      </c>
      <c r="F66" s="74" t="s">
        <v>406</v>
      </c>
      <c r="G66" s="87" t="s">
        <v>1274</v>
      </c>
      <c r="H66" s="74" t="s">
        <v>396</v>
      </c>
      <c r="I66" s="74" t="s">
        <v>151</v>
      </c>
      <c r="J66" s="74"/>
      <c r="K66" s="84">
        <v>5.4999999999885567</v>
      </c>
      <c r="L66" s="87" t="s">
        <v>155</v>
      </c>
      <c r="M66" s="88">
        <v>5.0000000000000001E-3</v>
      </c>
      <c r="N66" s="88">
        <v>1.469999999998169E-2</v>
      </c>
      <c r="O66" s="84">
        <v>276729.82488500001</v>
      </c>
      <c r="P66" s="86">
        <v>94.74</v>
      </c>
      <c r="Q66" s="74"/>
      <c r="R66" s="84">
        <v>262.17384858400004</v>
      </c>
      <c r="S66" s="85">
        <v>3.6683615695369244E-4</v>
      </c>
      <c r="T66" s="85">
        <f t="shared" si="0"/>
        <v>3.143624624276919E-3</v>
      </c>
      <c r="U66" s="85">
        <f>R66/'סכום נכסי הקרן'!$C$42</f>
        <v>9.0106957086677779E-4</v>
      </c>
    </row>
    <row r="67" spans="2:21">
      <c r="B67" s="77" t="s">
        <v>408</v>
      </c>
      <c r="C67" s="74">
        <v>1099738</v>
      </c>
      <c r="D67" s="87" t="s">
        <v>111</v>
      </c>
      <c r="E67" s="87" t="s">
        <v>328</v>
      </c>
      <c r="F67" s="74" t="s">
        <v>409</v>
      </c>
      <c r="G67" s="87" t="s">
        <v>410</v>
      </c>
      <c r="H67" s="74" t="s">
        <v>391</v>
      </c>
      <c r="I67" s="74" t="s">
        <v>332</v>
      </c>
      <c r="J67" s="74"/>
      <c r="K67" s="84">
        <v>1.2400000001156717</v>
      </c>
      <c r="L67" s="87" t="s">
        <v>155</v>
      </c>
      <c r="M67" s="88">
        <v>4.6500000000000007E-2</v>
      </c>
      <c r="N67" s="88">
        <v>1.550000000433769E-2</v>
      </c>
      <c r="O67" s="84">
        <v>1364.8804600000001</v>
      </c>
      <c r="P67" s="86">
        <v>126.68</v>
      </c>
      <c r="Q67" s="74"/>
      <c r="R67" s="84">
        <v>1.7290304949999999</v>
      </c>
      <c r="S67" s="85">
        <v>2.6939021194971614E-5</v>
      </c>
      <c r="T67" s="85">
        <f t="shared" si="0"/>
        <v>2.0732132016844577E-5</v>
      </c>
      <c r="U67" s="85">
        <f>R67/'סכום נכסי הקרן'!$C$42</f>
        <v>5.9425330732254525E-6</v>
      </c>
    </row>
    <row r="68" spans="2:21">
      <c r="B68" s="77" t="s">
        <v>411</v>
      </c>
      <c r="C68" s="74">
        <v>6000210</v>
      </c>
      <c r="D68" s="87" t="s">
        <v>111</v>
      </c>
      <c r="E68" s="87" t="s">
        <v>328</v>
      </c>
      <c r="F68" s="74" t="s">
        <v>412</v>
      </c>
      <c r="G68" s="87" t="s">
        <v>413</v>
      </c>
      <c r="H68" s="74" t="s">
        <v>396</v>
      </c>
      <c r="I68" s="74" t="s">
        <v>151</v>
      </c>
      <c r="J68" s="74"/>
      <c r="K68" s="84">
        <v>7.0100000000009386</v>
      </c>
      <c r="L68" s="87" t="s">
        <v>155</v>
      </c>
      <c r="M68" s="88">
        <v>3.85E-2</v>
      </c>
      <c r="N68" s="88">
        <v>1.2900000000004025E-2</v>
      </c>
      <c r="O68" s="84">
        <v>848799.70838899992</v>
      </c>
      <c r="P68" s="86">
        <v>120</v>
      </c>
      <c r="Q68" s="84">
        <v>25.552393522999999</v>
      </c>
      <c r="R68" s="84">
        <v>1044.1120436020001</v>
      </c>
      <c r="S68" s="85">
        <v>3.2170292738854139E-4</v>
      </c>
      <c r="T68" s="85">
        <f t="shared" si="0"/>
        <v>1.2519541321527732E-2</v>
      </c>
      <c r="U68" s="85">
        <f>R68/'סכום נכסי הקרן'!$C$42</f>
        <v>3.5885256906691525E-3</v>
      </c>
    </row>
    <row r="69" spans="2:21">
      <c r="B69" s="77" t="s">
        <v>414</v>
      </c>
      <c r="C69" s="74">
        <v>6000236</v>
      </c>
      <c r="D69" s="87" t="s">
        <v>111</v>
      </c>
      <c r="E69" s="87" t="s">
        <v>328</v>
      </c>
      <c r="F69" s="74" t="s">
        <v>412</v>
      </c>
      <c r="G69" s="87" t="s">
        <v>413</v>
      </c>
      <c r="H69" s="74" t="s">
        <v>396</v>
      </c>
      <c r="I69" s="74" t="s">
        <v>151</v>
      </c>
      <c r="J69" s="74"/>
      <c r="K69" s="84">
        <v>4.899999999999805</v>
      </c>
      <c r="L69" s="87" t="s">
        <v>155</v>
      </c>
      <c r="M69" s="88">
        <v>4.4999999999999998E-2</v>
      </c>
      <c r="N69" s="88">
        <v>1.3899999999999803E-2</v>
      </c>
      <c r="O69" s="84">
        <v>1730300.791094</v>
      </c>
      <c r="P69" s="86">
        <v>118.3</v>
      </c>
      <c r="Q69" s="74"/>
      <c r="R69" s="84">
        <v>2046.9458701359999</v>
      </c>
      <c r="S69" s="85">
        <v>5.8543047496140838E-4</v>
      </c>
      <c r="T69" s="85">
        <f t="shared" si="0"/>
        <v>2.4544131600752566E-2</v>
      </c>
      <c r="U69" s="85">
        <f>R69/'סכום נכסי הקרן'!$C$42</f>
        <v>7.035181604697743E-3</v>
      </c>
    </row>
    <row r="70" spans="2:21">
      <c r="B70" s="77" t="s">
        <v>415</v>
      </c>
      <c r="C70" s="74">
        <v>6000285</v>
      </c>
      <c r="D70" s="87" t="s">
        <v>111</v>
      </c>
      <c r="E70" s="87" t="s">
        <v>328</v>
      </c>
      <c r="F70" s="74" t="s">
        <v>412</v>
      </c>
      <c r="G70" s="87" t="s">
        <v>413</v>
      </c>
      <c r="H70" s="74" t="s">
        <v>396</v>
      </c>
      <c r="I70" s="74" t="s">
        <v>151</v>
      </c>
      <c r="J70" s="74"/>
      <c r="K70" s="84">
        <v>9.5799999999991154</v>
      </c>
      <c r="L70" s="87" t="s">
        <v>155</v>
      </c>
      <c r="M70" s="88">
        <v>2.3900000000000001E-2</v>
      </c>
      <c r="N70" s="88">
        <v>1.5699999999994108E-2</v>
      </c>
      <c r="O70" s="84">
        <v>628506.31999999995</v>
      </c>
      <c r="P70" s="86">
        <v>108</v>
      </c>
      <c r="Q70" s="74"/>
      <c r="R70" s="84">
        <v>678.78681862000008</v>
      </c>
      <c r="S70" s="85">
        <v>5.0719165518738464E-4</v>
      </c>
      <c r="T70" s="85">
        <f t="shared" si="0"/>
        <v>8.1390686720790185E-3</v>
      </c>
      <c r="U70" s="85">
        <f>R70/'סכום נכסי הקרן'!$C$42</f>
        <v>2.3329334739806526E-3</v>
      </c>
    </row>
    <row r="71" spans="2:21">
      <c r="B71" s="77" t="s">
        <v>416</v>
      </c>
      <c r="C71" s="74">
        <v>6130207</v>
      </c>
      <c r="D71" s="87" t="s">
        <v>111</v>
      </c>
      <c r="E71" s="87" t="s">
        <v>328</v>
      </c>
      <c r="F71" s="74" t="s">
        <v>417</v>
      </c>
      <c r="G71" s="87" t="s">
        <v>1274</v>
      </c>
      <c r="H71" s="74" t="s">
        <v>396</v>
      </c>
      <c r="I71" s="74" t="s">
        <v>151</v>
      </c>
      <c r="J71" s="74"/>
      <c r="K71" s="84">
        <v>5.1900000000048285</v>
      </c>
      <c r="L71" s="87" t="s">
        <v>155</v>
      </c>
      <c r="M71" s="88">
        <v>1.5800000000000002E-2</v>
      </c>
      <c r="N71" s="88">
        <v>1.7500000000000002E-2</v>
      </c>
      <c r="O71" s="84">
        <v>213537.559844</v>
      </c>
      <c r="P71" s="86">
        <v>100.87</v>
      </c>
      <c r="Q71" s="74"/>
      <c r="R71" s="84">
        <v>215.39532798400001</v>
      </c>
      <c r="S71" s="85">
        <v>4.7178179161869784E-4</v>
      </c>
      <c r="T71" s="85">
        <f t="shared" si="0"/>
        <v>2.5827215821175122E-3</v>
      </c>
      <c r="U71" s="85">
        <f>R71/'סכום נכסי הקרן'!$C$42</f>
        <v>7.4029571142015279E-4</v>
      </c>
    </row>
    <row r="72" spans="2:21">
      <c r="B72" s="77" t="s">
        <v>418</v>
      </c>
      <c r="C72" s="74">
        <v>6130280</v>
      </c>
      <c r="D72" s="87" t="s">
        <v>111</v>
      </c>
      <c r="E72" s="87" t="s">
        <v>328</v>
      </c>
      <c r="F72" s="74" t="s">
        <v>417</v>
      </c>
      <c r="G72" s="87" t="s">
        <v>1274</v>
      </c>
      <c r="H72" s="74" t="s">
        <v>396</v>
      </c>
      <c r="I72" s="74" t="s">
        <v>151</v>
      </c>
      <c r="J72" s="74"/>
      <c r="K72" s="84">
        <v>8.0599999999751812</v>
      </c>
      <c r="L72" s="87" t="s">
        <v>155</v>
      </c>
      <c r="M72" s="88">
        <v>8.3999999999999995E-3</v>
      </c>
      <c r="N72" s="88">
        <v>2.159999999993795E-2</v>
      </c>
      <c r="O72" s="84">
        <v>179571.50761999999</v>
      </c>
      <c r="P72" s="86">
        <v>89.75</v>
      </c>
      <c r="Q72" s="74"/>
      <c r="R72" s="84">
        <v>161.16542120000003</v>
      </c>
      <c r="S72" s="85">
        <v>7.1828603047999998E-4</v>
      </c>
      <c r="T72" s="85">
        <f t="shared" si="0"/>
        <v>1.9324718670556257E-3</v>
      </c>
      <c r="U72" s="85">
        <f>R72/'סכום נכסי הקרן'!$C$42</f>
        <v>5.5391206141873787E-4</v>
      </c>
    </row>
    <row r="73" spans="2:21">
      <c r="B73" s="77" t="s">
        <v>419</v>
      </c>
      <c r="C73" s="74">
        <v>1097138</v>
      </c>
      <c r="D73" s="87" t="s">
        <v>111</v>
      </c>
      <c r="E73" s="87" t="s">
        <v>328</v>
      </c>
      <c r="F73" s="74" t="s">
        <v>420</v>
      </c>
      <c r="G73" s="87" t="s">
        <v>410</v>
      </c>
      <c r="H73" s="74" t="s">
        <v>396</v>
      </c>
      <c r="I73" s="74" t="s">
        <v>151</v>
      </c>
      <c r="J73" s="74"/>
      <c r="K73" s="84">
        <v>0.65000000010350079</v>
      </c>
      <c r="L73" s="87" t="s">
        <v>155</v>
      </c>
      <c r="M73" s="88">
        <v>4.8899999999999999E-2</v>
      </c>
      <c r="N73" s="88">
        <v>3.3499999998965004E-2</v>
      </c>
      <c r="O73" s="84">
        <v>2703.1338879999994</v>
      </c>
      <c r="P73" s="86">
        <v>125.1</v>
      </c>
      <c r="Q73" s="74"/>
      <c r="R73" s="84">
        <v>3.3816205409999993</v>
      </c>
      <c r="S73" s="85">
        <v>7.2633600391229294E-5</v>
      </c>
      <c r="T73" s="85">
        <f t="shared" si="0"/>
        <v>4.0547696347533404E-5</v>
      </c>
      <c r="U73" s="85">
        <f>R73/'סכום נכסי הקרן'!$C$42</f>
        <v>1.1622346722109748E-5</v>
      </c>
    </row>
    <row r="74" spans="2:21">
      <c r="B74" s="77" t="s">
        <v>421</v>
      </c>
      <c r="C74" s="74">
        <v>6040380</v>
      </c>
      <c r="D74" s="87" t="s">
        <v>111</v>
      </c>
      <c r="E74" s="87" t="s">
        <v>328</v>
      </c>
      <c r="F74" s="74" t="s">
        <v>344</v>
      </c>
      <c r="G74" s="87" t="s">
        <v>336</v>
      </c>
      <c r="H74" s="74" t="s">
        <v>391</v>
      </c>
      <c r="I74" s="74" t="s">
        <v>332</v>
      </c>
      <c r="J74" s="74"/>
      <c r="K74" s="84">
        <v>3.2400000000009226</v>
      </c>
      <c r="L74" s="87" t="s">
        <v>155</v>
      </c>
      <c r="M74" s="88">
        <v>1.6399999999999998E-2</v>
      </c>
      <c r="N74" s="88">
        <v>3.4699999999984438E-2</v>
      </c>
      <c r="O74" s="84">
        <f>366170.112/50000</f>
        <v>7.3234022400000001</v>
      </c>
      <c r="P74" s="86">
        <v>4738000</v>
      </c>
      <c r="Q74" s="74"/>
      <c r="R74" s="84">
        <v>346.98280448200001</v>
      </c>
      <c r="S74" s="85">
        <f>2982.81290322581%/50000</f>
        <v>5.9656258064516197E-4</v>
      </c>
      <c r="T74" s="85">
        <f t="shared" si="0"/>
        <v>4.1605358210271446E-3</v>
      </c>
      <c r="U74" s="85">
        <f>R74/'סכום נכסי הקרן'!$C$42</f>
        <v>1.1925508528840643E-3</v>
      </c>
    </row>
    <row r="75" spans="2:21">
      <c r="B75" s="77" t="s">
        <v>422</v>
      </c>
      <c r="C75" s="74">
        <v>6040398</v>
      </c>
      <c r="D75" s="87" t="s">
        <v>111</v>
      </c>
      <c r="E75" s="87" t="s">
        <v>328</v>
      </c>
      <c r="F75" s="74" t="s">
        <v>344</v>
      </c>
      <c r="G75" s="87" t="s">
        <v>336</v>
      </c>
      <c r="H75" s="74" t="s">
        <v>391</v>
      </c>
      <c r="I75" s="74" t="s">
        <v>332</v>
      </c>
      <c r="J75" s="74"/>
      <c r="K75" s="84">
        <v>7.4199999999920996</v>
      </c>
      <c r="L75" s="87" t="s">
        <v>155</v>
      </c>
      <c r="M75" s="88">
        <v>2.7799999999999998E-2</v>
      </c>
      <c r="N75" s="88">
        <v>3.2900000000002233E-2</v>
      </c>
      <c r="O75" s="84">
        <f>138172.0032/50000</f>
        <v>2.7634400640000001</v>
      </c>
      <c r="P75" s="86">
        <v>4855001</v>
      </c>
      <c r="Q75" s="74"/>
      <c r="R75" s="84">
        <v>134.165049493</v>
      </c>
      <c r="S75" s="85">
        <f>3303.96946915352%/50000</f>
        <v>6.6079389383070402E-4</v>
      </c>
      <c r="T75" s="85">
        <f t="shared" ref="T75:T141" si="1">R75/$R$11</f>
        <v>1.6087209139335409E-3</v>
      </c>
      <c r="U75" s="85">
        <f>R75/'סכום נכסי הקרן'!$C$42</f>
        <v>4.6111404407767965E-4</v>
      </c>
    </row>
    <row r="76" spans="2:21">
      <c r="B76" s="77" t="s">
        <v>423</v>
      </c>
      <c r="C76" s="74">
        <v>6040430</v>
      </c>
      <c r="D76" s="87" t="s">
        <v>111</v>
      </c>
      <c r="E76" s="87" t="s">
        <v>328</v>
      </c>
      <c r="F76" s="74" t="s">
        <v>344</v>
      </c>
      <c r="G76" s="87" t="s">
        <v>336</v>
      </c>
      <c r="H76" s="74" t="s">
        <v>391</v>
      </c>
      <c r="I76" s="74" t="s">
        <v>332</v>
      </c>
      <c r="J76" s="74"/>
      <c r="K76" s="84">
        <v>4.6799999999949478</v>
      </c>
      <c r="L76" s="87" t="s">
        <v>155</v>
      </c>
      <c r="M76" s="88">
        <v>2.4199999999999999E-2</v>
      </c>
      <c r="N76" s="88">
        <v>2.6099999999967226E-2</v>
      </c>
      <c r="O76" s="84">
        <f>294509.4768/50000</f>
        <v>5.8901895360000003</v>
      </c>
      <c r="P76" s="86">
        <v>4972667</v>
      </c>
      <c r="Q76" s="74"/>
      <c r="R76" s="84">
        <v>292.89948723600003</v>
      </c>
      <c r="S76" s="85">
        <f>1021.78634007563%/50000</f>
        <v>2.04357268015126E-4</v>
      </c>
      <c r="T76" s="85">
        <f t="shared" si="1"/>
        <v>3.5120438040873512E-3</v>
      </c>
      <c r="U76" s="85">
        <f>R76/'סכום נכסי הקרן'!$C$42</f>
        <v>1.0066710188536649E-3</v>
      </c>
    </row>
    <row r="77" spans="2:21">
      <c r="B77" s="77" t="s">
        <v>424</v>
      </c>
      <c r="C77" s="74">
        <v>6040471</v>
      </c>
      <c r="D77" s="87" t="s">
        <v>111</v>
      </c>
      <c r="E77" s="87" t="s">
        <v>328</v>
      </c>
      <c r="F77" s="74" t="s">
        <v>344</v>
      </c>
      <c r="G77" s="87" t="s">
        <v>336</v>
      </c>
      <c r="H77" s="74" t="s">
        <v>391</v>
      </c>
      <c r="I77" s="74" t="s">
        <v>332</v>
      </c>
      <c r="J77" s="74"/>
      <c r="K77" s="84">
        <v>4.2900000000052332</v>
      </c>
      <c r="L77" s="87" t="s">
        <v>155</v>
      </c>
      <c r="M77" s="88">
        <v>1.95E-2</v>
      </c>
      <c r="N77" s="88">
        <v>2.5600000000035653E-2</v>
      </c>
      <c r="O77" s="84">
        <f>448987.4928/50000</f>
        <v>8.9797498559999998</v>
      </c>
      <c r="P77" s="86">
        <v>4873513</v>
      </c>
      <c r="Q77" s="74"/>
      <c r="R77" s="84">
        <v>437.6293108989999</v>
      </c>
      <c r="S77" s="85">
        <f>1809.04747491841%/50000</f>
        <v>3.6180949498368202E-4</v>
      </c>
      <c r="T77" s="85">
        <f t="shared" si="1"/>
        <v>5.2474428150550267E-3</v>
      </c>
      <c r="U77" s="85">
        <f>R77/'סכום נכסי הקרן'!$C$42</f>
        <v>1.5040953073706031E-3</v>
      </c>
    </row>
    <row r="78" spans="2:21">
      <c r="B78" s="77" t="s">
        <v>425</v>
      </c>
      <c r="C78" s="74">
        <v>6040257</v>
      </c>
      <c r="D78" s="87" t="s">
        <v>111</v>
      </c>
      <c r="E78" s="87" t="s">
        <v>328</v>
      </c>
      <c r="F78" s="74" t="s">
        <v>344</v>
      </c>
      <c r="G78" s="87" t="s">
        <v>336</v>
      </c>
      <c r="H78" s="74" t="s">
        <v>396</v>
      </c>
      <c r="I78" s="74" t="s">
        <v>151</v>
      </c>
      <c r="J78" s="74"/>
      <c r="K78" s="84">
        <v>0.35999999999985199</v>
      </c>
      <c r="L78" s="87" t="s">
        <v>155</v>
      </c>
      <c r="M78" s="88">
        <v>0.05</v>
      </c>
      <c r="N78" s="88">
        <v>8.1599999999935613E-2</v>
      </c>
      <c r="O78" s="84">
        <v>491548.507698</v>
      </c>
      <c r="P78" s="86">
        <v>109.96</v>
      </c>
      <c r="Q78" s="74"/>
      <c r="R78" s="84">
        <v>540.5067728030001</v>
      </c>
      <c r="S78" s="85">
        <v>4.9154899924699924E-4</v>
      </c>
      <c r="T78" s="85">
        <f t="shared" si="1"/>
        <v>6.4810064380908545E-3</v>
      </c>
      <c r="U78" s="85">
        <f>R78/'סכום נכסי הקרן'!$C$42</f>
        <v>1.8576765320059807E-3</v>
      </c>
    </row>
    <row r="79" spans="2:21">
      <c r="B79" s="77" t="s">
        <v>426</v>
      </c>
      <c r="C79" s="74">
        <v>2260479</v>
      </c>
      <c r="D79" s="87" t="s">
        <v>111</v>
      </c>
      <c r="E79" s="87" t="s">
        <v>328</v>
      </c>
      <c r="F79" s="74" t="s">
        <v>427</v>
      </c>
      <c r="G79" s="87" t="s">
        <v>1274</v>
      </c>
      <c r="H79" s="74" t="s">
        <v>391</v>
      </c>
      <c r="I79" s="74" t="s">
        <v>332</v>
      </c>
      <c r="J79" s="74"/>
      <c r="K79" s="84">
        <v>3.5500000000025</v>
      </c>
      <c r="L79" s="87" t="s">
        <v>155</v>
      </c>
      <c r="M79" s="88">
        <v>2.8500000000000001E-2</v>
      </c>
      <c r="N79" s="88">
        <v>1.6900000000015E-2</v>
      </c>
      <c r="O79" s="84">
        <v>464341.925659</v>
      </c>
      <c r="P79" s="86">
        <v>107.66</v>
      </c>
      <c r="Q79" s="74"/>
      <c r="R79" s="84">
        <v>499.91053042500005</v>
      </c>
      <c r="S79" s="85">
        <v>6.7985640652855046E-4</v>
      </c>
      <c r="T79" s="85">
        <f t="shared" si="1"/>
        <v>5.9942326889855686E-3</v>
      </c>
      <c r="U79" s="85">
        <f>R79/'סכום נכסי הקרן'!$C$42</f>
        <v>1.7181506452864741E-3</v>
      </c>
    </row>
    <row r="80" spans="2:21">
      <c r="B80" s="77" t="s">
        <v>515</v>
      </c>
      <c r="C80" s="74">
        <v>2260545</v>
      </c>
      <c r="D80" s="87" t="s">
        <v>111</v>
      </c>
      <c r="E80" s="87" t="s">
        <v>328</v>
      </c>
      <c r="F80" s="74" t="s">
        <v>427</v>
      </c>
      <c r="G80" s="87" t="s">
        <v>1274</v>
      </c>
      <c r="H80" s="74" t="s">
        <v>391</v>
      </c>
      <c r="I80" s="74" t="s">
        <v>332</v>
      </c>
      <c r="J80" s="74"/>
      <c r="K80" s="84">
        <v>5.0499999999707423</v>
      </c>
      <c r="L80" s="87" t="s">
        <v>155</v>
      </c>
      <c r="M80" s="88">
        <v>2.4E-2</v>
      </c>
      <c r="N80" s="88">
        <v>1.8999999999909971E-2</v>
      </c>
      <c r="O80" s="84">
        <v>43012.47664600001</v>
      </c>
      <c r="P80" s="86">
        <v>103.3</v>
      </c>
      <c r="Q80" s="74"/>
      <c r="R80" s="84">
        <v>44.431885166000001</v>
      </c>
      <c r="S80" s="85">
        <v>8.759282455890512E-5</v>
      </c>
      <c r="T80" s="85">
        <f>R80/$R$11</f>
        <v>5.327654495872789E-4</v>
      </c>
      <c r="U80" s="85">
        <f>R80/'סכום נכסי הקרן'!$C$42</f>
        <v>1.5270866989810402E-4</v>
      </c>
    </row>
    <row r="81" spans="2:21">
      <c r="B81" s="77" t="s">
        <v>428</v>
      </c>
      <c r="C81" s="74">
        <v>3230091</v>
      </c>
      <c r="D81" s="87" t="s">
        <v>111</v>
      </c>
      <c r="E81" s="87" t="s">
        <v>328</v>
      </c>
      <c r="F81" s="74" t="s">
        <v>429</v>
      </c>
      <c r="G81" s="87" t="s">
        <v>1274</v>
      </c>
      <c r="H81" s="74" t="s">
        <v>391</v>
      </c>
      <c r="I81" s="74" t="s">
        <v>332</v>
      </c>
      <c r="J81" s="74"/>
      <c r="K81" s="84">
        <v>0.26999999999860852</v>
      </c>
      <c r="L81" s="87" t="s">
        <v>155</v>
      </c>
      <c r="M81" s="88">
        <v>5.0999999999999997E-2</v>
      </c>
      <c r="N81" s="88">
        <v>4.8700000000097408E-2</v>
      </c>
      <c r="O81" s="84">
        <v>159506.63245</v>
      </c>
      <c r="P81" s="86">
        <v>112.64</v>
      </c>
      <c r="Q81" s="74"/>
      <c r="R81" s="84">
        <v>179.66826997499999</v>
      </c>
      <c r="S81" s="85">
        <v>3.5904846166860883E-4</v>
      </c>
      <c r="T81" s="85">
        <f t="shared" si="1"/>
        <v>2.1543323285109399E-3</v>
      </c>
      <c r="U81" s="85">
        <f>R81/'סכום נכסי הקרן'!$C$42</f>
        <v>6.1750480377480968E-4</v>
      </c>
    </row>
    <row r="82" spans="2:21">
      <c r="B82" s="77" t="s">
        <v>430</v>
      </c>
      <c r="C82" s="74">
        <v>3230166</v>
      </c>
      <c r="D82" s="87" t="s">
        <v>111</v>
      </c>
      <c r="E82" s="87" t="s">
        <v>328</v>
      </c>
      <c r="F82" s="74" t="s">
        <v>429</v>
      </c>
      <c r="G82" s="87" t="s">
        <v>1274</v>
      </c>
      <c r="H82" s="74" t="s">
        <v>391</v>
      </c>
      <c r="I82" s="74" t="s">
        <v>332</v>
      </c>
      <c r="J82" s="74"/>
      <c r="K82" s="84">
        <v>1.6799999999987327</v>
      </c>
      <c r="L82" s="87" t="s">
        <v>155</v>
      </c>
      <c r="M82" s="88">
        <v>2.5499999999999998E-2</v>
      </c>
      <c r="N82" s="88">
        <v>3.1099999999989743E-2</v>
      </c>
      <c r="O82" s="84">
        <v>656415.30410399998</v>
      </c>
      <c r="P82" s="86">
        <v>101</v>
      </c>
      <c r="Q82" s="74"/>
      <c r="R82" s="84">
        <v>662.97943078799995</v>
      </c>
      <c r="S82" s="85">
        <v>5.957081701773978E-4</v>
      </c>
      <c r="T82" s="85">
        <f t="shared" si="1"/>
        <v>7.9495284341698606E-3</v>
      </c>
      <c r="U82" s="85">
        <f>R82/'סכום נכסי הקרן'!$C$42</f>
        <v>2.2786048052471594E-3</v>
      </c>
    </row>
    <row r="83" spans="2:21">
      <c r="B83" s="77" t="s">
        <v>431</v>
      </c>
      <c r="C83" s="74">
        <v>3230265</v>
      </c>
      <c r="D83" s="87" t="s">
        <v>111</v>
      </c>
      <c r="E83" s="87" t="s">
        <v>328</v>
      </c>
      <c r="F83" s="74" t="s">
        <v>429</v>
      </c>
      <c r="G83" s="87" t="s">
        <v>1274</v>
      </c>
      <c r="H83" s="74" t="s">
        <v>391</v>
      </c>
      <c r="I83" s="74" t="s">
        <v>332</v>
      </c>
      <c r="J83" s="74"/>
      <c r="K83" s="84">
        <v>6.0500000000012877</v>
      </c>
      <c r="L83" s="87" t="s">
        <v>155</v>
      </c>
      <c r="M83" s="88">
        <v>2.35E-2</v>
      </c>
      <c r="N83" s="88">
        <v>2.4600000000015457E-2</v>
      </c>
      <c r="O83" s="84">
        <v>452153.90100499999</v>
      </c>
      <c r="P83" s="86">
        <v>100.7</v>
      </c>
      <c r="Q83" s="84">
        <v>10.365121663</v>
      </c>
      <c r="R83" s="84">
        <v>465.68409996800006</v>
      </c>
      <c r="S83" s="85">
        <v>5.8228996251921206E-4</v>
      </c>
      <c r="T83" s="85">
        <f t="shared" si="1"/>
        <v>5.5838368765624494E-3</v>
      </c>
      <c r="U83" s="85">
        <f>R83/'סכום נכסי הקרן'!$C$42</f>
        <v>1.6005172689190011E-3</v>
      </c>
    </row>
    <row r="84" spans="2:21">
      <c r="B84" s="77" t="s">
        <v>432</v>
      </c>
      <c r="C84" s="74">
        <v>3230190</v>
      </c>
      <c r="D84" s="87" t="s">
        <v>111</v>
      </c>
      <c r="E84" s="87" t="s">
        <v>328</v>
      </c>
      <c r="F84" s="74" t="s">
        <v>429</v>
      </c>
      <c r="G84" s="87" t="s">
        <v>1274</v>
      </c>
      <c r="H84" s="74" t="s">
        <v>391</v>
      </c>
      <c r="I84" s="74" t="s">
        <v>332</v>
      </c>
      <c r="J84" s="74"/>
      <c r="K84" s="84">
        <v>4.75</v>
      </c>
      <c r="L84" s="87" t="s">
        <v>155</v>
      </c>
      <c r="M84" s="88">
        <v>1.7600000000000001E-2</v>
      </c>
      <c r="N84" s="88">
        <v>2.2200000000002856E-2</v>
      </c>
      <c r="O84" s="84">
        <v>700655.08860899997</v>
      </c>
      <c r="P84" s="86">
        <v>100</v>
      </c>
      <c r="Q84" s="74"/>
      <c r="R84" s="84">
        <v>700.65508313999999</v>
      </c>
      <c r="S84" s="85">
        <v>5.4829040997980119E-4</v>
      </c>
      <c r="T84" s="85">
        <f t="shared" si="1"/>
        <v>8.4012825244772181E-3</v>
      </c>
      <c r="U84" s="85">
        <f>R84/'סכום נכסי הקרן'!$C$42</f>
        <v>2.4080928685314943E-3</v>
      </c>
    </row>
    <row r="85" spans="2:21">
      <c r="B85" s="77" t="s">
        <v>433</v>
      </c>
      <c r="C85" s="74">
        <v>3230232</v>
      </c>
      <c r="D85" s="87" t="s">
        <v>111</v>
      </c>
      <c r="E85" s="87" t="s">
        <v>328</v>
      </c>
      <c r="F85" s="74" t="s">
        <v>429</v>
      </c>
      <c r="G85" s="87" t="s">
        <v>1274</v>
      </c>
      <c r="H85" s="74" t="s">
        <v>391</v>
      </c>
      <c r="I85" s="74" t="s">
        <v>332</v>
      </c>
      <c r="J85" s="74"/>
      <c r="K85" s="84">
        <v>5.2800000000037732</v>
      </c>
      <c r="L85" s="87" t="s">
        <v>155</v>
      </c>
      <c r="M85" s="88">
        <v>2.1499999999999998E-2</v>
      </c>
      <c r="N85" s="88">
        <v>2.4200000000019744E-2</v>
      </c>
      <c r="O85" s="84">
        <v>668673.46951800003</v>
      </c>
      <c r="P85" s="86">
        <v>101.5</v>
      </c>
      <c r="Q85" s="74"/>
      <c r="R85" s="84">
        <v>678.70359187299994</v>
      </c>
      <c r="S85" s="85">
        <v>5.3039814234874386E-4</v>
      </c>
      <c r="T85" s="85">
        <f t="shared" si="1"/>
        <v>8.1380707325336317E-3</v>
      </c>
      <c r="U85" s="85">
        <f>R85/'סכום נכסי הקרן'!$C$42</f>
        <v>2.3326474306181698E-3</v>
      </c>
    </row>
    <row r="86" spans="2:21">
      <c r="B86" s="77" t="s">
        <v>434</v>
      </c>
      <c r="C86" s="74">
        <v>3230372</v>
      </c>
      <c r="D86" s="87" t="s">
        <v>111</v>
      </c>
      <c r="E86" s="87" t="s">
        <v>328</v>
      </c>
      <c r="F86" s="74" t="s">
        <v>429</v>
      </c>
      <c r="G86" s="87" t="s">
        <v>1274</v>
      </c>
      <c r="H86" s="74" t="s">
        <v>391</v>
      </c>
      <c r="I86" s="74" t="s">
        <v>332</v>
      </c>
      <c r="J86" s="74"/>
      <c r="K86" s="84">
        <v>7.3399999999957437</v>
      </c>
      <c r="L86" s="87" t="s">
        <v>155</v>
      </c>
      <c r="M86" s="88">
        <v>6.5000000000000006E-3</v>
      </c>
      <c r="N86" s="88">
        <v>1.8299999999984586E-2</v>
      </c>
      <c r="O86" s="84">
        <v>297114.27611999999</v>
      </c>
      <c r="P86" s="86">
        <v>91.71</v>
      </c>
      <c r="Q86" s="74"/>
      <c r="R86" s="84">
        <v>272.48351157399998</v>
      </c>
      <c r="S86" s="85">
        <v>7.4278569030000003E-4</v>
      </c>
      <c r="T86" s="85">
        <f t="shared" si="1"/>
        <v>3.2672437823981614E-3</v>
      </c>
      <c r="U86" s="85">
        <f>R86/'סכום נכסי הקרן'!$C$42</f>
        <v>9.3650301953587312E-4</v>
      </c>
    </row>
    <row r="87" spans="2:21">
      <c r="B87" s="77" t="s">
        <v>435</v>
      </c>
      <c r="C87" s="74">
        <v>1940444</v>
      </c>
      <c r="D87" s="87" t="s">
        <v>111</v>
      </c>
      <c r="E87" s="87" t="s">
        <v>328</v>
      </c>
      <c r="F87" s="74" t="s">
        <v>361</v>
      </c>
      <c r="G87" s="87" t="s">
        <v>336</v>
      </c>
      <c r="H87" s="74" t="s">
        <v>391</v>
      </c>
      <c r="I87" s="74" t="s">
        <v>332</v>
      </c>
      <c r="J87" s="74"/>
      <c r="K87" s="84">
        <v>0.25</v>
      </c>
      <c r="L87" s="87" t="s">
        <v>155</v>
      </c>
      <c r="M87" s="88">
        <v>6.5000000000000002E-2</v>
      </c>
      <c r="N87" s="88">
        <v>9.0900000000019118E-2</v>
      </c>
      <c r="O87" s="84">
        <v>967509.53935099998</v>
      </c>
      <c r="P87" s="86">
        <v>110.66</v>
      </c>
      <c r="Q87" s="84">
        <v>17.4958308</v>
      </c>
      <c r="R87" s="84">
        <v>1088.1419614879999</v>
      </c>
      <c r="S87" s="85">
        <v>6.142917710165079E-4</v>
      </c>
      <c r="T87" s="85">
        <f t="shared" si="1"/>
        <v>1.3047486937838781E-2</v>
      </c>
      <c r="U87" s="85">
        <f>R87/'סכום נכסי הקרן'!$C$42</f>
        <v>3.7398528326747968E-3</v>
      </c>
    </row>
    <row r="88" spans="2:21">
      <c r="B88" s="77" t="s">
        <v>436</v>
      </c>
      <c r="C88" s="74">
        <v>1138544</v>
      </c>
      <c r="D88" s="87" t="s">
        <v>111</v>
      </c>
      <c r="E88" s="87" t="s">
        <v>328</v>
      </c>
      <c r="F88" s="74" t="s">
        <v>437</v>
      </c>
      <c r="G88" s="87" t="s">
        <v>1274</v>
      </c>
      <c r="H88" s="74" t="s">
        <v>391</v>
      </c>
      <c r="I88" s="74" t="s">
        <v>332</v>
      </c>
      <c r="J88" s="74"/>
      <c r="K88" s="84">
        <v>7.0300000000109399</v>
      </c>
      <c r="L88" s="87" t="s">
        <v>155</v>
      </c>
      <c r="M88" s="88">
        <v>3.5000000000000003E-2</v>
      </c>
      <c r="N88" s="88">
        <v>1.6600000000023443E-2</v>
      </c>
      <c r="O88" s="84">
        <v>221515.68022499996</v>
      </c>
      <c r="P88" s="86">
        <v>115.54</v>
      </c>
      <c r="Q88" s="74"/>
      <c r="R88" s="84">
        <v>255.93923344000001</v>
      </c>
      <c r="S88" s="85">
        <v>5.0115275123565554E-4</v>
      </c>
      <c r="T88" s="85">
        <f t="shared" si="1"/>
        <v>3.0688677795518483E-3</v>
      </c>
      <c r="U88" s="85">
        <f>R88/'סכום נכסי הקרן'!$C$42</f>
        <v>8.7964172051989745E-4</v>
      </c>
    </row>
    <row r="89" spans="2:21">
      <c r="B89" s="77" t="s">
        <v>438</v>
      </c>
      <c r="C89" s="74">
        <v>1129899</v>
      </c>
      <c r="D89" s="87" t="s">
        <v>111</v>
      </c>
      <c r="E89" s="87" t="s">
        <v>328</v>
      </c>
      <c r="F89" s="74" t="s">
        <v>437</v>
      </c>
      <c r="G89" s="87" t="s">
        <v>1274</v>
      </c>
      <c r="H89" s="74" t="s">
        <v>391</v>
      </c>
      <c r="I89" s="74" t="s">
        <v>332</v>
      </c>
      <c r="J89" s="74"/>
      <c r="K89" s="84">
        <v>2.8500000000084569</v>
      </c>
      <c r="L89" s="87" t="s">
        <v>155</v>
      </c>
      <c r="M89" s="88">
        <v>0.04</v>
      </c>
      <c r="N89" s="88">
        <v>1.9200000000020048E-2</v>
      </c>
      <c r="O89" s="84">
        <v>150585.087883</v>
      </c>
      <c r="P89" s="86">
        <v>106.01</v>
      </c>
      <c r="Q89" s="74"/>
      <c r="R89" s="84">
        <v>159.63525502900001</v>
      </c>
      <c r="S89" s="85">
        <v>2.2730944286695624E-4</v>
      </c>
      <c r="T89" s="85">
        <f t="shared" si="1"/>
        <v>1.9141242397832205E-3</v>
      </c>
      <c r="U89" s="85">
        <f>R89/'סכום נכסי הקרן'!$C$42</f>
        <v>5.4865300838005887E-4</v>
      </c>
    </row>
    <row r="90" spans="2:21">
      <c r="B90" s="77" t="s">
        <v>439</v>
      </c>
      <c r="C90" s="74">
        <v>1136753</v>
      </c>
      <c r="D90" s="87" t="s">
        <v>111</v>
      </c>
      <c r="E90" s="87" t="s">
        <v>328</v>
      </c>
      <c r="F90" s="74" t="s">
        <v>437</v>
      </c>
      <c r="G90" s="87" t="s">
        <v>1274</v>
      </c>
      <c r="H90" s="74" t="s">
        <v>391</v>
      </c>
      <c r="I90" s="74" t="s">
        <v>332</v>
      </c>
      <c r="J90" s="74"/>
      <c r="K90" s="84">
        <v>5.6200000000021237</v>
      </c>
      <c r="L90" s="87" t="s">
        <v>155</v>
      </c>
      <c r="M90" s="88">
        <v>0.04</v>
      </c>
      <c r="N90" s="88">
        <v>1.2700000000011584E-2</v>
      </c>
      <c r="O90" s="84">
        <v>530774.70670600003</v>
      </c>
      <c r="P90" s="86">
        <v>117.1</v>
      </c>
      <c r="Q90" s="74"/>
      <c r="R90" s="84">
        <v>621.53717976400003</v>
      </c>
      <c r="S90" s="85">
        <v>5.2750314381314013E-4</v>
      </c>
      <c r="T90" s="85">
        <f t="shared" si="1"/>
        <v>7.4526105245150747E-3</v>
      </c>
      <c r="U90" s="85">
        <f>R90/'סכום נכסי הקרן'!$C$42</f>
        <v>2.1361712576311986E-3</v>
      </c>
    </row>
    <row r="91" spans="2:21">
      <c r="B91" s="77" t="s">
        <v>440</v>
      </c>
      <c r="C91" s="74">
        <v>7770191</v>
      </c>
      <c r="D91" s="87" t="s">
        <v>111</v>
      </c>
      <c r="E91" s="87" t="s">
        <v>328</v>
      </c>
      <c r="F91" s="74" t="s">
        <v>441</v>
      </c>
      <c r="G91" s="87" t="s">
        <v>142</v>
      </c>
      <c r="H91" s="74" t="s">
        <v>391</v>
      </c>
      <c r="I91" s="74" t="s">
        <v>332</v>
      </c>
      <c r="J91" s="74"/>
      <c r="K91" s="84">
        <v>4.7000000001467219</v>
      </c>
      <c r="L91" s="87" t="s">
        <v>155</v>
      </c>
      <c r="M91" s="88">
        <v>2.9900000000000003E-2</v>
      </c>
      <c r="N91" s="88">
        <v>1.3300000000233667E-2</v>
      </c>
      <c r="O91" s="84">
        <v>16844.111394</v>
      </c>
      <c r="P91" s="86">
        <v>109.25</v>
      </c>
      <c r="Q91" s="74"/>
      <c r="R91" s="84">
        <v>18.402190828999998</v>
      </c>
      <c r="S91" s="85">
        <v>5.7051301102474212E-5</v>
      </c>
      <c r="T91" s="85">
        <f t="shared" si="1"/>
        <v>2.2065351118402023E-4</v>
      </c>
      <c r="U91" s="85">
        <f>R91/'סכום נכסי הקרן'!$C$42</f>
        <v>6.3246789421801729E-5</v>
      </c>
    </row>
    <row r="92" spans="2:21">
      <c r="B92" s="77" t="s">
        <v>442</v>
      </c>
      <c r="C92" s="74">
        <v>7770217</v>
      </c>
      <c r="D92" s="87" t="s">
        <v>111</v>
      </c>
      <c r="E92" s="87" t="s">
        <v>328</v>
      </c>
      <c r="F92" s="74" t="s">
        <v>441</v>
      </c>
      <c r="G92" s="87" t="s">
        <v>142</v>
      </c>
      <c r="H92" s="74" t="s">
        <v>391</v>
      </c>
      <c r="I92" s="74" t="s">
        <v>332</v>
      </c>
      <c r="J92" s="74"/>
      <c r="K92" s="84">
        <v>4.180000000004525</v>
      </c>
      <c r="L92" s="87" t="s">
        <v>155</v>
      </c>
      <c r="M92" s="88">
        <v>4.2999999999999997E-2</v>
      </c>
      <c r="N92" s="88">
        <v>1.6900000000027768E-2</v>
      </c>
      <c r="O92" s="84">
        <v>171652.781238</v>
      </c>
      <c r="P92" s="86">
        <v>113.29</v>
      </c>
      <c r="Q92" s="74"/>
      <c r="R92" s="84">
        <v>194.465442134</v>
      </c>
      <c r="S92" s="85">
        <v>1.8701933444609324E-4</v>
      </c>
      <c r="T92" s="85">
        <f t="shared" si="1"/>
        <v>2.3317594632916742E-3</v>
      </c>
      <c r="U92" s="85">
        <f>R92/'סכום נכסי הקרן'!$C$42</f>
        <v>6.6836144580590838E-4</v>
      </c>
    </row>
    <row r="93" spans="2:21">
      <c r="B93" s="77" t="s">
        <v>443</v>
      </c>
      <c r="C93" s="74">
        <v>1110915</v>
      </c>
      <c r="D93" s="87" t="s">
        <v>111</v>
      </c>
      <c r="E93" s="87" t="s">
        <v>328</v>
      </c>
      <c r="F93" s="74" t="s">
        <v>444</v>
      </c>
      <c r="G93" s="87" t="s">
        <v>445</v>
      </c>
      <c r="H93" s="74" t="s">
        <v>446</v>
      </c>
      <c r="I93" s="74" t="s">
        <v>332</v>
      </c>
      <c r="J93" s="74"/>
      <c r="K93" s="84">
        <v>7.1399999999986523</v>
      </c>
      <c r="L93" s="87" t="s">
        <v>155</v>
      </c>
      <c r="M93" s="88">
        <v>5.1500000000000004E-2</v>
      </c>
      <c r="N93" s="88">
        <v>2.6399999999996579E-2</v>
      </c>
      <c r="O93" s="84">
        <v>1365148.801218</v>
      </c>
      <c r="P93" s="86">
        <v>145.5</v>
      </c>
      <c r="Q93" s="74"/>
      <c r="R93" s="84">
        <v>1986.291518662</v>
      </c>
      <c r="S93" s="85">
        <v>3.84438283181011E-4</v>
      </c>
      <c r="T93" s="85">
        <f t="shared" si="1"/>
        <v>2.3816848868729347E-2</v>
      </c>
      <c r="U93" s="85">
        <f>R93/'סכום נכסי הקרן'!$C$42</f>
        <v>6.8267176760905815E-3</v>
      </c>
    </row>
    <row r="94" spans="2:21">
      <c r="B94" s="77" t="s">
        <v>447</v>
      </c>
      <c r="C94" s="74">
        <v>2300143</v>
      </c>
      <c r="D94" s="87" t="s">
        <v>111</v>
      </c>
      <c r="E94" s="87" t="s">
        <v>328</v>
      </c>
      <c r="F94" s="74" t="s">
        <v>448</v>
      </c>
      <c r="G94" s="87" t="s">
        <v>182</v>
      </c>
      <c r="H94" s="74" t="s">
        <v>446</v>
      </c>
      <c r="I94" s="74" t="s">
        <v>332</v>
      </c>
      <c r="J94" s="74"/>
      <c r="K94" s="84">
        <v>1.6100000000010386</v>
      </c>
      <c r="L94" s="87" t="s">
        <v>155</v>
      </c>
      <c r="M94" s="88">
        <v>3.7000000000000005E-2</v>
      </c>
      <c r="N94" s="88">
        <v>2.4600000000017514E-2</v>
      </c>
      <c r="O94" s="84">
        <v>458286.290683</v>
      </c>
      <c r="P94" s="86">
        <v>107.15</v>
      </c>
      <c r="Q94" s="74"/>
      <c r="R94" s="84">
        <v>491.05379860900001</v>
      </c>
      <c r="S94" s="85">
        <v>3.0552644144485422E-4</v>
      </c>
      <c r="T94" s="85">
        <f t="shared" si="1"/>
        <v>5.8880350633346108E-3</v>
      </c>
      <c r="U94" s="85">
        <f>R94/'סכום נכסי הקרן'!$C$42</f>
        <v>1.6877107994367523E-3</v>
      </c>
    </row>
    <row r="95" spans="2:21">
      <c r="B95" s="77" t="s">
        <v>449</v>
      </c>
      <c r="C95" s="74">
        <v>2300184</v>
      </c>
      <c r="D95" s="87" t="s">
        <v>111</v>
      </c>
      <c r="E95" s="87" t="s">
        <v>328</v>
      </c>
      <c r="F95" s="74" t="s">
        <v>448</v>
      </c>
      <c r="G95" s="87" t="s">
        <v>182</v>
      </c>
      <c r="H95" s="74" t="s">
        <v>446</v>
      </c>
      <c r="I95" s="74" t="s">
        <v>332</v>
      </c>
      <c r="J95" s="74"/>
      <c r="K95" s="84">
        <v>4.2399999999990712</v>
      </c>
      <c r="L95" s="87" t="s">
        <v>155</v>
      </c>
      <c r="M95" s="88">
        <v>2.2000000000000002E-2</v>
      </c>
      <c r="N95" s="88">
        <v>2.3999999999996423E-2</v>
      </c>
      <c r="O95" s="84">
        <v>558467.64554000006</v>
      </c>
      <c r="P95" s="86">
        <v>100.22</v>
      </c>
      <c r="Q95" s="74"/>
      <c r="R95" s="84">
        <v>559.69628649800006</v>
      </c>
      <c r="S95" s="85">
        <v>6.3341034560543961E-4</v>
      </c>
      <c r="T95" s="85">
        <f t="shared" si="1"/>
        <v>6.7111004314670594E-3</v>
      </c>
      <c r="U95" s="85">
        <f>R95/'סכום נכסי הקרן'!$C$42</f>
        <v>1.9236292842109959E-3</v>
      </c>
    </row>
    <row r="96" spans="2:21">
      <c r="B96" s="77" t="s">
        <v>450</v>
      </c>
      <c r="C96" s="74">
        <v>1129279</v>
      </c>
      <c r="D96" s="87" t="s">
        <v>111</v>
      </c>
      <c r="E96" s="87" t="s">
        <v>328</v>
      </c>
      <c r="F96" s="74" t="s">
        <v>401</v>
      </c>
      <c r="G96" s="87" t="s">
        <v>1274</v>
      </c>
      <c r="H96" s="74" t="s">
        <v>451</v>
      </c>
      <c r="I96" s="74" t="s">
        <v>151</v>
      </c>
      <c r="J96" s="74"/>
      <c r="K96" s="84">
        <v>1.7099999999963242</v>
      </c>
      <c r="L96" s="87" t="s">
        <v>155</v>
      </c>
      <c r="M96" s="88">
        <v>2.8500000000000001E-2</v>
      </c>
      <c r="N96" s="88">
        <v>2.5699999999940625E-2</v>
      </c>
      <c r="O96" s="84">
        <v>138558.66417100001</v>
      </c>
      <c r="P96" s="86">
        <v>102.1</v>
      </c>
      <c r="Q96" s="74"/>
      <c r="R96" s="84">
        <v>141.468391712</v>
      </c>
      <c r="S96" s="85">
        <v>3.2365796718174217E-4</v>
      </c>
      <c r="T96" s="85">
        <f t="shared" si="1"/>
        <v>1.6962924492455902E-3</v>
      </c>
      <c r="U96" s="85">
        <f>R96/'סכום נכסי הקרן'!$C$42</f>
        <v>4.8621501991760621E-4</v>
      </c>
    </row>
    <row r="97" spans="2:21">
      <c r="B97" s="77" t="s">
        <v>452</v>
      </c>
      <c r="C97" s="74">
        <v>1136084</v>
      </c>
      <c r="D97" s="87" t="s">
        <v>111</v>
      </c>
      <c r="E97" s="87" t="s">
        <v>328</v>
      </c>
      <c r="F97" s="74" t="s">
        <v>401</v>
      </c>
      <c r="G97" s="87" t="s">
        <v>1274</v>
      </c>
      <c r="H97" s="74" t="s">
        <v>451</v>
      </c>
      <c r="I97" s="74" t="s">
        <v>151</v>
      </c>
      <c r="J97" s="74"/>
      <c r="K97" s="84">
        <v>3.5899999999964862</v>
      </c>
      <c r="L97" s="87" t="s">
        <v>155</v>
      </c>
      <c r="M97" s="88">
        <v>2.5000000000000001E-2</v>
      </c>
      <c r="N97" s="88">
        <v>2.9599999999973405E-2</v>
      </c>
      <c r="O97" s="84">
        <v>105610.36767100001</v>
      </c>
      <c r="P97" s="86">
        <v>99.7</v>
      </c>
      <c r="Q97" s="74"/>
      <c r="R97" s="84">
        <v>105.293531743</v>
      </c>
      <c r="S97" s="85">
        <v>2.3333248604912003E-4</v>
      </c>
      <c r="T97" s="85">
        <f t="shared" si="1"/>
        <v>1.2625337765460819E-3</v>
      </c>
      <c r="U97" s="85">
        <f>R97/'סכום נכסי הקרן'!$C$42</f>
        <v>3.6188505442149048E-4</v>
      </c>
    </row>
    <row r="98" spans="2:21">
      <c r="B98" s="77" t="s">
        <v>453</v>
      </c>
      <c r="C98" s="74">
        <v>1138924</v>
      </c>
      <c r="D98" s="87" t="s">
        <v>111</v>
      </c>
      <c r="E98" s="87" t="s">
        <v>328</v>
      </c>
      <c r="F98" s="74" t="s">
        <v>401</v>
      </c>
      <c r="G98" s="87" t="s">
        <v>1274</v>
      </c>
      <c r="H98" s="74" t="s">
        <v>451</v>
      </c>
      <c r="I98" s="74" t="s">
        <v>151</v>
      </c>
      <c r="J98" s="74"/>
      <c r="K98" s="84">
        <v>4.5799999999978374</v>
      </c>
      <c r="L98" s="87" t="s">
        <v>155</v>
      </c>
      <c r="M98" s="88">
        <v>1.34E-2</v>
      </c>
      <c r="N98" s="88">
        <v>2.1599999999956734E-2</v>
      </c>
      <c r="O98" s="84">
        <v>122584.137925</v>
      </c>
      <c r="P98" s="86">
        <v>98.05</v>
      </c>
      <c r="Q98" s="74"/>
      <c r="R98" s="84">
        <v>120.193742497</v>
      </c>
      <c r="S98" s="85">
        <v>3.1138985009993378E-4</v>
      </c>
      <c r="T98" s="85">
        <f t="shared" si="1"/>
        <v>1.4411964070341204E-3</v>
      </c>
      <c r="U98" s="85">
        <f>R98/'סכום נכסי הקרן'!$C$42</f>
        <v>4.1309583147818696E-4</v>
      </c>
    </row>
    <row r="99" spans="2:21">
      <c r="B99" s="77" t="s">
        <v>454</v>
      </c>
      <c r="C99" s="74">
        <v>1141050</v>
      </c>
      <c r="D99" s="87" t="s">
        <v>111</v>
      </c>
      <c r="E99" s="87" t="s">
        <v>328</v>
      </c>
      <c r="F99" s="74" t="s">
        <v>401</v>
      </c>
      <c r="G99" s="87" t="s">
        <v>1274</v>
      </c>
      <c r="H99" s="74" t="s">
        <v>451</v>
      </c>
      <c r="I99" s="74" t="s">
        <v>151</v>
      </c>
      <c r="J99" s="74"/>
      <c r="K99" s="84">
        <v>4.7299999999943036</v>
      </c>
      <c r="L99" s="87" t="s">
        <v>155</v>
      </c>
      <c r="M99" s="88">
        <v>1.95E-2</v>
      </c>
      <c r="N99" s="88">
        <v>2.6299999999990505E-2</v>
      </c>
      <c r="O99" s="84">
        <v>213955.55969699996</v>
      </c>
      <c r="P99" s="86">
        <v>98.45</v>
      </c>
      <c r="Q99" s="74"/>
      <c r="R99" s="84">
        <v>210.63925734</v>
      </c>
      <c r="S99" s="85">
        <v>3.2692960112996888E-4</v>
      </c>
      <c r="T99" s="85">
        <f t="shared" si="1"/>
        <v>2.5256933892903828E-3</v>
      </c>
      <c r="U99" s="85">
        <f>R99/'סכום נכסי הקרן'!$C$42</f>
        <v>7.2394949475000278E-4</v>
      </c>
    </row>
    <row r="100" spans="2:21">
      <c r="B100" s="77" t="s">
        <v>455</v>
      </c>
      <c r="C100" s="74">
        <v>1162221</v>
      </c>
      <c r="D100" s="87" t="s">
        <v>111</v>
      </c>
      <c r="E100" s="87" t="s">
        <v>328</v>
      </c>
      <c r="F100" s="74" t="s">
        <v>401</v>
      </c>
      <c r="G100" s="87" t="s">
        <v>1274</v>
      </c>
      <c r="H100" s="74" t="s">
        <v>451</v>
      </c>
      <c r="I100" s="74" t="s">
        <v>151</v>
      </c>
      <c r="J100" s="74"/>
      <c r="K100" s="84">
        <v>7.4800000000972107</v>
      </c>
      <c r="L100" s="87" t="s">
        <v>155</v>
      </c>
      <c r="M100" s="88">
        <v>1.1699999999999999E-2</v>
      </c>
      <c r="N100" s="88">
        <v>3.0500000000155129E-2</v>
      </c>
      <c r="O100" s="84">
        <v>22270.024584999996</v>
      </c>
      <c r="P100" s="86">
        <v>86.84</v>
      </c>
      <c r="Q100" s="74"/>
      <c r="R100" s="84">
        <v>19.339289793999999</v>
      </c>
      <c r="S100" s="85">
        <v>3.7116707641666661E-5</v>
      </c>
      <c r="T100" s="85">
        <f t="shared" si="1"/>
        <v>2.3188990031157487E-4</v>
      </c>
      <c r="U100" s="85">
        <f>R100/'סכום נכסי הקרן'!$C$42</f>
        <v>6.6467520119439216E-5</v>
      </c>
    </row>
    <row r="101" spans="2:21">
      <c r="B101" s="77" t="s">
        <v>456</v>
      </c>
      <c r="C101" s="74">
        <v>1156231</v>
      </c>
      <c r="D101" s="87" t="s">
        <v>111</v>
      </c>
      <c r="E101" s="87" t="s">
        <v>328</v>
      </c>
      <c r="F101" s="74" t="s">
        <v>401</v>
      </c>
      <c r="G101" s="87" t="s">
        <v>1274</v>
      </c>
      <c r="H101" s="74" t="s">
        <v>451</v>
      </c>
      <c r="I101" s="74" t="s">
        <v>151</v>
      </c>
      <c r="J101" s="74"/>
      <c r="K101" s="84">
        <v>5.8700000000088277</v>
      </c>
      <c r="L101" s="87" t="s">
        <v>155</v>
      </c>
      <c r="M101" s="88">
        <v>3.3500000000000002E-2</v>
      </c>
      <c r="N101" s="88">
        <v>3.1300000000061348E-2</v>
      </c>
      <c r="O101" s="84">
        <v>263280.40448600001</v>
      </c>
      <c r="P101" s="86">
        <v>101.53</v>
      </c>
      <c r="Q101" s="74"/>
      <c r="R101" s="84">
        <v>267.30860637199999</v>
      </c>
      <c r="S101" s="85">
        <v>5.5384992525730169E-4</v>
      </c>
      <c r="T101" s="85">
        <f t="shared" si="1"/>
        <v>3.205193507326223E-3</v>
      </c>
      <c r="U101" s="85">
        <f>R101/'סכום נכסי הקרן'!$C$42</f>
        <v>9.1871730355074736E-4</v>
      </c>
    </row>
    <row r="102" spans="2:21">
      <c r="B102" s="77" t="s">
        <v>457</v>
      </c>
      <c r="C102" s="74">
        <v>1138585</v>
      </c>
      <c r="D102" s="87" t="s">
        <v>111</v>
      </c>
      <c r="E102" s="87" t="s">
        <v>328</v>
      </c>
      <c r="F102" s="74" t="s">
        <v>340</v>
      </c>
      <c r="G102" s="87" t="s">
        <v>336</v>
      </c>
      <c r="H102" s="74" t="s">
        <v>451</v>
      </c>
      <c r="I102" s="74" t="s">
        <v>151</v>
      </c>
      <c r="J102" s="74"/>
      <c r="K102" s="84">
        <v>1.2100000000002709</v>
      </c>
      <c r="L102" s="87" t="s">
        <v>155</v>
      </c>
      <c r="M102" s="88">
        <v>2.7999999999999997E-2</v>
      </c>
      <c r="N102" s="88">
        <v>4.1799999999990414E-2</v>
      </c>
      <c r="O102" s="84">
        <f>470871.8784/50000</f>
        <v>9.4174375680000004</v>
      </c>
      <c r="P102" s="86">
        <v>5095100</v>
      </c>
      <c r="Q102" s="74"/>
      <c r="R102" s="84">
        <v>479.827865847</v>
      </c>
      <c r="S102" s="85">
        <f>2662.24842200486%/50000</f>
        <v>5.3244968440097204E-4</v>
      </c>
      <c r="T102" s="85">
        <f t="shared" si="1"/>
        <v>5.7534292708358468E-3</v>
      </c>
      <c r="U102" s="85">
        <f>R102/'סכום נכסי הקרן'!$C$42</f>
        <v>1.6491282082627371E-3</v>
      </c>
    </row>
    <row r="103" spans="2:21">
      <c r="B103" s="77" t="s">
        <v>458</v>
      </c>
      <c r="C103" s="74">
        <v>1142058</v>
      </c>
      <c r="D103" s="87" t="s">
        <v>111</v>
      </c>
      <c r="E103" s="87" t="s">
        <v>328</v>
      </c>
      <c r="F103" s="74" t="s">
        <v>340</v>
      </c>
      <c r="G103" s="87" t="s">
        <v>336</v>
      </c>
      <c r="H103" s="74" t="s">
        <v>451</v>
      </c>
      <c r="I103" s="74" t="s">
        <v>151</v>
      </c>
      <c r="J103" s="74"/>
      <c r="K103" s="84">
        <v>2.4599999999830291</v>
      </c>
      <c r="L103" s="87" t="s">
        <v>155</v>
      </c>
      <c r="M103" s="88">
        <v>1.49E-2</v>
      </c>
      <c r="N103" s="88">
        <v>3.6699999999559571E-2</v>
      </c>
      <c r="O103" s="84">
        <f>25603.3008/50000</f>
        <v>0.51206601600000001</v>
      </c>
      <c r="P103" s="86">
        <v>4833000</v>
      </c>
      <c r="Q103" s="74"/>
      <c r="R103" s="84">
        <v>24.748152127000001</v>
      </c>
      <c r="S103" s="85">
        <f>423.335%/50000</f>
        <v>8.4666999999999994E-5</v>
      </c>
      <c r="T103" s="85">
        <f t="shared" si="1"/>
        <v>2.9674546432445481E-4</v>
      </c>
      <c r="U103" s="85">
        <f>R103/'סכום נכסי הקרן'!$C$42</f>
        <v>8.5057327179132456E-5</v>
      </c>
    </row>
    <row r="104" spans="2:21">
      <c r="B104" s="77" t="s">
        <v>459</v>
      </c>
      <c r="C104" s="74">
        <v>1151000</v>
      </c>
      <c r="D104" s="87" t="s">
        <v>111</v>
      </c>
      <c r="E104" s="87" t="s">
        <v>328</v>
      </c>
      <c r="F104" s="74" t="s">
        <v>340</v>
      </c>
      <c r="G104" s="87" t="s">
        <v>336</v>
      </c>
      <c r="H104" s="74" t="s">
        <v>451</v>
      </c>
      <c r="I104" s="74" t="s">
        <v>151</v>
      </c>
      <c r="J104" s="74"/>
      <c r="K104" s="84">
        <v>4.0699999999910661</v>
      </c>
      <c r="L104" s="87" t="s">
        <v>155</v>
      </c>
      <c r="M104" s="88">
        <v>2.2000000000000002E-2</v>
      </c>
      <c r="N104" s="88">
        <v>1.7999999999945858E-2</v>
      </c>
      <c r="O104" s="84">
        <f>107276.4/50000</f>
        <v>2.1455280000000001</v>
      </c>
      <c r="P104" s="86">
        <v>5164800</v>
      </c>
      <c r="Q104" s="74"/>
      <c r="R104" s="84">
        <v>110.81222885699998</v>
      </c>
      <c r="S104" s="85">
        <f>2131.03694874851%/50000</f>
        <v>4.2620738974970203E-4</v>
      </c>
      <c r="T104" s="85">
        <f t="shared" si="1"/>
        <v>1.3287063266886558E-3</v>
      </c>
      <c r="U104" s="85">
        <f>R104/'סכום נכסי הקרן'!$C$42</f>
        <v>3.8085235442915095E-4</v>
      </c>
    </row>
    <row r="105" spans="2:21">
      <c r="B105" s="77" t="s">
        <v>460</v>
      </c>
      <c r="C105" s="74">
        <v>1260603</v>
      </c>
      <c r="D105" s="87" t="s">
        <v>111</v>
      </c>
      <c r="E105" s="87" t="s">
        <v>328</v>
      </c>
      <c r="F105" s="74" t="s">
        <v>461</v>
      </c>
      <c r="G105" s="87" t="s">
        <v>1275</v>
      </c>
      <c r="H105" s="74" t="s">
        <v>451</v>
      </c>
      <c r="I105" s="74" t="s">
        <v>151</v>
      </c>
      <c r="J105" s="74"/>
      <c r="K105" s="84">
        <v>5.1600000000060735</v>
      </c>
      <c r="L105" s="87" t="s">
        <v>155</v>
      </c>
      <c r="M105" s="88">
        <v>0.04</v>
      </c>
      <c r="N105" s="88">
        <v>3.9200000000028032E-2</v>
      </c>
      <c r="O105" s="84">
        <v>168696.41139699999</v>
      </c>
      <c r="P105" s="86">
        <v>101.5</v>
      </c>
      <c r="Q105" s="74"/>
      <c r="R105" s="84">
        <v>171.226859456</v>
      </c>
      <c r="S105" s="85">
        <v>5.7034402042936625E-5</v>
      </c>
      <c r="T105" s="85">
        <f t="shared" si="1"/>
        <v>2.0531146589589126E-3</v>
      </c>
      <c r="U105" s="85">
        <f>R105/'סכום נכסי הקרן'!$C$42</f>
        <v>5.8849238245610371E-4</v>
      </c>
    </row>
    <row r="106" spans="2:21">
      <c r="B106" s="77" t="s">
        <v>462</v>
      </c>
      <c r="C106" s="74">
        <v>1260652</v>
      </c>
      <c r="D106" s="87" t="s">
        <v>111</v>
      </c>
      <c r="E106" s="87" t="s">
        <v>328</v>
      </c>
      <c r="F106" s="74" t="s">
        <v>461</v>
      </c>
      <c r="G106" s="87" t="s">
        <v>1275</v>
      </c>
      <c r="H106" s="74" t="s">
        <v>451</v>
      </c>
      <c r="I106" s="74" t="s">
        <v>151</v>
      </c>
      <c r="J106" s="74"/>
      <c r="K106" s="84">
        <v>5.380000000003589</v>
      </c>
      <c r="L106" s="87" t="s">
        <v>155</v>
      </c>
      <c r="M106" s="88">
        <v>2.7799999999999998E-2</v>
      </c>
      <c r="N106" s="88">
        <v>3.680000000002831E-2</v>
      </c>
      <c r="O106" s="84">
        <v>405716.17055299995</v>
      </c>
      <c r="P106" s="86">
        <v>97.5</v>
      </c>
      <c r="Q106" s="74"/>
      <c r="R106" s="84">
        <v>395.573267241</v>
      </c>
      <c r="S106" s="85">
        <v>2.2525896283569574E-4</v>
      </c>
      <c r="T106" s="85">
        <f t="shared" si="1"/>
        <v>4.7431651567111039E-3</v>
      </c>
      <c r="U106" s="85">
        <f>R106/'סכום נכסי הקרן'!$C$42</f>
        <v>1.3595522058525019E-3</v>
      </c>
    </row>
    <row r="107" spans="2:21">
      <c r="B107" s="77" t="s">
        <v>463</v>
      </c>
      <c r="C107" s="74">
        <v>7480098</v>
      </c>
      <c r="D107" s="87" t="s">
        <v>111</v>
      </c>
      <c r="E107" s="87" t="s">
        <v>328</v>
      </c>
      <c r="F107" s="74" t="s">
        <v>370</v>
      </c>
      <c r="G107" s="87" t="s">
        <v>336</v>
      </c>
      <c r="H107" s="74" t="s">
        <v>446</v>
      </c>
      <c r="I107" s="74" t="s">
        <v>332</v>
      </c>
      <c r="J107" s="74"/>
      <c r="K107" s="84">
        <v>5.0000000000207011E-2</v>
      </c>
      <c r="L107" s="87" t="s">
        <v>155</v>
      </c>
      <c r="M107" s="88">
        <v>6.4000000000000001E-2</v>
      </c>
      <c r="N107" s="88">
        <v>0.1860000000000766</v>
      </c>
      <c r="O107" s="84">
        <v>846170.33380400005</v>
      </c>
      <c r="P107" s="86">
        <v>114.18</v>
      </c>
      <c r="Q107" s="74"/>
      <c r="R107" s="84">
        <v>966.15729881599987</v>
      </c>
      <c r="S107" s="85">
        <v>6.7586542586246356E-4</v>
      </c>
      <c r="T107" s="85">
        <f t="shared" si="1"/>
        <v>1.158481630371202E-2</v>
      </c>
      <c r="U107" s="85">
        <f>R107/'סכום נכסי הקרן'!$C$42</f>
        <v>3.3206017584740434E-3</v>
      </c>
    </row>
    <row r="108" spans="2:21">
      <c r="B108" s="77" t="s">
        <v>464</v>
      </c>
      <c r="C108" s="74">
        <v>7480197</v>
      </c>
      <c r="D108" s="87" t="s">
        <v>111</v>
      </c>
      <c r="E108" s="87" t="s">
        <v>328</v>
      </c>
      <c r="F108" s="74" t="s">
        <v>370</v>
      </c>
      <c r="G108" s="87" t="s">
        <v>336</v>
      </c>
      <c r="H108" s="74" t="s">
        <v>451</v>
      </c>
      <c r="I108" s="74" t="s">
        <v>151</v>
      </c>
      <c r="J108" s="74"/>
      <c r="K108" s="84">
        <v>5.3599999999972043</v>
      </c>
      <c r="L108" s="87" t="s">
        <v>155</v>
      </c>
      <c r="M108" s="88">
        <v>1.46E-2</v>
      </c>
      <c r="N108" s="88">
        <v>2.5799999999989699E-2</v>
      </c>
      <c r="O108" s="84">
        <f>576002.7504/50000</f>
        <v>11.520055008</v>
      </c>
      <c r="P108" s="86">
        <v>4718500</v>
      </c>
      <c r="Q108" s="74"/>
      <c r="R108" s="84">
        <v>543.57381898200003</v>
      </c>
      <c r="S108" s="85">
        <f>2162.74077422746%/50000</f>
        <v>4.32548154845492E-4</v>
      </c>
      <c r="T108" s="85">
        <f t="shared" si="1"/>
        <v>6.5177821956432305E-3</v>
      </c>
      <c r="U108" s="85">
        <f>R108/'סכום נכסי הקרן'!$C$42</f>
        <v>1.8682177129790882E-3</v>
      </c>
    </row>
    <row r="109" spans="2:21">
      <c r="B109" s="77" t="s">
        <v>465</v>
      </c>
      <c r="C109" s="74">
        <v>1126069</v>
      </c>
      <c r="D109" s="87" t="s">
        <v>111</v>
      </c>
      <c r="E109" s="87" t="s">
        <v>328</v>
      </c>
      <c r="F109" s="74" t="s">
        <v>409</v>
      </c>
      <c r="G109" s="87" t="s">
        <v>410</v>
      </c>
      <c r="H109" s="74" t="s">
        <v>446</v>
      </c>
      <c r="I109" s="74" t="s">
        <v>332</v>
      </c>
      <c r="J109" s="74"/>
      <c r="K109" s="84">
        <v>2.9800000000067173</v>
      </c>
      <c r="L109" s="87" t="s">
        <v>155</v>
      </c>
      <c r="M109" s="88">
        <v>3.85E-2</v>
      </c>
      <c r="N109" s="88">
        <v>9.1000000000503768E-3</v>
      </c>
      <c r="O109" s="84">
        <v>104307.830475</v>
      </c>
      <c r="P109" s="86">
        <v>114.18</v>
      </c>
      <c r="Q109" s="74"/>
      <c r="R109" s="84">
        <v>119.09868263999999</v>
      </c>
      <c r="S109" s="85">
        <v>4.3543806738372047E-4</v>
      </c>
      <c r="T109" s="85">
        <f t="shared" si="1"/>
        <v>1.4280659703024819E-3</v>
      </c>
      <c r="U109" s="85">
        <f>R109/'סכום נכסי הקרן'!$C$42</f>
        <v>4.0933220241773821E-4</v>
      </c>
    </row>
    <row r="110" spans="2:21">
      <c r="B110" s="77" t="s">
        <v>466</v>
      </c>
      <c r="C110" s="74">
        <v>1119213</v>
      </c>
      <c r="D110" s="87" t="s">
        <v>111</v>
      </c>
      <c r="E110" s="87" t="s">
        <v>328</v>
      </c>
      <c r="F110" s="74" t="s">
        <v>409</v>
      </c>
      <c r="G110" s="87" t="s">
        <v>410</v>
      </c>
      <c r="H110" s="74" t="s">
        <v>446</v>
      </c>
      <c r="I110" s="74" t="s">
        <v>332</v>
      </c>
      <c r="J110" s="74"/>
      <c r="K110" s="84">
        <v>0.15999999999839326</v>
      </c>
      <c r="L110" s="87" t="s">
        <v>155</v>
      </c>
      <c r="M110" s="88">
        <v>3.9E-2</v>
      </c>
      <c r="N110" s="88">
        <v>0.20520000000058378</v>
      </c>
      <c r="O110" s="84">
        <v>69668.358626999994</v>
      </c>
      <c r="P110" s="86">
        <v>107.2</v>
      </c>
      <c r="Q110" s="74"/>
      <c r="R110" s="84">
        <v>74.684480832000006</v>
      </c>
      <c r="S110" s="85">
        <v>3.5003508787258362E-4</v>
      </c>
      <c r="T110" s="85">
        <f t="shared" si="1"/>
        <v>8.955125549815838E-4</v>
      </c>
      <c r="U110" s="85">
        <f>R110/'סכום נכסי הקרן'!$C$42</f>
        <v>2.5668430874079662E-4</v>
      </c>
    </row>
    <row r="111" spans="2:21">
      <c r="B111" s="77" t="s">
        <v>467</v>
      </c>
      <c r="C111" s="74">
        <v>1119221</v>
      </c>
      <c r="D111" s="87" t="s">
        <v>111</v>
      </c>
      <c r="E111" s="87" t="s">
        <v>328</v>
      </c>
      <c r="F111" s="74" t="s">
        <v>409</v>
      </c>
      <c r="G111" s="87" t="s">
        <v>410</v>
      </c>
      <c r="H111" s="74" t="s">
        <v>446</v>
      </c>
      <c r="I111" s="74" t="s">
        <v>332</v>
      </c>
      <c r="J111" s="74"/>
      <c r="K111" s="84">
        <v>1.1399999999982406</v>
      </c>
      <c r="L111" s="87" t="s">
        <v>155</v>
      </c>
      <c r="M111" s="88">
        <v>3.9E-2</v>
      </c>
      <c r="N111" s="88">
        <v>2.8199999999931228E-2</v>
      </c>
      <c r="O111" s="84">
        <v>112457.37815999999</v>
      </c>
      <c r="P111" s="86">
        <v>111.2</v>
      </c>
      <c r="Q111" s="74"/>
      <c r="R111" s="84">
        <v>125.05260432300001</v>
      </c>
      <c r="S111" s="85">
        <v>2.818251098845332E-4</v>
      </c>
      <c r="T111" s="85">
        <f t="shared" si="1"/>
        <v>1.4994571289355225E-3</v>
      </c>
      <c r="U111" s="85">
        <f>R111/'סכום נכסי הקרן'!$C$42</f>
        <v>4.2979533283616484E-4</v>
      </c>
    </row>
    <row r="112" spans="2:21">
      <c r="B112" s="77" t="s">
        <v>468</v>
      </c>
      <c r="C112" s="74">
        <v>1126077</v>
      </c>
      <c r="D112" s="87" t="s">
        <v>111</v>
      </c>
      <c r="E112" s="87" t="s">
        <v>328</v>
      </c>
      <c r="F112" s="74" t="s">
        <v>409</v>
      </c>
      <c r="G112" s="87" t="s">
        <v>410</v>
      </c>
      <c r="H112" s="74" t="s">
        <v>446</v>
      </c>
      <c r="I112" s="74" t="s">
        <v>332</v>
      </c>
      <c r="J112" s="74"/>
      <c r="K112" s="84">
        <v>3.8600000000198289</v>
      </c>
      <c r="L112" s="87" t="s">
        <v>155</v>
      </c>
      <c r="M112" s="88">
        <v>3.85E-2</v>
      </c>
      <c r="N112" s="88">
        <v>1.4100000000093421E-2</v>
      </c>
      <c r="O112" s="84">
        <v>91312.469752999998</v>
      </c>
      <c r="P112" s="86">
        <v>114.88</v>
      </c>
      <c r="Q112" s="74"/>
      <c r="R112" s="84">
        <v>104.89976682199999</v>
      </c>
      <c r="S112" s="85">
        <v>3.6524987901200001E-4</v>
      </c>
      <c r="T112" s="85">
        <f t="shared" si="1"/>
        <v>1.2578122945656413E-3</v>
      </c>
      <c r="U112" s="85">
        <f>R112/'סכום נכסי הקרן'!$C$42</f>
        <v>3.6053171735029059E-4</v>
      </c>
    </row>
    <row r="113" spans="2:21">
      <c r="B113" s="77" t="s">
        <v>469</v>
      </c>
      <c r="C113" s="74">
        <v>1127422</v>
      </c>
      <c r="D113" s="87" t="s">
        <v>111</v>
      </c>
      <c r="E113" s="87" t="s">
        <v>328</v>
      </c>
      <c r="F113" s="74" t="s">
        <v>470</v>
      </c>
      <c r="G113" s="87" t="s">
        <v>336</v>
      </c>
      <c r="H113" s="74" t="s">
        <v>451</v>
      </c>
      <c r="I113" s="74" t="s">
        <v>151</v>
      </c>
      <c r="J113" s="74"/>
      <c r="K113" s="84">
        <v>1.2500000000084583</v>
      </c>
      <c r="L113" s="87" t="s">
        <v>155</v>
      </c>
      <c r="M113" s="88">
        <v>0.02</v>
      </c>
      <c r="N113" s="88">
        <v>1.6200000000065409E-2</v>
      </c>
      <c r="O113" s="84">
        <v>86195.43648199999</v>
      </c>
      <c r="P113" s="86">
        <v>102.87</v>
      </c>
      <c r="Q113" s="74"/>
      <c r="R113" s="84">
        <v>88.669245141000005</v>
      </c>
      <c r="S113" s="85">
        <v>3.0298145487305737E-4</v>
      </c>
      <c r="T113" s="85">
        <f t="shared" si="1"/>
        <v>1.0631984232858582E-3</v>
      </c>
      <c r="U113" s="85">
        <f>R113/'סכום נכסי הקרן'!$C$42</f>
        <v>3.0474877299855132E-4</v>
      </c>
    </row>
    <row r="114" spans="2:21">
      <c r="B114" s="77" t="s">
        <v>471</v>
      </c>
      <c r="C114" s="74">
        <v>6130223</v>
      </c>
      <c r="D114" s="87" t="s">
        <v>111</v>
      </c>
      <c r="E114" s="87" t="s">
        <v>328</v>
      </c>
      <c r="F114" s="74" t="s">
        <v>417</v>
      </c>
      <c r="G114" s="87" t="s">
        <v>1274</v>
      </c>
      <c r="H114" s="74" t="s">
        <v>451</v>
      </c>
      <c r="I114" s="74" t="s">
        <v>151</v>
      </c>
      <c r="J114" s="74"/>
      <c r="K114" s="84">
        <v>6.4699999999993993</v>
      </c>
      <c r="L114" s="87" t="s">
        <v>155</v>
      </c>
      <c r="M114" s="88">
        <v>2.4E-2</v>
      </c>
      <c r="N114" s="88">
        <v>2.250000000001668E-2</v>
      </c>
      <c r="O114" s="84">
        <v>292561.91096100002</v>
      </c>
      <c r="P114" s="86">
        <v>102.47</v>
      </c>
      <c r="Q114" s="74"/>
      <c r="R114" s="84">
        <v>299.78818869399998</v>
      </c>
      <c r="S114" s="85">
        <v>5.6195375600456908E-4</v>
      </c>
      <c r="T114" s="85">
        <f t="shared" si="1"/>
        <v>3.5946435433428956E-3</v>
      </c>
      <c r="U114" s="85">
        <f>R114/'סכום נכסי הקרן'!$C$42</f>
        <v>1.0303469091078395E-3</v>
      </c>
    </row>
    <row r="115" spans="2:21">
      <c r="B115" s="77" t="s">
        <v>472</v>
      </c>
      <c r="C115" s="74">
        <v>6130181</v>
      </c>
      <c r="D115" s="87" t="s">
        <v>111</v>
      </c>
      <c r="E115" s="87" t="s">
        <v>328</v>
      </c>
      <c r="F115" s="74" t="s">
        <v>417</v>
      </c>
      <c r="G115" s="87" t="s">
        <v>1274</v>
      </c>
      <c r="H115" s="74" t="s">
        <v>451</v>
      </c>
      <c r="I115" s="74" t="s">
        <v>151</v>
      </c>
      <c r="J115" s="74"/>
      <c r="K115" s="84">
        <v>2.4200000001443964</v>
      </c>
      <c r="L115" s="87" t="s">
        <v>155</v>
      </c>
      <c r="M115" s="88">
        <v>3.4799999999999998E-2</v>
      </c>
      <c r="N115" s="88">
        <v>2.2699999999870414E-2</v>
      </c>
      <c r="O115" s="84">
        <v>5223.1635480000004</v>
      </c>
      <c r="P115" s="86">
        <v>103.42</v>
      </c>
      <c r="Q115" s="74"/>
      <c r="R115" s="84">
        <v>5.4017957409999999</v>
      </c>
      <c r="S115" s="85">
        <v>1.2762977767955423E-5</v>
      </c>
      <c r="T115" s="85">
        <f t="shared" si="1"/>
        <v>6.4770831257340418E-5</v>
      </c>
      <c r="U115" s="85">
        <f>R115/'סכום נכסי הקרן'!$C$42</f>
        <v>1.8565519774537517E-5</v>
      </c>
    </row>
    <row r="116" spans="2:21">
      <c r="B116" s="77" t="s">
        <v>473</v>
      </c>
      <c r="C116" s="74">
        <v>1136050</v>
      </c>
      <c r="D116" s="87" t="s">
        <v>111</v>
      </c>
      <c r="E116" s="87" t="s">
        <v>328</v>
      </c>
      <c r="F116" s="74" t="s">
        <v>420</v>
      </c>
      <c r="G116" s="87" t="s">
        <v>410</v>
      </c>
      <c r="H116" s="74" t="s">
        <v>451</v>
      </c>
      <c r="I116" s="74" t="s">
        <v>151</v>
      </c>
      <c r="J116" s="74"/>
      <c r="K116" s="84">
        <v>5.0100000000143297</v>
      </c>
      <c r="L116" s="87" t="s">
        <v>155</v>
      </c>
      <c r="M116" s="88">
        <v>2.4799999999999999E-2</v>
      </c>
      <c r="N116" s="88">
        <v>2.3100000000043985E-2</v>
      </c>
      <c r="O116" s="84">
        <v>138692.275096</v>
      </c>
      <c r="P116" s="86">
        <v>101.64</v>
      </c>
      <c r="Q116" s="74"/>
      <c r="R116" s="84">
        <v>140.96683949799998</v>
      </c>
      <c r="S116" s="85">
        <v>3.2750127747606877E-4</v>
      </c>
      <c r="T116" s="85">
        <f t="shared" si="1"/>
        <v>1.6902785317675247E-3</v>
      </c>
      <c r="U116" s="85">
        <f>R116/'סכום נכסי הקרן'!$C$42</f>
        <v>4.8449122694329866E-4</v>
      </c>
    </row>
    <row r="117" spans="2:21">
      <c r="B117" s="77" t="s">
        <v>474</v>
      </c>
      <c r="C117" s="74">
        <v>2260495</v>
      </c>
      <c r="D117" s="87" t="s">
        <v>111</v>
      </c>
      <c r="E117" s="87" t="s">
        <v>328</v>
      </c>
      <c r="F117" s="74" t="s">
        <v>427</v>
      </c>
      <c r="G117" s="87" t="s">
        <v>1274</v>
      </c>
      <c r="H117" s="74" t="s">
        <v>446</v>
      </c>
      <c r="I117" s="74" t="s">
        <v>332</v>
      </c>
      <c r="J117" s="74"/>
      <c r="K117" s="84">
        <v>6.0999999998988503</v>
      </c>
      <c r="L117" s="87" t="s">
        <v>155</v>
      </c>
      <c r="M117" s="88">
        <v>2.81E-2</v>
      </c>
      <c r="N117" s="88">
        <v>2.7899999999615632E-2</v>
      </c>
      <c r="O117" s="84">
        <v>24169.698382999999</v>
      </c>
      <c r="P117" s="86">
        <v>102.26</v>
      </c>
      <c r="Q117" s="74"/>
      <c r="R117" s="84">
        <v>24.715934404999999</v>
      </c>
      <c r="S117" s="85">
        <v>4.8597454107053863E-5</v>
      </c>
      <c r="T117" s="85">
        <f t="shared" si="1"/>
        <v>2.963591541536871E-4</v>
      </c>
      <c r="U117" s="85">
        <f>R117/'סכום נכסי הקרן'!$C$42</f>
        <v>8.4946597565581608E-5</v>
      </c>
    </row>
    <row r="118" spans="2:21">
      <c r="B118" s="77" t="s">
        <v>475</v>
      </c>
      <c r="C118" s="74">
        <v>2260446</v>
      </c>
      <c r="D118" s="87" t="s">
        <v>111</v>
      </c>
      <c r="E118" s="87" t="s">
        <v>328</v>
      </c>
      <c r="F118" s="74" t="s">
        <v>427</v>
      </c>
      <c r="G118" s="87" t="s">
        <v>1274</v>
      </c>
      <c r="H118" s="74" t="s">
        <v>446</v>
      </c>
      <c r="I118" s="74" t="s">
        <v>332</v>
      </c>
      <c r="J118" s="74"/>
      <c r="K118" s="84">
        <v>4.1500000000089159</v>
      </c>
      <c r="L118" s="87" t="s">
        <v>155</v>
      </c>
      <c r="M118" s="88">
        <v>3.7000000000000005E-2</v>
      </c>
      <c r="N118" s="88">
        <v>1.9400000000074073E-2</v>
      </c>
      <c r="O118" s="84">
        <v>67125.575920000003</v>
      </c>
      <c r="P118" s="86">
        <v>108.6</v>
      </c>
      <c r="Q118" s="74"/>
      <c r="R118" s="84">
        <v>72.898378609000005</v>
      </c>
      <c r="S118" s="85">
        <v>1.0503427079638422E-4</v>
      </c>
      <c r="T118" s="85">
        <f t="shared" si="1"/>
        <v>8.740960980770365E-4</v>
      </c>
      <c r="U118" s="85">
        <f>R118/'סכום נכסי הקרן'!$C$42</f>
        <v>2.5054562491594079E-4</v>
      </c>
    </row>
    <row r="119" spans="2:21">
      <c r="B119" s="77" t="s">
        <v>476</v>
      </c>
      <c r="C119" s="74">
        <v>1147602</v>
      </c>
      <c r="D119" s="87" t="s">
        <v>111</v>
      </c>
      <c r="E119" s="87" t="s">
        <v>328</v>
      </c>
      <c r="F119" s="74" t="s">
        <v>477</v>
      </c>
      <c r="G119" s="87" t="s">
        <v>1274</v>
      </c>
      <c r="H119" s="74" t="s">
        <v>446</v>
      </c>
      <c r="I119" s="74" t="s">
        <v>332</v>
      </c>
      <c r="J119" s="74"/>
      <c r="K119" s="84">
        <v>5.5700000000062353</v>
      </c>
      <c r="L119" s="87" t="s">
        <v>155</v>
      </c>
      <c r="M119" s="88">
        <v>1.3999999999999999E-2</v>
      </c>
      <c r="N119" s="88">
        <v>1.7700000000022555E-2</v>
      </c>
      <c r="O119" s="84">
        <v>305730.426958</v>
      </c>
      <c r="P119" s="86">
        <v>98.61</v>
      </c>
      <c r="Q119" s="74"/>
      <c r="R119" s="84">
        <v>301.48077331600001</v>
      </c>
      <c r="S119" s="85">
        <v>5.7837765220961025E-4</v>
      </c>
      <c r="T119" s="85">
        <f t="shared" si="1"/>
        <v>3.6149386670752191E-3</v>
      </c>
      <c r="U119" s="85">
        <f>R119/'סכום נכסי הקרן'!$C$42</f>
        <v>1.036164180766468E-3</v>
      </c>
    </row>
    <row r="120" spans="2:21">
      <c r="B120" s="77" t="s">
        <v>478</v>
      </c>
      <c r="C120" s="74">
        <v>2310266</v>
      </c>
      <c r="D120" s="87" t="s">
        <v>111</v>
      </c>
      <c r="E120" s="87" t="s">
        <v>328</v>
      </c>
      <c r="F120" s="74" t="s">
        <v>347</v>
      </c>
      <c r="G120" s="87" t="s">
        <v>336</v>
      </c>
      <c r="H120" s="74" t="s">
        <v>451</v>
      </c>
      <c r="I120" s="74" t="s">
        <v>151</v>
      </c>
      <c r="J120" s="74"/>
      <c r="K120" s="84">
        <v>3.4600000000034061</v>
      </c>
      <c r="L120" s="87" t="s">
        <v>155</v>
      </c>
      <c r="M120" s="88">
        <v>1.8200000000000001E-2</v>
      </c>
      <c r="N120" s="88">
        <v>7.2000000000125106E-3</v>
      </c>
      <c r="O120" s="84">
        <f>275485.7952/50000</f>
        <v>5.5097159040000001</v>
      </c>
      <c r="P120" s="86">
        <v>5222837</v>
      </c>
      <c r="Q120" s="74"/>
      <c r="R120" s="84">
        <v>287.76348743699998</v>
      </c>
      <c r="S120" s="85">
        <f>1938.53912602913%/50000</f>
        <v>3.8770782520582597E-4</v>
      </c>
      <c r="T120" s="85">
        <f t="shared" si="1"/>
        <v>3.4504600285673271E-3</v>
      </c>
      <c r="U120" s="85">
        <f>R120/'סכום נכסי הקרן'!$C$42</f>
        <v>9.8901901748185738E-4</v>
      </c>
    </row>
    <row r="121" spans="2:21">
      <c r="B121" s="77" t="s">
        <v>479</v>
      </c>
      <c r="C121" s="74">
        <v>2310233</v>
      </c>
      <c r="D121" s="87" t="s">
        <v>111</v>
      </c>
      <c r="E121" s="87" t="s">
        <v>328</v>
      </c>
      <c r="F121" s="74" t="s">
        <v>347</v>
      </c>
      <c r="G121" s="87" t="s">
        <v>336</v>
      </c>
      <c r="H121" s="74" t="s">
        <v>451</v>
      </c>
      <c r="I121" s="74" t="s">
        <v>151</v>
      </c>
      <c r="J121" s="74"/>
      <c r="K121" s="84">
        <v>2.6800000000040676</v>
      </c>
      <c r="L121" s="87" t="s">
        <v>155</v>
      </c>
      <c r="M121" s="88">
        <v>1.06E-2</v>
      </c>
      <c r="N121" s="88">
        <v>2.5500000000040376E-2</v>
      </c>
      <c r="O121" s="84">
        <f>343284.48/50000</f>
        <v>6.8656895999999996</v>
      </c>
      <c r="P121" s="86">
        <v>4869803</v>
      </c>
      <c r="Q121" s="74"/>
      <c r="R121" s="84">
        <v>334.34557922299996</v>
      </c>
      <c r="S121" s="85">
        <f>2528.0542013403%/50000</f>
        <v>5.0561084026805997E-4</v>
      </c>
      <c r="T121" s="85">
        <f t="shared" si="1"/>
        <v>4.0090077692352113E-3</v>
      </c>
      <c r="U121" s="85">
        <f>R121/'סכום נכסי הקרן'!$C$42</f>
        <v>1.1491177675379278E-3</v>
      </c>
    </row>
    <row r="122" spans="2:21">
      <c r="B122" s="77" t="s">
        <v>480</v>
      </c>
      <c r="C122" s="74">
        <v>2310290</v>
      </c>
      <c r="D122" s="87" t="s">
        <v>111</v>
      </c>
      <c r="E122" s="87" t="s">
        <v>328</v>
      </c>
      <c r="F122" s="74" t="s">
        <v>347</v>
      </c>
      <c r="G122" s="87" t="s">
        <v>336</v>
      </c>
      <c r="H122" s="74" t="s">
        <v>451</v>
      </c>
      <c r="I122" s="74" t="s">
        <v>151</v>
      </c>
      <c r="J122" s="74"/>
      <c r="K122" s="84">
        <v>4.5499999999982181</v>
      </c>
      <c r="L122" s="87" t="s">
        <v>155</v>
      </c>
      <c r="M122" s="88">
        <v>1.89E-2</v>
      </c>
      <c r="N122" s="88">
        <v>2.2699999999991251E-2</v>
      </c>
      <c r="O122" s="84">
        <f>633502.9008/50000</f>
        <v>12.670058015999999</v>
      </c>
      <c r="P122" s="86">
        <v>4873378</v>
      </c>
      <c r="Q122" s="74"/>
      <c r="R122" s="84">
        <v>617.45981290200007</v>
      </c>
      <c r="S122" s="85">
        <f>2906.24323699422%/50000</f>
        <v>5.8124864739884398E-4</v>
      </c>
      <c r="T122" s="85">
        <f t="shared" si="1"/>
        <v>7.4037204047002186E-3</v>
      </c>
      <c r="U122" s="85">
        <f>R122/'סכום נכסי הקרן'!$C$42</f>
        <v>2.1221576890451174E-3</v>
      </c>
    </row>
    <row r="123" spans="2:21">
      <c r="B123" s="77" t="s">
        <v>481</v>
      </c>
      <c r="C123" s="74">
        <v>6950083</v>
      </c>
      <c r="D123" s="87" t="s">
        <v>111</v>
      </c>
      <c r="E123" s="87" t="s">
        <v>328</v>
      </c>
      <c r="F123" s="74" t="s">
        <v>347</v>
      </c>
      <c r="G123" s="87" t="s">
        <v>336</v>
      </c>
      <c r="H123" s="74" t="s">
        <v>446</v>
      </c>
      <c r="I123" s="74" t="s">
        <v>332</v>
      </c>
      <c r="J123" s="74"/>
      <c r="K123" s="84">
        <v>1.7000000000010171</v>
      </c>
      <c r="L123" s="87" t="s">
        <v>155</v>
      </c>
      <c r="M123" s="88">
        <v>4.4999999999999998E-2</v>
      </c>
      <c r="N123" s="88">
        <v>1.9700000000004408E-2</v>
      </c>
      <c r="O123" s="84">
        <v>694983.12006800016</v>
      </c>
      <c r="P123" s="86">
        <v>125.96</v>
      </c>
      <c r="Q123" s="84">
        <v>9.436655720000001</v>
      </c>
      <c r="R123" s="84">
        <v>884.83741291299998</v>
      </c>
      <c r="S123" s="85">
        <v>4.0833697423138759E-4</v>
      </c>
      <c r="T123" s="85">
        <f t="shared" si="1"/>
        <v>1.0609741187910936E-2</v>
      </c>
      <c r="U123" s="85">
        <f>R123/'סכום נכסי הקרן'!$C$42</f>
        <v>3.0411121179576123E-3</v>
      </c>
    </row>
    <row r="124" spans="2:21">
      <c r="B124" s="77" t="s">
        <v>482</v>
      </c>
      <c r="C124" s="74">
        <v>3230125</v>
      </c>
      <c r="D124" s="87" t="s">
        <v>111</v>
      </c>
      <c r="E124" s="87" t="s">
        <v>328</v>
      </c>
      <c r="F124" s="74" t="s">
        <v>429</v>
      </c>
      <c r="G124" s="87" t="s">
        <v>1274</v>
      </c>
      <c r="H124" s="74" t="s">
        <v>446</v>
      </c>
      <c r="I124" s="74" t="s">
        <v>332</v>
      </c>
      <c r="J124" s="74"/>
      <c r="K124" s="84">
        <v>1.9499999999968995</v>
      </c>
      <c r="L124" s="87" t="s">
        <v>155</v>
      </c>
      <c r="M124" s="88">
        <v>4.9000000000000002E-2</v>
      </c>
      <c r="N124" s="88">
        <v>3.4399999999910322E-2</v>
      </c>
      <c r="O124" s="84">
        <v>193159.23065400001</v>
      </c>
      <c r="P124" s="86">
        <v>106</v>
      </c>
      <c r="Q124" s="84">
        <v>4.882566304</v>
      </c>
      <c r="R124" s="84">
        <v>209.63135692699998</v>
      </c>
      <c r="S124" s="85">
        <v>3.6307401074959367E-4</v>
      </c>
      <c r="T124" s="85">
        <f t="shared" si="1"/>
        <v>2.5136080475439099E-3</v>
      </c>
      <c r="U124" s="85">
        <f>R124/'סכום נכסי הקרן'!$C$42</f>
        <v>7.2048542540241727E-4</v>
      </c>
    </row>
    <row r="125" spans="2:21">
      <c r="B125" s="77" t="s">
        <v>483</v>
      </c>
      <c r="C125" s="74">
        <v>3230208</v>
      </c>
      <c r="D125" s="87" t="s">
        <v>111</v>
      </c>
      <c r="E125" s="87" t="s">
        <v>328</v>
      </c>
      <c r="F125" s="74" t="s">
        <v>429</v>
      </c>
      <c r="G125" s="87" t="s">
        <v>1274</v>
      </c>
      <c r="H125" s="74" t="s">
        <v>446</v>
      </c>
      <c r="I125" s="74" t="s">
        <v>332</v>
      </c>
      <c r="J125" s="74"/>
      <c r="K125" s="84">
        <v>4.6799999999347071</v>
      </c>
      <c r="L125" s="87" t="s">
        <v>155</v>
      </c>
      <c r="M125" s="88">
        <v>2.3E-2</v>
      </c>
      <c r="N125" s="88">
        <v>3.4699999999606115E-2</v>
      </c>
      <c r="O125" s="84">
        <v>29052.097286999997</v>
      </c>
      <c r="P125" s="86">
        <v>97</v>
      </c>
      <c r="Q125" s="74"/>
      <c r="R125" s="84">
        <v>28.180534912999999</v>
      </c>
      <c r="S125" s="85">
        <v>2.127798704691129E-5</v>
      </c>
      <c r="T125" s="85">
        <f t="shared" si="1"/>
        <v>3.3790183100363059E-4</v>
      </c>
      <c r="U125" s="85">
        <f>R125/'סכום נכסי הקרן'!$C$42</f>
        <v>9.6854139487971878E-5</v>
      </c>
    </row>
    <row r="126" spans="2:21">
      <c r="B126" s="77" t="s">
        <v>484</v>
      </c>
      <c r="C126" s="74">
        <v>3230224</v>
      </c>
      <c r="D126" s="87" t="s">
        <v>111</v>
      </c>
      <c r="E126" s="87" t="s">
        <v>328</v>
      </c>
      <c r="F126" s="74" t="s">
        <v>429</v>
      </c>
      <c r="G126" s="87" t="s">
        <v>1274</v>
      </c>
      <c r="H126" s="74" t="s">
        <v>446</v>
      </c>
      <c r="I126" s="74" t="s">
        <v>332</v>
      </c>
      <c r="J126" s="74"/>
      <c r="K126" s="84">
        <v>1.5899999999956822</v>
      </c>
      <c r="L126" s="87" t="s">
        <v>155</v>
      </c>
      <c r="M126" s="88">
        <v>5.8499999999999996E-2</v>
      </c>
      <c r="N126" s="88">
        <v>2.9400000000006643E-2</v>
      </c>
      <c r="O126" s="84">
        <v>130167.92582600001</v>
      </c>
      <c r="P126" s="86">
        <v>115.65</v>
      </c>
      <c r="Q126" s="74"/>
      <c r="R126" s="84">
        <v>150.53920453500001</v>
      </c>
      <c r="S126" s="85">
        <v>1.5778416072360899E-4</v>
      </c>
      <c r="T126" s="85">
        <f t="shared" si="1"/>
        <v>1.8050570369670595E-3</v>
      </c>
      <c r="U126" s="85">
        <f>R126/'סכום נכסי הקרן'!$C$42</f>
        <v>5.1739064426754877E-4</v>
      </c>
    </row>
    <row r="127" spans="2:21">
      <c r="B127" s="77" t="s">
        <v>485</v>
      </c>
      <c r="C127" s="74">
        <v>3230273</v>
      </c>
      <c r="D127" s="87" t="s">
        <v>111</v>
      </c>
      <c r="E127" s="87" t="s">
        <v>328</v>
      </c>
      <c r="F127" s="74" t="s">
        <v>429</v>
      </c>
      <c r="G127" s="87" t="s">
        <v>1274</v>
      </c>
      <c r="H127" s="74" t="s">
        <v>446</v>
      </c>
      <c r="I127" s="74" t="s">
        <v>332</v>
      </c>
      <c r="J127" s="74"/>
      <c r="K127" s="84">
        <v>6.1900000000041917</v>
      </c>
      <c r="L127" s="87" t="s">
        <v>155</v>
      </c>
      <c r="M127" s="88">
        <v>2.2499999999999999E-2</v>
      </c>
      <c r="N127" s="88">
        <v>3.2300000000013977E-2</v>
      </c>
      <c r="O127" s="84">
        <v>133972.27442900001</v>
      </c>
      <c r="P127" s="86">
        <v>96.14</v>
      </c>
      <c r="Q127" s="74"/>
      <c r="R127" s="84">
        <v>128.80094473400001</v>
      </c>
      <c r="S127" s="85">
        <v>3.4064051516165906E-4</v>
      </c>
      <c r="T127" s="85">
        <f t="shared" si="1"/>
        <v>1.5444020205783535E-3</v>
      </c>
      <c r="U127" s="85">
        <f>R127/'סכום נכסי הקרן'!$C$42</f>
        <v>4.4267806505314343E-4</v>
      </c>
    </row>
    <row r="128" spans="2:21">
      <c r="B128" s="77" t="s">
        <v>486</v>
      </c>
      <c r="C128" s="74">
        <v>1103670</v>
      </c>
      <c r="D128" s="87" t="s">
        <v>111</v>
      </c>
      <c r="E128" s="87" t="s">
        <v>328</v>
      </c>
      <c r="F128" s="74" t="s">
        <v>487</v>
      </c>
      <c r="G128" s="87" t="s">
        <v>410</v>
      </c>
      <c r="H128" s="74" t="s">
        <v>451</v>
      </c>
      <c r="I128" s="74" t="s">
        <v>151</v>
      </c>
      <c r="J128" s="74"/>
      <c r="K128" s="84">
        <v>1.2199999999816571</v>
      </c>
      <c r="L128" s="87" t="s">
        <v>155</v>
      </c>
      <c r="M128" s="88">
        <v>4.0500000000000001E-2</v>
      </c>
      <c r="N128" s="88">
        <v>2.0000000008976366E-4</v>
      </c>
      <c r="O128" s="84">
        <v>39313.914720000001</v>
      </c>
      <c r="P128" s="86">
        <v>130.35</v>
      </c>
      <c r="Q128" s="74"/>
      <c r="R128" s="84">
        <v>51.245691727000001</v>
      </c>
      <c r="S128" s="85">
        <v>3.6037659059575842E-4</v>
      </c>
      <c r="T128" s="85">
        <f t="shared" si="1"/>
        <v>6.144671532694304E-4</v>
      </c>
      <c r="U128" s="85">
        <f>R128/'סכום נכסי הקרן'!$C$42</f>
        <v>1.7612715266078258E-4</v>
      </c>
    </row>
    <row r="129" spans="2:21">
      <c r="B129" s="77" t="s">
        <v>488</v>
      </c>
      <c r="C129" s="74">
        <v>1138973</v>
      </c>
      <c r="D129" s="87" t="s">
        <v>111</v>
      </c>
      <c r="E129" s="87" t="s">
        <v>328</v>
      </c>
      <c r="F129" s="74" t="s">
        <v>489</v>
      </c>
      <c r="G129" s="87" t="s">
        <v>1274</v>
      </c>
      <c r="H129" s="74" t="s">
        <v>451</v>
      </c>
      <c r="I129" s="74" t="s">
        <v>151</v>
      </c>
      <c r="J129" s="74"/>
      <c r="K129" s="84">
        <v>6.9700000000067872</v>
      </c>
      <c r="L129" s="87" t="s">
        <v>155</v>
      </c>
      <c r="M129" s="88">
        <v>1.9599999999999999E-2</v>
      </c>
      <c r="N129" s="88">
        <v>1.9300000000026834E-2</v>
      </c>
      <c r="O129" s="84">
        <v>248685.54842000001</v>
      </c>
      <c r="P129" s="86">
        <v>101.9</v>
      </c>
      <c r="Q129" s="74"/>
      <c r="R129" s="84">
        <v>253.410585024</v>
      </c>
      <c r="S129" s="85">
        <v>2.5213691116522896E-4</v>
      </c>
      <c r="T129" s="85">
        <f t="shared" si="1"/>
        <v>3.0385477401214866E-3</v>
      </c>
      <c r="U129" s="85">
        <f>R129/'סכום נכסי הקרן'!$C$42</f>
        <v>8.7095096758864896E-4</v>
      </c>
    </row>
    <row r="130" spans="2:21">
      <c r="B130" s="77" t="s">
        <v>490</v>
      </c>
      <c r="C130" s="74">
        <v>1132927</v>
      </c>
      <c r="D130" s="87" t="s">
        <v>111</v>
      </c>
      <c r="E130" s="87" t="s">
        <v>328</v>
      </c>
      <c r="F130" s="74" t="s">
        <v>489</v>
      </c>
      <c r="G130" s="87" t="s">
        <v>1274</v>
      </c>
      <c r="H130" s="74" t="s">
        <v>451</v>
      </c>
      <c r="I130" s="74" t="s">
        <v>151</v>
      </c>
      <c r="J130" s="74"/>
      <c r="K130" s="84">
        <v>2.9600000000174651</v>
      </c>
      <c r="L130" s="87" t="s">
        <v>155</v>
      </c>
      <c r="M130" s="88">
        <v>2.75E-2</v>
      </c>
      <c r="N130" s="88">
        <v>1.7300000000087325E-2</v>
      </c>
      <c r="O130" s="84">
        <v>61220.087447999998</v>
      </c>
      <c r="P130" s="86">
        <v>104.75</v>
      </c>
      <c r="Q130" s="74"/>
      <c r="R130" s="84">
        <v>64.128043628</v>
      </c>
      <c r="S130" s="85">
        <v>1.4172985014180279E-4</v>
      </c>
      <c r="T130" s="85">
        <f t="shared" si="1"/>
        <v>7.689344232634051E-4</v>
      </c>
      <c r="U130" s="85">
        <f>R130/'סכום נכסי הקרן'!$C$42</f>
        <v>2.2040271775578763E-4</v>
      </c>
    </row>
    <row r="131" spans="2:21">
      <c r="B131" s="77" t="s">
        <v>491</v>
      </c>
      <c r="C131" s="74">
        <v>1940600</v>
      </c>
      <c r="D131" s="87" t="s">
        <v>111</v>
      </c>
      <c r="E131" s="87" t="s">
        <v>328</v>
      </c>
      <c r="F131" s="74" t="s">
        <v>361</v>
      </c>
      <c r="G131" s="87" t="s">
        <v>336</v>
      </c>
      <c r="H131" s="74" t="s">
        <v>451</v>
      </c>
      <c r="I131" s="74" t="s">
        <v>151</v>
      </c>
      <c r="J131" s="74"/>
      <c r="K131" s="84">
        <v>2.9900000000021758</v>
      </c>
      <c r="L131" s="87" t="s">
        <v>155</v>
      </c>
      <c r="M131" s="88">
        <v>1.4199999999999999E-2</v>
      </c>
      <c r="N131" s="88">
        <v>3.4600000000030759E-2</v>
      </c>
      <c r="O131" s="84">
        <f>553117.1184/50000</f>
        <v>11.062342368000001</v>
      </c>
      <c r="P131" s="86">
        <v>4820000</v>
      </c>
      <c r="Q131" s="74"/>
      <c r="R131" s="84">
        <v>533.20488511600001</v>
      </c>
      <c r="S131" s="85">
        <f>2609.90477233049%/50000</f>
        <v>5.2198095446609797E-4</v>
      </c>
      <c r="T131" s="85">
        <f t="shared" si="1"/>
        <v>6.3934523435061558E-3</v>
      </c>
      <c r="U131" s="85">
        <f>R131/'סכום נכסי הקרן'!$C$42</f>
        <v>1.832580555270778E-3</v>
      </c>
    </row>
    <row r="132" spans="2:21">
      <c r="B132" s="77" t="s">
        <v>492</v>
      </c>
      <c r="C132" s="74">
        <v>1940691</v>
      </c>
      <c r="D132" s="87" t="s">
        <v>111</v>
      </c>
      <c r="E132" s="87" t="s">
        <v>328</v>
      </c>
      <c r="F132" s="74" t="s">
        <v>361</v>
      </c>
      <c r="G132" s="87" t="s">
        <v>336</v>
      </c>
      <c r="H132" s="74" t="s">
        <v>451</v>
      </c>
      <c r="I132" s="74" t="s">
        <v>151</v>
      </c>
      <c r="J132" s="74"/>
      <c r="K132" s="84">
        <v>4.8099999999774719</v>
      </c>
      <c r="L132" s="87" t="s">
        <v>155</v>
      </c>
      <c r="M132" s="88">
        <v>2.0199999999999999E-2</v>
      </c>
      <c r="N132" s="88">
        <v>1.8399999999890403E-2</v>
      </c>
      <c r="O132" s="84">
        <f>63793.6992/50000</f>
        <v>1.275873984</v>
      </c>
      <c r="P132" s="86">
        <v>5048000</v>
      </c>
      <c r="Q132" s="84">
        <v>1.2969867230000001</v>
      </c>
      <c r="R132" s="84">
        <v>65.696036808000002</v>
      </c>
      <c r="S132" s="85">
        <f>303.129955808981%/50000</f>
        <v>6.0625991161796196E-5</v>
      </c>
      <c r="T132" s="85">
        <f t="shared" si="1"/>
        <v>7.8773561948480082E-4</v>
      </c>
      <c r="U132" s="85">
        <f>R132/'סכום נכסי הקרן'!$C$42</f>
        <v>2.257917790578799E-4</v>
      </c>
    </row>
    <row r="133" spans="2:21">
      <c r="B133" s="77" t="s">
        <v>493</v>
      </c>
      <c r="C133" s="74">
        <v>1940626</v>
      </c>
      <c r="D133" s="87" t="s">
        <v>111</v>
      </c>
      <c r="E133" s="87" t="s">
        <v>328</v>
      </c>
      <c r="F133" s="74" t="s">
        <v>361</v>
      </c>
      <c r="G133" s="87" t="s">
        <v>336</v>
      </c>
      <c r="H133" s="74" t="s">
        <v>451</v>
      </c>
      <c r="I133" s="74" t="s">
        <v>151</v>
      </c>
      <c r="J133" s="74"/>
      <c r="K133" s="84">
        <v>3.6600000000008626</v>
      </c>
      <c r="L133" s="87" t="s">
        <v>155</v>
      </c>
      <c r="M133" s="88">
        <v>1.5900000000000001E-2</v>
      </c>
      <c r="N133" s="88">
        <v>2.3700000000003295E-2</v>
      </c>
      <c r="O133" s="84">
        <f>403502.2992/50000</f>
        <v>8.0700459840000001</v>
      </c>
      <c r="P133" s="86">
        <v>4885714</v>
      </c>
      <c r="Q133" s="74"/>
      <c r="R133" s="84">
        <v>394.27936985100001</v>
      </c>
      <c r="S133" s="85">
        <f>2695.40614028056%/50000</f>
        <v>5.3908122805611204E-4</v>
      </c>
      <c r="T133" s="85">
        <f t="shared" si="1"/>
        <v>4.7276505364754846E-3</v>
      </c>
      <c r="U133" s="85">
        <f>R133/'סכום נכסי הקרן'!$C$42</f>
        <v>1.3551051888359309E-3</v>
      </c>
    </row>
    <row r="134" spans="2:21">
      <c r="B134" s="77" t="s">
        <v>494</v>
      </c>
      <c r="C134" s="74">
        <v>1139542</v>
      </c>
      <c r="D134" s="87" t="s">
        <v>111</v>
      </c>
      <c r="E134" s="87" t="s">
        <v>328</v>
      </c>
      <c r="F134" s="74" t="s">
        <v>495</v>
      </c>
      <c r="G134" s="87" t="s">
        <v>413</v>
      </c>
      <c r="H134" s="74" t="s">
        <v>446</v>
      </c>
      <c r="I134" s="74" t="s">
        <v>332</v>
      </c>
      <c r="J134" s="74"/>
      <c r="K134" s="84">
        <v>4.400000000009908</v>
      </c>
      <c r="L134" s="87" t="s">
        <v>155</v>
      </c>
      <c r="M134" s="88">
        <v>1.9400000000000001E-2</v>
      </c>
      <c r="N134" s="88">
        <v>2.0100000000035131E-2</v>
      </c>
      <c r="O134" s="84">
        <v>219227.49663499999</v>
      </c>
      <c r="P134" s="86">
        <v>101.28</v>
      </c>
      <c r="Q134" s="74"/>
      <c r="R134" s="84">
        <v>222.03358892200001</v>
      </c>
      <c r="S134" s="85">
        <v>4.0445992541111473E-4</v>
      </c>
      <c r="T134" s="85">
        <f t="shared" si="1"/>
        <v>2.6623183865271873E-3</v>
      </c>
      <c r="U134" s="85">
        <f>R134/'סכום נכסי הקרן'!$C$42</f>
        <v>7.6311085857160065E-4</v>
      </c>
    </row>
    <row r="135" spans="2:21">
      <c r="B135" s="77" t="s">
        <v>496</v>
      </c>
      <c r="C135" s="74">
        <v>1142595</v>
      </c>
      <c r="D135" s="87" t="s">
        <v>111</v>
      </c>
      <c r="E135" s="87" t="s">
        <v>328</v>
      </c>
      <c r="F135" s="74" t="s">
        <v>495</v>
      </c>
      <c r="G135" s="87" t="s">
        <v>413</v>
      </c>
      <c r="H135" s="74" t="s">
        <v>446</v>
      </c>
      <c r="I135" s="74" t="s">
        <v>332</v>
      </c>
      <c r="J135" s="74"/>
      <c r="K135" s="84">
        <v>5.3699999999968613</v>
      </c>
      <c r="L135" s="87" t="s">
        <v>155</v>
      </c>
      <c r="M135" s="88">
        <v>1.23E-2</v>
      </c>
      <c r="N135" s="88">
        <v>2.0999999999985731E-2</v>
      </c>
      <c r="O135" s="84">
        <v>871319.05212500005</v>
      </c>
      <c r="P135" s="86">
        <v>96.55</v>
      </c>
      <c r="Q135" s="74"/>
      <c r="R135" s="84">
        <v>841.25850037200007</v>
      </c>
      <c r="S135" s="85">
        <v>5.0017827158116142E-4</v>
      </c>
      <c r="T135" s="85">
        <f t="shared" si="1"/>
        <v>1.0087203401236136E-2</v>
      </c>
      <c r="U135" s="85">
        <f>R135/'סכום נכסי הקרן'!$C$42</f>
        <v>2.8913350435688283E-3</v>
      </c>
    </row>
    <row r="136" spans="2:21">
      <c r="B136" s="77" t="s">
        <v>497</v>
      </c>
      <c r="C136" s="74">
        <v>1135417</v>
      </c>
      <c r="D136" s="87" t="s">
        <v>111</v>
      </c>
      <c r="E136" s="87" t="s">
        <v>328</v>
      </c>
      <c r="F136" s="74" t="s">
        <v>498</v>
      </c>
      <c r="G136" s="87" t="s">
        <v>410</v>
      </c>
      <c r="H136" s="74" t="s">
        <v>451</v>
      </c>
      <c r="I136" s="74" t="s">
        <v>151</v>
      </c>
      <c r="J136" s="74"/>
      <c r="K136" s="84">
        <v>6.1200000000206076</v>
      </c>
      <c r="L136" s="87" t="s">
        <v>155</v>
      </c>
      <c r="M136" s="88">
        <v>2.2499999999999999E-2</v>
      </c>
      <c r="N136" s="88">
        <v>1.240000000003747E-2</v>
      </c>
      <c r="O136" s="84">
        <v>98084.454565999986</v>
      </c>
      <c r="P136" s="86">
        <v>108.84</v>
      </c>
      <c r="Q136" s="74"/>
      <c r="R136" s="84">
        <v>106.755116965</v>
      </c>
      <c r="S136" s="85">
        <v>2.3974721643769926E-4</v>
      </c>
      <c r="T136" s="85">
        <f t="shared" si="1"/>
        <v>1.2800590763392317E-3</v>
      </c>
      <c r="U136" s="85">
        <f>R136/'סכום נכסי הקרן'!$C$42</f>
        <v>3.6690840047940516E-4</v>
      </c>
    </row>
    <row r="137" spans="2:21">
      <c r="B137" s="77" t="s">
        <v>499</v>
      </c>
      <c r="C137" s="74">
        <v>1140615</v>
      </c>
      <c r="D137" s="87" t="s">
        <v>111</v>
      </c>
      <c r="E137" s="87" t="s">
        <v>328</v>
      </c>
      <c r="F137" s="74" t="s">
        <v>500</v>
      </c>
      <c r="G137" s="87" t="s">
        <v>1274</v>
      </c>
      <c r="H137" s="74" t="s">
        <v>451</v>
      </c>
      <c r="I137" s="74" t="s">
        <v>151</v>
      </c>
      <c r="J137" s="74"/>
      <c r="K137" s="84">
        <v>4.1800000000119404</v>
      </c>
      <c r="L137" s="87" t="s">
        <v>155</v>
      </c>
      <c r="M137" s="88">
        <v>1.6E-2</v>
      </c>
      <c r="N137" s="88">
        <v>1.2100000000048843E-2</v>
      </c>
      <c r="O137" s="84">
        <v>35526.575793999997</v>
      </c>
      <c r="P137" s="86">
        <v>103.73</v>
      </c>
      <c r="Q137" s="74"/>
      <c r="R137" s="84">
        <v>36.851718941999998</v>
      </c>
      <c r="S137" s="85">
        <v>2.2411369092044774E-4</v>
      </c>
      <c r="T137" s="85">
        <f t="shared" si="1"/>
        <v>4.418746253247523E-4</v>
      </c>
      <c r="U137" s="85">
        <f>R137/'סכום נכסי הקרן'!$C$42</f>
        <v>1.2665627312608149E-4</v>
      </c>
    </row>
    <row r="138" spans="2:21">
      <c r="B138" s="77" t="s">
        <v>514</v>
      </c>
      <c r="C138" s="74">
        <v>2260529</v>
      </c>
      <c r="D138" s="87" t="s">
        <v>111</v>
      </c>
      <c r="E138" s="87" t="s">
        <v>328</v>
      </c>
      <c r="F138" s="74" t="s">
        <v>427</v>
      </c>
      <c r="G138" s="87" t="s">
        <v>1274</v>
      </c>
      <c r="H138" s="74" t="s">
        <v>446</v>
      </c>
      <c r="I138" s="74" t="s">
        <v>332</v>
      </c>
      <c r="J138" s="74"/>
      <c r="K138" s="84">
        <v>2.9700000001782256</v>
      </c>
      <c r="L138" s="87" t="s">
        <v>155</v>
      </c>
      <c r="M138" s="88">
        <v>4.4000000000000004E-2</v>
      </c>
      <c r="N138" s="88">
        <v>1.8500000000582981E-2</v>
      </c>
      <c r="O138" s="84">
        <v>5503.8679169999996</v>
      </c>
      <c r="P138" s="86">
        <v>109.08</v>
      </c>
      <c r="Q138" s="74"/>
      <c r="R138" s="84">
        <v>6.0036193689999999</v>
      </c>
      <c r="S138" s="85">
        <v>2.1217523060731989E-5</v>
      </c>
      <c r="T138" s="85">
        <f>R138/$R$11</f>
        <v>7.1987064251861644E-5</v>
      </c>
      <c r="U138" s="85">
        <f>R138/'סכום נכסי הקרן'!$C$42</f>
        <v>2.0633937204988062E-5</v>
      </c>
    </row>
    <row r="139" spans="2:21">
      <c r="B139" s="77" t="s">
        <v>516</v>
      </c>
      <c r="C139" s="74">
        <v>2260552</v>
      </c>
      <c r="D139" s="87" t="s">
        <v>111</v>
      </c>
      <c r="E139" s="87" t="s">
        <v>328</v>
      </c>
      <c r="F139" s="74" t="s">
        <v>427</v>
      </c>
      <c r="G139" s="87" t="s">
        <v>1274</v>
      </c>
      <c r="H139" s="74" t="s">
        <v>446</v>
      </c>
      <c r="I139" s="74" t="s">
        <v>332</v>
      </c>
      <c r="J139" s="74"/>
      <c r="K139" s="84">
        <v>6.0499999999931822</v>
      </c>
      <c r="L139" s="87" t="s">
        <v>155</v>
      </c>
      <c r="M139" s="88">
        <v>2.6000000000000002E-2</v>
      </c>
      <c r="N139" s="88">
        <v>2.2399999999972064E-2</v>
      </c>
      <c r="O139" s="84">
        <v>290438.90082600003</v>
      </c>
      <c r="P139" s="86">
        <v>103.54</v>
      </c>
      <c r="Q139" s="74"/>
      <c r="R139" s="84">
        <v>300.72044544099998</v>
      </c>
      <c r="S139" s="85">
        <v>4.9369383935273577E-4</v>
      </c>
      <c r="T139" s="85">
        <f>R139/$R$11</f>
        <v>3.6058218713181916E-3</v>
      </c>
      <c r="U139" s="85">
        <f>R139/'סכום נכסי הקרן'!$C$42</f>
        <v>1.0335509975075558E-3</v>
      </c>
    </row>
    <row r="140" spans="2:21">
      <c r="B140" s="77" t="s">
        <v>501</v>
      </c>
      <c r="C140" s="74">
        <v>1410281</v>
      </c>
      <c r="D140" s="87" t="s">
        <v>111</v>
      </c>
      <c r="E140" s="87" t="s">
        <v>328</v>
      </c>
      <c r="F140" s="74" t="s">
        <v>502</v>
      </c>
      <c r="G140" s="87" t="s">
        <v>147</v>
      </c>
      <c r="H140" s="74" t="s">
        <v>446</v>
      </c>
      <c r="I140" s="74" t="s">
        <v>332</v>
      </c>
      <c r="J140" s="74"/>
      <c r="K140" s="84">
        <v>1.6100000000024113</v>
      </c>
      <c r="L140" s="87" t="s">
        <v>155</v>
      </c>
      <c r="M140" s="88">
        <v>2.1499999999999998E-2</v>
      </c>
      <c r="N140" s="88">
        <v>4.5500000000047489E-2</v>
      </c>
      <c r="O140" s="84">
        <v>258380.93982199999</v>
      </c>
      <c r="P140" s="86">
        <v>96.96</v>
      </c>
      <c r="Q140" s="84">
        <v>23.195707849999998</v>
      </c>
      <c r="R140" s="84">
        <v>273.721867094</v>
      </c>
      <c r="S140" s="85">
        <v>4.000565183795586E-4</v>
      </c>
      <c r="T140" s="85">
        <f t="shared" si="1"/>
        <v>3.2820924216781927E-3</v>
      </c>
      <c r="U140" s="85">
        <f>R140/'סכום נכסי הקרן'!$C$42</f>
        <v>9.4075914379469457E-4</v>
      </c>
    </row>
    <row r="141" spans="2:21">
      <c r="B141" s="77" t="s">
        <v>503</v>
      </c>
      <c r="C141" s="74">
        <v>1410307</v>
      </c>
      <c r="D141" s="87" t="s">
        <v>111</v>
      </c>
      <c r="E141" s="87" t="s">
        <v>328</v>
      </c>
      <c r="F141" s="74" t="s">
        <v>502</v>
      </c>
      <c r="G141" s="87" t="s">
        <v>147</v>
      </c>
      <c r="H141" s="74" t="s">
        <v>446</v>
      </c>
      <c r="I141" s="74" t="s">
        <v>332</v>
      </c>
      <c r="J141" s="74"/>
      <c r="K141" s="84">
        <v>3.0299999999933966</v>
      </c>
      <c r="L141" s="87" t="s">
        <v>155</v>
      </c>
      <c r="M141" s="88">
        <v>1.8000000000000002E-2</v>
      </c>
      <c r="N141" s="88">
        <v>4.3599999999969531E-2</v>
      </c>
      <c r="O141" s="84">
        <v>168815.72331999999</v>
      </c>
      <c r="P141" s="86">
        <v>93.3</v>
      </c>
      <c r="Q141" s="74"/>
      <c r="R141" s="84">
        <v>157.50506816800001</v>
      </c>
      <c r="S141" s="85">
        <v>2.426109796295488E-4</v>
      </c>
      <c r="T141" s="85">
        <f t="shared" si="1"/>
        <v>1.8885819978444515E-3</v>
      </c>
      <c r="U141" s="85">
        <f>R141/'סכום נכסי הקרן'!$C$42</f>
        <v>5.4133173445791054E-4</v>
      </c>
    </row>
    <row r="142" spans="2:21">
      <c r="B142" s="77" t="s">
        <v>504</v>
      </c>
      <c r="C142" s="74">
        <v>1124080</v>
      </c>
      <c r="D142" s="87" t="s">
        <v>111</v>
      </c>
      <c r="E142" s="87" t="s">
        <v>328</v>
      </c>
      <c r="F142" s="74" t="s">
        <v>505</v>
      </c>
      <c r="G142" s="87" t="s">
        <v>336</v>
      </c>
      <c r="H142" s="74" t="s">
        <v>506</v>
      </c>
      <c r="I142" s="74" t="s">
        <v>151</v>
      </c>
      <c r="J142" s="74"/>
      <c r="K142" s="84">
        <v>0.74000000005888422</v>
      </c>
      <c r="L142" s="87" t="s">
        <v>155</v>
      </c>
      <c r="M142" s="88">
        <v>4.1500000000000002E-2</v>
      </c>
      <c r="N142" s="88">
        <v>4.8700000001556235E-2</v>
      </c>
      <c r="O142" s="84">
        <v>11172.685300000001</v>
      </c>
      <c r="P142" s="86">
        <v>106.4</v>
      </c>
      <c r="Q142" s="74"/>
      <c r="R142" s="84">
        <v>11.887737345</v>
      </c>
      <c r="S142" s="85">
        <v>5.5697235418042589E-5</v>
      </c>
      <c r="T142" s="85">
        <f t="shared" ref="T142:T164" si="2">R142/$R$11</f>
        <v>1.4254123379016137E-4</v>
      </c>
      <c r="U142" s="85">
        <f>R142/'סכום נכסי הקרן'!$C$42</f>
        <v>4.0857158125762171E-5</v>
      </c>
    </row>
    <row r="143" spans="2:21">
      <c r="B143" s="77" t="s">
        <v>507</v>
      </c>
      <c r="C143" s="74">
        <v>1155357</v>
      </c>
      <c r="D143" s="87" t="s">
        <v>111</v>
      </c>
      <c r="E143" s="87" t="s">
        <v>328</v>
      </c>
      <c r="F143" s="74" t="s">
        <v>508</v>
      </c>
      <c r="G143" s="87" t="s">
        <v>147</v>
      </c>
      <c r="H143" s="74" t="s">
        <v>509</v>
      </c>
      <c r="I143" s="74" t="s">
        <v>332</v>
      </c>
      <c r="J143" s="74"/>
      <c r="K143" s="84">
        <v>2.2299999999960942</v>
      </c>
      <c r="L143" s="87" t="s">
        <v>155</v>
      </c>
      <c r="M143" s="88">
        <v>3.15E-2</v>
      </c>
      <c r="N143" s="88">
        <v>0.17939999999968756</v>
      </c>
      <c r="O143" s="84">
        <v>139722.444697</v>
      </c>
      <c r="P143" s="86">
        <v>73.3</v>
      </c>
      <c r="Q143" s="74"/>
      <c r="R143" s="84">
        <v>102.41655198000001</v>
      </c>
      <c r="S143" s="85">
        <v>3.679594479993806E-4</v>
      </c>
      <c r="T143" s="85">
        <f t="shared" si="2"/>
        <v>1.2280370314459868E-3</v>
      </c>
      <c r="U143" s="85">
        <f>R143/'סכום נכסי הקרן'!$C$42</f>
        <v>3.5199711580961087E-4</v>
      </c>
    </row>
    <row r="144" spans="2:21">
      <c r="B144" s="77" t="s">
        <v>510</v>
      </c>
      <c r="C144" s="74">
        <v>1140821</v>
      </c>
      <c r="D144" s="87" t="s">
        <v>111</v>
      </c>
      <c r="E144" s="87" t="s">
        <v>328</v>
      </c>
      <c r="F144" s="74" t="s">
        <v>508</v>
      </c>
      <c r="G144" s="87" t="s">
        <v>147</v>
      </c>
      <c r="H144" s="74" t="s">
        <v>509</v>
      </c>
      <c r="I144" s="74" t="s">
        <v>332</v>
      </c>
      <c r="J144" s="74"/>
      <c r="K144" s="84">
        <v>1.4200000000054078</v>
      </c>
      <c r="L144" s="87" t="s">
        <v>155</v>
      </c>
      <c r="M144" s="88">
        <v>2.8500000000000001E-2</v>
      </c>
      <c r="N144" s="88">
        <v>0.21690000000049781</v>
      </c>
      <c r="O144" s="84">
        <v>78682.168344000005</v>
      </c>
      <c r="P144" s="86">
        <v>79.900000000000006</v>
      </c>
      <c r="Q144" s="74"/>
      <c r="R144" s="84">
        <v>62.867046923000004</v>
      </c>
      <c r="S144" s="85">
        <v>3.5973099165335546E-4</v>
      </c>
      <c r="T144" s="85">
        <f t="shared" si="2"/>
        <v>7.5381430234219143E-4</v>
      </c>
      <c r="U144" s="85">
        <f>R144/'סכום נכסי הקרן'!$C$42</f>
        <v>2.1606877763942733E-4</v>
      </c>
    </row>
    <row r="145" spans="2:21">
      <c r="B145" s="77" t="s">
        <v>511</v>
      </c>
      <c r="C145" s="74">
        <v>1139849</v>
      </c>
      <c r="D145" s="87" t="s">
        <v>111</v>
      </c>
      <c r="E145" s="87" t="s">
        <v>328</v>
      </c>
      <c r="F145" s="74" t="s">
        <v>512</v>
      </c>
      <c r="G145" s="87" t="s">
        <v>1274</v>
      </c>
      <c r="H145" s="74" t="s">
        <v>506</v>
      </c>
      <c r="I145" s="74" t="s">
        <v>151</v>
      </c>
      <c r="J145" s="74"/>
      <c r="K145" s="84">
        <v>4.5400000000046905</v>
      </c>
      <c r="L145" s="87" t="s">
        <v>155</v>
      </c>
      <c r="M145" s="88">
        <v>2.5000000000000001E-2</v>
      </c>
      <c r="N145" s="88">
        <v>3.0300000000132877E-2</v>
      </c>
      <c r="O145" s="84">
        <v>77046.352528000003</v>
      </c>
      <c r="P145" s="86">
        <v>99.63</v>
      </c>
      <c r="Q145" s="74"/>
      <c r="R145" s="84">
        <v>76.761283665999997</v>
      </c>
      <c r="S145" s="85">
        <v>3.4119563163535695E-4</v>
      </c>
      <c r="T145" s="85">
        <f t="shared" si="2"/>
        <v>9.2041468982070635E-4</v>
      </c>
      <c r="U145" s="85">
        <f>R145/'סכום נכסי הקרן'!$C$42</f>
        <v>2.6382210623095213E-4</v>
      </c>
    </row>
    <row r="146" spans="2:21">
      <c r="B146" s="77" t="s">
        <v>513</v>
      </c>
      <c r="C146" s="74">
        <v>1142629</v>
      </c>
      <c r="D146" s="87" t="s">
        <v>111</v>
      </c>
      <c r="E146" s="87" t="s">
        <v>328</v>
      </c>
      <c r="F146" s="74" t="s">
        <v>512</v>
      </c>
      <c r="G146" s="87" t="s">
        <v>1274</v>
      </c>
      <c r="H146" s="74" t="s">
        <v>506</v>
      </c>
      <c r="I146" s="74" t="s">
        <v>151</v>
      </c>
      <c r="J146" s="74"/>
      <c r="K146" s="84">
        <v>6.7300000000062195</v>
      </c>
      <c r="L146" s="87" t="s">
        <v>155</v>
      </c>
      <c r="M146" s="88">
        <v>1.9E-2</v>
      </c>
      <c r="N146" s="88">
        <v>2.8600000000050495E-2</v>
      </c>
      <c r="O146" s="84">
        <v>171004.485006</v>
      </c>
      <c r="P146" s="86">
        <v>94.96</v>
      </c>
      <c r="Q146" s="74"/>
      <c r="R146" s="84">
        <v>162.38585776300002</v>
      </c>
      <c r="S146" s="85">
        <v>7.3730186073724807E-4</v>
      </c>
      <c r="T146" s="85">
        <f t="shared" si="2"/>
        <v>1.9471056470933223E-3</v>
      </c>
      <c r="U146" s="85">
        <f>R146/'סכום נכסי הקרן'!$C$42</f>
        <v>5.5810659972235581E-4</v>
      </c>
    </row>
    <row r="147" spans="2:21">
      <c r="B147" s="77" t="s">
        <v>517</v>
      </c>
      <c r="C147" s="74">
        <v>1119999</v>
      </c>
      <c r="D147" s="87" t="s">
        <v>111</v>
      </c>
      <c r="E147" s="87" t="s">
        <v>328</v>
      </c>
      <c r="F147" s="74" t="s">
        <v>500</v>
      </c>
      <c r="G147" s="87" t="s">
        <v>1274</v>
      </c>
      <c r="H147" s="74" t="s">
        <v>506</v>
      </c>
      <c r="I147" s="74" t="s">
        <v>151</v>
      </c>
      <c r="J147" s="74"/>
      <c r="K147" s="84">
        <v>0.24999999999573996</v>
      </c>
      <c r="L147" s="87" t="s">
        <v>155</v>
      </c>
      <c r="M147" s="88">
        <v>4.4999999999999998E-2</v>
      </c>
      <c r="N147" s="88">
        <v>8.6499999999786997E-2</v>
      </c>
      <c r="O147" s="84">
        <v>54232.627280000001</v>
      </c>
      <c r="P147" s="86">
        <v>108.21</v>
      </c>
      <c r="Q147" s="74"/>
      <c r="R147" s="84">
        <v>58.685128344999995</v>
      </c>
      <c r="S147" s="85">
        <v>3.1213022894964031E-4</v>
      </c>
      <c r="T147" s="85">
        <f t="shared" si="2"/>
        <v>7.0367054357477231E-4</v>
      </c>
      <c r="U147" s="85">
        <f>R147/'סכום נכסי הקרן'!$C$42</f>
        <v>2.0169587355753547E-4</v>
      </c>
    </row>
    <row r="148" spans="2:21">
      <c r="B148" s="77" t="s">
        <v>518</v>
      </c>
      <c r="C148" s="74">
        <v>1115278</v>
      </c>
      <c r="D148" s="87" t="s">
        <v>111</v>
      </c>
      <c r="E148" s="87" t="s">
        <v>328</v>
      </c>
      <c r="F148" s="74" t="s">
        <v>505</v>
      </c>
      <c r="G148" s="87" t="s">
        <v>336</v>
      </c>
      <c r="H148" s="74" t="s">
        <v>519</v>
      </c>
      <c r="I148" s="74" t="s">
        <v>151</v>
      </c>
      <c r="J148" s="74"/>
      <c r="K148" s="84">
        <v>0.43999999999776607</v>
      </c>
      <c r="L148" s="87" t="s">
        <v>155</v>
      </c>
      <c r="M148" s="88">
        <v>5.2999999999999999E-2</v>
      </c>
      <c r="N148" s="88">
        <v>5.7300000000118881E-2</v>
      </c>
      <c r="O148" s="84">
        <v>114643.66255399999</v>
      </c>
      <c r="P148" s="86">
        <v>109.33</v>
      </c>
      <c r="Q148" s="74"/>
      <c r="R148" s="84">
        <v>125.33992008700001</v>
      </c>
      <c r="S148" s="85">
        <v>4.409269884310362E-4</v>
      </c>
      <c r="T148" s="85">
        <f t="shared" si="2"/>
        <v>1.5029022204865357E-3</v>
      </c>
      <c r="U148" s="85">
        <f>R148/'סכום נכסי הקרן'!$C$42</f>
        <v>4.3078281306567289E-4</v>
      </c>
    </row>
    <row r="149" spans="2:21">
      <c r="B149" s="77" t="s">
        <v>520</v>
      </c>
      <c r="C149" s="74">
        <v>7150337</v>
      </c>
      <c r="D149" s="87" t="s">
        <v>111</v>
      </c>
      <c r="E149" s="87" t="s">
        <v>328</v>
      </c>
      <c r="F149" s="74" t="s">
        <v>521</v>
      </c>
      <c r="G149" s="87" t="s">
        <v>522</v>
      </c>
      <c r="H149" s="74" t="s">
        <v>519</v>
      </c>
      <c r="I149" s="74" t="s">
        <v>151</v>
      </c>
      <c r="J149" s="74"/>
      <c r="K149" s="84">
        <v>1.2100001836388297</v>
      </c>
      <c r="L149" s="87" t="s">
        <v>155</v>
      </c>
      <c r="M149" s="88">
        <v>5.3499999999999999E-2</v>
      </c>
      <c r="N149" s="88">
        <v>2.3600003148094219E-2</v>
      </c>
      <c r="O149" s="84">
        <v>0.71259899999999998</v>
      </c>
      <c r="P149" s="86">
        <v>106.98</v>
      </c>
      <c r="Q149" s="74"/>
      <c r="R149" s="84">
        <v>7.62366E-4</v>
      </c>
      <c r="S149" s="85">
        <v>6.0662598935466087E-9</v>
      </c>
      <c r="T149" s="85">
        <f t="shared" si="2"/>
        <v>9.1412341210059067E-9</v>
      </c>
      <c r="U149" s="85">
        <f>R149/'סכום נכסי הקרן'!$C$42</f>
        <v>2.6201881239246715E-9</v>
      </c>
    </row>
    <row r="150" spans="2:21">
      <c r="B150" s="77" t="s">
        <v>523</v>
      </c>
      <c r="C150" s="74">
        <v>1104330</v>
      </c>
      <c r="D150" s="87" t="s">
        <v>111</v>
      </c>
      <c r="E150" s="87" t="s">
        <v>328</v>
      </c>
      <c r="F150" s="74" t="s">
        <v>524</v>
      </c>
      <c r="G150" s="87" t="s">
        <v>1275</v>
      </c>
      <c r="H150" s="74" t="s">
        <v>525</v>
      </c>
      <c r="I150" s="74" t="s">
        <v>332</v>
      </c>
      <c r="J150" s="74"/>
      <c r="K150" s="84">
        <v>0.15999999990815669</v>
      </c>
      <c r="L150" s="87" t="s">
        <v>155</v>
      </c>
      <c r="M150" s="88">
        <v>4.8499999999999995E-2</v>
      </c>
      <c r="N150" s="88">
        <v>4.7699999997015088E-2</v>
      </c>
      <c r="O150" s="84">
        <v>2474.3690999999999</v>
      </c>
      <c r="P150" s="86">
        <v>123.21</v>
      </c>
      <c r="Q150" s="74"/>
      <c r="R150" s="84">
        <v>3.0486699829999999</v>
      </c>
      <c r="S150" s="85">
        <v>3.6384596695074525E-5</v>
      </c>
      <c r="T150" s="85">
        <f t="shared" si="2"/>
        <v>3.6555415735074884E-5</v>
      </c>
      <c r="U150" s="85">
        <f>R150/'סכום נכסי הקרן'!$C$42</f>
        <v>1.0478023525737282E-5</v>
      </c>
    </row>
    <row r="151" spans="2:21">
      <c r="B151" s="77" t="s">
        <v>526</v>
      </c>
      <c r="C151" s="74">
        <v>6910095</v>
      </c>
      <c r="D151" s="87" t="s">
        <v>111</v>
      </c>
      <c r="E151" s="87" t="s">
        <v>328</v>
      </c>
      <c r="F151" s="74" t="s">
        <v>370</v>
      </c>
      <c r="G151" s="87" t="s">
        <v>336</v>
      </c>
      <c r="H151" s="74" t="s">
        <v>525</v>
      </c>
      <c r="I151" s="74" t="s">
        <v>332</v>
      </c>
      <c r="J151" s="74"/>
      <c r="K151" s="84">
        <v>1.6900000000000752</v>
      </c>
      <c r="L151" s="87" t="s">
        <v>155</v>
      </c>
      <c r="M151" s="88">
        <v>5.0999999999999997E-2</v>
      </c>
      <c r="N151" s="88">
        <v>2.7100000000006771E-2</v>
      </c>
      <c r="O151" s="84">
        <v>625869.20944000001</v>
      </c>
      <c r="P151" s="86">
        <v>125.89</v>
      </c>
      <c r="Q151" s="84">
        <v>9.6500261629999997</v>
      </c>
      <c r="R151" s="84">
        <v>797.55682532599997</v>
      </c>
      <c r="S151" s="85">
        <v>5.4554226329236511E-4</v>
      </c>
      <c r="T151" s="85">
        <f t="shared" si="2"/>
        <v>9.5631936171224566E-3</v>
      </c>
      <c r="U151" s="85">
        <f>R151/'סכום נכסי הקרן'!$C$42</f>
        <v>2.7411360447268749E-3</v>
      </c>
    </row>
    <row r="152" spans="2:21">
      <c r="B152" s="77" t="s">
        <v>527</v>
      </c>
      <c r="C152" s="74">
        <v>1127414</v>
      </c>
      <c r="D152" s="87" t="s">
        <v>111</v>
      </c>
      <c r="E152" s="87" t="s">
        <v>328</v>
      </c>
      <c r="F152" s="74" t="s">
        <v>470</v>
      </c>
      <c r="G152" s="87" t="s">
        <v>336</v>
      </c>
      <c r="H152" s="74" t="s">
        <v>525</v>
      </c>
      <c r="I152" s="74" t="s">
        <v>332</v>
      </c>
      <c r="J152" s="74"/>
      <c r="K152" s="84">
        <v>0.73000000000399679</v>
      </c>
      <c r="L152" s="87" t="s">
        <v>155</v>
      </c>
      <c r="M152" s="88">
        <v>2.4E-2</v>
      </c>
      <c r="N152" s="88">
        <v>3.679999999930722E-2</v>
      </c>
      <c r="O152" s="84">
        <v>29551.382706</v>
      </c>
      <c r="P152" s="86">
        <v>101.6</v>
      </c>
      <c r="Q152" s="74"/>
      <c r="R152" s="84">
        <v>30.024204956000002</v>
      </c>
      <c r="S152" s="85">
        <v>3.3953820467699059E-4</v>
      </c>
      <c r="T152" s="85">
        <f t="shared" si="2"/>
        <v>3.6000856124205683E-4</v>
      </c>
      <c r="U152" s="85">
        <f>R152/'סכום נכסי הקרן'!$C$42</f>
        <v>1.03190679091134E-4</v>
      </c>
    </row>
    <row r="153" spans="2:21">
      <c r="B153" s="77" t="s">
        <v>528</v>
      </c>
      <c r="C153" s="74">
        <v>1130632</v>
      </c>
      <c r="D153" s="87" t="s">
        <v>111</v>
      </c>
      <c r="E153" s="87" t="s">
        <v>328</v>
      </c>
      <c r="F153" s="74" t="s">
        <v>477</v>
      </c>
      <c r="G153" s="87" t="s">
        <v>1274</v>
      </c>
      <c r="H153" s="74" t="s">
        <v>525</v>
      </c>
      <c r="I153" s="74" t="s">
        <v>332</v>
      </c>
      <c r="J153" s="74"/>
      <c r="K153" s="84">
        <v>2.4900000001288514</v>
      </c>
      <c r="L153" s="87" t="s">
        <v>155</v>
      </c>
      <c r="M153" s="88">
        <v>3.4500000000000003E-2</v>
      </c>
      <c r="N153" s="88">
        <v>2.0700000001046923E-2</v>
      </c>
      <c r="O153" s="84">
        <v>4751.7072090000001</v>
      </c>
      <c r="P153" s="86">
        <v>104.53</v>
      </c>
      <c r="Q153" s="74"/>
      <c r="R153" s="84">
        <v>4.9669595639999997</v>
      </c>
      <c r="S153" s="85">
        <v>1.5100521451355036E-5</v>
      </c>
      <c r="T153" s="85">
        <f t="shared" si="2"/>
        <v>5.9556879824249009E-5</v>
      </c>
      <c r="U153" s="85">
        <f>R153/'סכום נכסי הקרן'!$C$42</f>
        <v>1.7071024234563009E-5</v>
      </c>
    </row>
    <row r="154" spans="2:21">
      <c r="B154" s="77" t="s">
        <v>529</v>
      </c>
      <c r="C154" s="74">
        <v>1138668</v>
      </c>
      <c r="D154" s="87" t="s">
        <v>111</v>
      </c>
      <c r="E154" s="87" t="s">
        <v>328</v>
      </c>
      <c r="F154" s="74" t="s">
        <v>477</v>
      </c>
      <c r="G154" s="87" t="s">
        <v>1274</v>
      </c>
      <c r="H154" s="74" t="s">
        <v>525</v>
      </c>
      <c r="I154" s="74" t="s">
        <v>332</v>
      </c>
      <c r="J154" s="74"/>
      <c r="K154" s="84">
        <v>3.8500000000258705</v>
      </c>
      <c r="L154" s="87" t="s">
        <v>155</v>
      </c>
      <c r="M154" s="88">
        <v>2.0499999999999997E-2</v>
      </c>
      <c r="N154" s="88">
        <v>1.7500000000068083E-2</v>
      </c>
      <c r="O154" s="84">
        <v>35607.292503999997</v>
      </c>
      <c r="P154" s="86">
        <v>103.13</v>
      </c>
      <c r="Q154" s="74"/>
      <c r="R154" s="84">
        <v>36.721803572999995</v>
      </c>
      <c r="S154" s="85">
        <v>6.2763136972657021E-5</v>
      </c>
      <c r="T154" s="85">
        <f t="shared" si="2"/>
        <v>4.4031686067634731E-4</v>
      </c>
      <c r="U154" s="85">
        <f>R154/'סכום נכסי הקרן'!$C$42</f>
        <v>1.2620976487811517E-4</v>
      </c>
    </row>
    <row r="155" spans="2:21">
      <c r="B155" s="77" t="s">
        <v>530</v>
      </c>
      <c r="C155" s="74">
        <v>1141696</v>
      </c>
      <c r="D155" s="87" t="s">
        <v>111</v>
      </c>
      <c r="E155" s="87" t="s">
        <v>328</v>
      </c>
      <c r="F155" s="74" t="s">
        <v>477</v>
      </c>
      <c r="G155" s="87" t="s">
        <v>1274</v>
      </c>
      <c r="H155" s="74" t="s">
        <v>525</v>
      </c>
      <c r="I155" s="74" t="s">
        <v>332</v>
      </c>
      <c r="J155" s="74"/>
      <c r="K155" s="84">
        <v>4.7500000000061151</v>
      </c>
      <c r="L155" s="87" t="s">
        <v>155</v>
      </c>
      <c r="M155" s="88">
        <v>2.0499999999999997E-2</v>
      </c>
      <c r="N155" s="88">
        <v>1.9700000000051364E-2</v>
      </c>
      <c r="O155" s="84">
        <v>160328.63537900001</v>
      </c>
      <c r="P155" s="86">
        <v>102</v>
      </c>
      <c r="Q155" s="74"/>
      <c r="R155" s="84">
        <v>163.53521252800002</v>
      </c>
      <c r="S155" s="85">
        <v>2.8040805881221264E-4</v>
      </c>
      <c r="T155" s="85">
        <f t="shared" si="2"/>
        <v>1.9608871129443159E-3</v>
      </c>
      <c r="U155" s="85">
        <f>R155/'סכום נכסי הקרן'!$C$42</f>
        <v>5.6205683583654409E-4</v>
      </c>
    </row>
    <row r="156" spans="2:21">
      <c r="B156" s="77" t="s">
        <v>531</v>
      </c>
      <c r="C156" s="74">
        <v>1165141</v>
      </c>
      <c r="D156" s="87" t="s">
        <v>111</v>
      </c>
      <c r="E156" s="87" t="s">
        <v>328</v>
      </c>
      <c r="F156" s="74" t="s">
        <v>477</v>
      </c>
      <c r="G156" s="87" t="s">
        <v>1274</v>
      </c>
      <c r="H156" s="74" t="s">
        <v>525</v>
      </c>
      <c r="I156" s="74" t="s">
        <v>332</v>
      </c>
      <c r="J156" s="74"/>
      <c r="K156" s="84">
        <v>7.3200000000016763</v>
      </c>
      <c r="L156" s="87" t="s">
        <v>155</v>
      </c>
      <c r="M156" s="88">
        <v>8.3999999999999995E-3</v>
      </c>
      <c r="N156" s="88">
        <v>1.7199999999992818E-2</v>
      </c>
      <c r="O156" s="84">
        <v>356167.21911499999</v>
      </c>
      <c r="P156" s="86">
        <v>93.8</v>
      </c>
      <c r="Q156" s="74"/>
      <c r="R156" s="84">
        <v>334.08485884200002</v>
      </c>
      <c r="S156" s="85">
        <v>7.156277571684894E-4</v>
      </c>
      <c r="T156" s="85">
        <f t="shared" si="2"/>
        <v>4.0058815725752886E-3</v>
      </c>
      <c r="U156" s="85">
        <f>R156/'סכום נכסי הקרן'!$C$42</f>
        <v>1.1482216934134769E-3</v>
      </c>
    </row>
    <row r="157" spans="2:21">
      <c r="B157" s="77" t="s">
        <v>532</v>
      </c>
      <c r="C157" s="74">
        <v>1132828</v>
      </c>
      <c r="D157" s="87" t="s">
        <v>111</v>
      </c>
      <c r="E157" s="87" t="s">
        <v>328</v>
      </c>
      <c r="F157" s="74" t="s">
        <v>533</v>
      </c>
      <c r="G157" s="87" t="s">
        <v>182</v>
      </c>
      <c r="H157" s="74" t="s">
        <v>525</v>
      </c>
      <c r="I157" s="74" t="s">
        <v>332</v>
      </c>
      <c r="J157" s="74"/>
      <c r="K157" s="84">
        <v>2.2699999999976521</v>
      </c>
      <c r="L157" s="87" t="s">
        <v>155</v>
      </c>
      <c r="M157" s="88">
        <v>1.9799999999999998E-2</v>
      </c>
      <c r="N157" s="88">
        <v>3.5699999999946753E-2</v>
      </c>
      <c r="O157" s="84">
        <v>311124.79659400001</v>
      </c>
      <c r="P157" s="86">
        <v>97.2</v>
      </c>
      <c r="Q157" s="74"/>
      <c r="R157" s="84">
        <v>302.41330757300005</v>
      </c>
      <c r="S157" s="85">
        <v>4.3109153509964958E-4</v>
      </c>
      <c r="T157" s="85">
        <f t="shared" si="2"/>
        <v>3.6261203225649652E-3</v>
      </c>
      <c r="U157" s="85">
        <f>R157/'סכום נכסי הקרן'!$C$42</f>
        <v>1.0393692229448239E-3</v>
      </c>
    </row>
    <row r="158" spans="2:21">
      <c r="B158" s="77" t="s">
        <v>534</v>
      </c>
      <c r="C158" s="74">
        <v>1820190</v>
      </c>
      <c r="D158" s="87" t="s">
        <v>111</v>
      </c>
      <c r="E158" s="87" t="s">
        <v>328</v>
      </c>
      <c r="F158" s="74" t="s">
        <v>535</v>
      </c>
      <c r="G158" s="87" t="s">
        <v>1275</v>
      </c>
      <c r="H158" s="74" t="s">
        <v>536</v>
      </c>
      <c r="I158" s="74" t="s">
        <v>151</v>
      </c>
      <c r="J158" s="74"/>
      <c r="K158" s="84">
        <v>3.0103092783505154</v>
      </c>
      <c r="L158" s="87" t="s">
        <v>155</v>
      </c>
      <c r="M158" s="88">
        <v>4.6500000000000007E-2</v>
      </c>
      <c r="N158" s="88">
        <v>3.2004883342376562E-2</v>
      </c>
      <c r="O158" s="84">
        <v>3.4749999999999998E-3</v>
      </c>
      <c r="P158" s="86">
        <v>106.25</v>
      </c>
      <c r="Q158" s="74"/>
      <c r="R158" s="84">
        <v>3.6859999999999999E-6</v>
      </c>
      <c r="S158" s="85">
        <v>4.8491394347368623E-12</v>
      </c>
      <c r="T158" s="85">
        <f t="shared" si="2"/>
        <v>4.4197392026963128E-11</v>
      </c>
      <c r="U158" s="85">
        <f>R158/'סכום נכסי הקרן'!$C$42</f>
        <v>1.2668473442921559E-11</v>
      </c>
    </row>
    <row r="159" spans="2:21">
      <c r="B159" s="77" t="s">
        <v>537</v>
      </c>
      <c r="C159" s="74">
        <v>1129550</v>
      </c>
      <c r="D159" s="87" t="s">
        <v>111</v>
      </c>
      <c r="E159" s="87" t="s">
        <v>328</v>
      </c>
      <c r="F159" s="74" t="s">
        <v>538</v>
      </c>
      <c r="G159" s="87" t="s">
        <v>1275</v>
      </c>
      <c r="H159" s="74" t="s">
        <v>536</v>
      </c>
      <c r="I159" s="74" t="s">
        <v>151</v>
      </c>
      <c r="J159" s="74"/>
      <c r="K159" s="84">
        <v>0.75000000001926337</v>
      </c>
      <c r="L159" s="87" t="s">
        <v>155</v>
      </c>
      <c r="M159" s="88">
        <v>4.8000000000000001E-2</v>
      </c>
      <c r="N159" s="88">
        <v>4.3200000000878411E-2</v>
      </c>
      <c r="O159" s="84">
        <v>25544.702751000001</v>
      </c>
      <c r="P159" s="86">
        <v>101.61</v>
      </c>
      <c r="Q159" s="74"/>
      <c r="R159" s="84">
        <v>25.955972146000001</v>
      </c>
      <c r="S159" s="85">
        <v>3.2815249410359182E-4</v>
      </c>
      <c r="T159" s="85">
        <f t="shared" si="2"/>
        <v>3.1122796429129072E-4</v>
      </c>
      <c r="U159" s="85">
        <f>R159/'סכום נכסי הקרן'!$C$42</f>
        <v>8.9208503477160262E-5</v>
      </c>
    </row>
    <row r="160" spans="2:21">
      <c r="B160" s="77" t="s">
        <v>539</v>
      </c>
      <c r="C160" s="74">
        <v>2590255</v>
      </c>
      <c r="D160" s="87" t="s">
        <v>111</v>
      </c>
      <c r="E160" s="87" t="s">
        <v>328</v>
      </c>
      <c r="F160" s="74" t="s">
        <v>540</v>
      </c>
      <c r="G160" s="87" t="s">
        <v>413</v>
      </c>
      <c r="H160" s="74" t="s">
        <v>541</v>
      </c>
      <c r="I160" s="74" t="s">
        <v>332</v>
      </c>
      <c r="J160" s="74"/>
      <c r="K160" s="84">
        <v>0.25000000000720607</v>
      </c>
      <c r="L160" s="87" t="s">
        <v>155</v>
      </c>
      <c r="M160" s="88">
        <v>4.8000000000000001E-2</v>
      </c>
      <c r="N160" s="88">
        <v>1.599999999965411E-3</v>
      </c>
      <c r="O160" s="84">
        <v>28695.639716000001</v>
      </c>
      <c r="P160" s="86">
        <v>120.9</v>
      </c>
      <c r="Q160" s="74"/>
      <c r="R160" s="84">
        <v>34.693030406999995</v>
      </c>
      <c r="S160" s="85">
        <v>2.8052162932402062E-4</v>
      </c>
      <c r="T160" s="85">
        <f t="shared" si="2"/>
        <v>4.1599063090112077E-4</v>
      </c>
      <c r="U160" s="85">
        <f>R160/'סכום נכסי הקרן'!$C$42</f>
        <v>1.1923704133628585E-4</v>
      </c>
    </row>
    <row r="161" spans="2:21">
      <c r="B161" s="77" t="s">
        <v>542</v>
      </c>
      <c r="C161" s="74">
        <v>1127299</v>
      </c>
      <c r="D161" s="87" t="s">
        <v>111</v>
      </c>
      <c r="E161" s="87" t="s">
        <v>328</v>
      </c>
      <c r="F161" s="74" t="s">
        <v>543</v>
      </c>
      <c r="G161" s="87" t="s">
        <v>1275</v>
      </c>
      <c r="H161" s="74" t="s">
        <v>541</v>
      </c>
      <c r="I161" s="74" t="s">
        <v>332</v>
      </c>
      <c r="J161" s="74"/>
      <c r="K161" s="84">
        <v>0.39000000000477969</v>
      </c>
      <c r="L161" s="87" t="s">
        <v>155</v>
      </c>
      <c r="M161" s="88">
        <v>5.4000000000000006E-2</v>
      </c>
      <c r="N161" s="88">
        <v>0.14059999999971323</v>
      </c>
      <c r="O161" s="84">
        <v>21133.272912</v>
      </c>
      <c r="P161" s="86">
        <v>99</v>
      </c>
      <c r="Q161" s="74"/>
      <c r="R161" s="84">
        <v>20.921940110000001</v>
      </c>
      <c r="S161" s="85">
        <v>5.8703535866666664E-4</v>
      </c>
      <c r="T161" s="85">
        <f t="shared" si="2"/>
        <v>2.5086684454864736E-4</v>
      </c>
      <c r="U161" s="85">
        <f>R161/'סכום נכסי הקרן'!$C$42</f>
        <v>7.1906956771006618E-5</v>
      </c>
    </row>
    <row r="162" spans="2:21">
      <c r="B162" s="77" t="s">
        <v>544</v>
      </c>
      <c r="C162" s="74">
        <v>1132059</v>
      </c>
      <c r="D162" s="87" t="s">
        <v>111</v>
      </c>
      <c r="E162" s="87" t="s">
        <v>328</v>
      </c>
      <c r="F162" s="74" t="s">
        <v>543</v>
      </c>
      <c r="G162" s="87" t="s">
        <v>1275</v>
      </c>
      <c r="H162" s="74" t="s">
        <v>541</v>
      </c>
      <c r="I162" s="74" t="s">
        <v>332</v>
      </c>
      <c r="J162" s="74"/>
      <c r="K162" s="84">
        <v>1.3599999999841759</v>
      </c>
      <c r="L162" s="87" t="s">
        <v>155</v>
      </c>
      <c r="M162" s="88">
        <v>2.5000000000000001E-2</v>
      </c>
      <c r="N162" s="88">
        <v>0.17539999999869124</v>
      </c>
      <c r="O162" s="84">
        <v>72873.110419000004</v>
      </c>
      <c r="P162" s="86">
        <v>83.25</v>
      </c>
      <c r="Q162" s="74"/>
      <c r="R162" s="84">
        <v>60.666858810999997</v>
      </c>
      <c r="S162" s="85">
        <v>1.8709401258731838E-4</v>
      </c>
      <c r="T162" s="85">
        <f t="shared" si="2"/>
        <v>7.2743270263542843E-4</v>
      </c>
      <c r="U162" s="85">
        <f>R162/'סכום נכסי הקרן'!$C$42</f>
        <v>2.0850691527743499E-4</v>
      </c>
    </row>
    <row r="163" spans="2:21">
      <c r="B163" s="77" t="s">
        <v>545</v>
      </c>
      <c r="C163" s="74">
        <v>1113034</v>
      </c>
      <c r="D163" s="87" t="s">
        <v>111</v>
      </c>
      <c r="E163" s="87" t="s">
        <v>328</v>
      </c>
      <c r="F163" s="74" t="s">
        <v>546</v>
      </c>
      <c r="G163" s="87" t="s">
        <v>547</v>
      </c>
      <c r="H163" s="74" t="s">
        <v>548</v>
      </c>
      <c r="I163" s="74" t="s">
        <v>332</v>
      </c>
      <c r="J163" s="74"/>
      <c r="K163" s="84">
        <v>0</v>
      </c>
      <c r="L163" s="87" t="s">
        <v>155</v>
      </c>
      <c r="M163" s="88">
        <v>4.9000000000000002E-2</v>
      </c>
      <c r="N163" s="88">
        <v>0</v>
      </c>
      <c r="O163" s="84">
        <v>113274.985111</v>
      </c>
      <c r="P163" s="86">
        <v>17.5</v>
      </c>
      <c r="Q163" s="74"/>
      <c r="R163" s="84">
        <v>19.823121876000002</v>
      </c>
      <c r="S163" s="85">
        <v>1.5615978886962168E-4</v>
      </c>
      <c r="T163" s="85">
        <f t="shared" si="2"/>
        <v>2.37691342580532E-4</v>
      </c>
      <c r="U163" s="85">
        <f>R163/'סכום נכסי הקרן'!$C$42</f>
        <v>6.8130410483424703E-5</v>
      </c>
    </row>
    <row r="164" spans="2:21">
      <c r="B164" s="77" t="s">
        <v>549</v>
      </c>
      <c r="C164" s="74">
        <v>1140581</v>
      </c>
      <c r="D164" s="87" t="s">
        <v>111</v>
      </c>
      <c r="E164" s="87" t="s">
        <v>328</v>
      </c>
      <c r="F164" s="74" t="s">
        <v>356</v>
      </c>
      <c r="G164" s="87" t="s">
        <v>1274</v>
      </c>
      <c r="H164" s="74" t="s">
        <v>550</v>
      </c>
      <c r="I164" s="74"/>
      <c r="J164" s="74"/>
      <c r="K164" s="84">
        <v>2.6800000000708661</v>
      </c>
      <c r="L164" s="87" t="s">
        <v>155</v>
      </c>
      <c r="M164" s="88">
        <v>2.1000000000000001E-2</v>
      </c>
      <c r="N164" s="88">
        <v>2.5900000000769557E-2</v>
      </c>
      <c r="O164" s="84">
        <v>17236.288550000001</v>
      </c>
      <c r="P164" s="86">
        <v>100.23</v>
      </c>
      <c r="Q164" s="84">
        <v>0.78641947000000001</v>
      </c>
      <c r="R164" s="84">
        <v>18.062351479</v>
      </c>
      <c r="S164" s="85">
        <v>7.2525260675895353E-5</v>
      </c>
      <c r="T164" s="85">
        <f t="shared" si="2"/>
        <v>2.165786297466523E-4</v>
      </c>
      <c r="U164" s="85">
        <f>R164/'סכום נכסי הקרן'!$C$42</f>
        <v>6.2078790023989815E-5</v>
      </c>
    </row>
    <row r="165" spans="2:21">
      <c r="B165" s="77" t="s">
        <v>355</v>
      </c>
      <c r="C165" s="74">
        <v>1155928</v>
      </c>
      <c r="D165" s="87" t="s">
        <v>111</v>
      </c>
      <c r="E165" s="87" t="s">
        <v>328</v>
      </c>
      <c r="F165" s="74" t="s">
        <v>356</v>
      </c>
      <c r="G165" s="87" t="s">
        <v>1274</v>
      </c>
      <c r="H165" s="74" t="s">
        <v>550</v>
      </c>
      <c r="I165" s="74"/>
      <c r="J165" s="74"/>
      <c r="K165" s="84">
        <v>6.0700000000020138</v>
      </c>
      <c r="L165" s="87" t="s">
        <v>155</v>
      </c>
      <c r="M165" s="88">
        <v>2.75E-2</v>
      </c>
      <c r="N165" s="88">
        <v>2.4300000000013425E-2</v>
      </c>
      <c r="O165" s="84">
        <v>291481.89256000001</v>
      </c>
      <c r="P165" s="86">
        <v>102.24</v>
      </c>
      <c r="Q165" s="74"/>
      <c r="R165" s="84">
        <v>298.01108371999999</v>
      </c>
      <c r="S165" s="85">
        <v>7.3406339417749573E-4</v>
      </c>
      <c r="T165" s="85">
        <f>R165/$R$11</f>
        <v>3.573334968950887E-3</v>
      </c>
      <c r="U165" s="85">
        <f>R165/'סכום נכסי הקרן'!$C$42</f>
        <v>1.0242391480746321E-3</v>
      </c>
    </row>
    <row r="166" spans="2:21">
      <c r="B166" s="73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84"/>
      <c r="P166" s="86"/>
      <c r="Q166" s="74"/>
      <c r="R166" s="74"/>
      <c r="S166" s="74"/>
      <c r="T166" s="85"/>
      <c r="U166" s="74"/>
    </row>
    <row r="167" spans="2:21">
      <c r="B167" s="92" t="s">
        <v>42</v>
      </c>
      <c r="C167" s="72"/>
      <c r="D167" s="72"/>
      <c r="E167" s="72"/>
      <c r="F167" s="72"/>
      <c r="G167" s="72"/>
      <c r="H167" s="72"/>
      <c r="I167" s="72"/>
      <c r="J167" s="72"/>
      <c r="K167" s="81">
        <v>4.5968320663412729</v>
      </c>
      <c r="L167" s="72"/>
      <c r="M167" s="72"/>
      <c r="N167" s="94">
        <v>4.2965535983048427E-2</v>
      </c>
      <c r="O167" s="81"/>
      <c r="P167" s="83"/>
      <c r="Q167" s="81">
        <f>SUM(Q169:Q256)</f>
        <v>11.23094213755968</v>
      </c>
      <c r="R167" s="81">
        <f>SUM(R168:R255)</f>
        <v>13805.721296332002</v>
      </c>
      <c r="S167" s="72"/>
      <c r="T167" s="82">
        <f t="shared" ref="T167:T229" si="3">R167/$R$11</f>
        <v>0.16553903319288635</v>
      </c>
      <c r="U167" s="82">
        <f>R167/'סכום נכסי הקרן'!$C$42</f>
        <v>4.7449108411003416E-2</v>
      </c>
    </row>
    <row r="168" spans="2:21">
      <c r="B168" s="77" t="s">
        <v>551</v>
      </c>
      <c r="C168" s="74">
        <v>7480155</v>
      </c>
      <c r="D168" s="87" t="s">
        <v>111</v>
      </c>
      <c r="E168" s="87" t="s">
        <v>328</v>
      </c>
      <c r="F168" s="74" t="s">
        <v>370</v>
      </c>
      <c r="G168" s="87" t="s">
        <v>336</v>
      </c>
      <c r="H168" s="74" t="s">
        <v>341</v>
      </c>
      <c r="I168" s="74" t="s">
        <v>151</v>
      </c>
      <c r="J168" s="74"/>
      <c r="K168" s="84">
        <v>2.6200000000118804</v>
      </c>
      <c r="L168" s="87" t="s">
        <v>155</v>
      </c>
      <c r="M168" s="88">
        <v>1.8700000000000001E-2</v>
      </c>
      <c r="N168" s="88">
        <v>1.2500000000041251E-2</v>
      </c>
      <c r="O168" s="84">
        <v>118600.04364800001</v>
      </c>
      <c r="P168" s="86">
        <v>102.2</v>
      </c>
      <c r="Q168" s="74"/>
      <c r="R168" s="84">
        <v>121.209245938</v>
      </c>
      <c r="S168" s="85">
        <v>8.5762136003410882E-5</v>
      </c>
      <c r="T168" s="85">
        <f t="shared" si="3"/>
        <v>1.4533729137315178E-3</v>
      </c>
      <c r="U168" s="85">
        <f>R168/'סכום נכסי הקרן'!$C$42</f>
        <v>4.165860317965548E-4</v>
      </c>
    </row>
    <row r="169" spans="2:21">
      <c r="B169" s="77" t="s">
        <v>552</v>
      </c>
      <c r="C169" s="74">
        <v>7480163</v>
      </c>
      <c r="D169" s="87" t="s">
        <v>111</v>
      </c>
      <c r="E169" s="87" t="s">
        <v>328</v>
      </c>
      <c r="F169" s="74" t="s">
        <v>370</v>
      </c>
      <c r="G169" s="87" t="s">
        <v>336</v>
      </c>
      <c r="H169" s="74" t="s">
        <v>341</v>
      </c>
      <c r="I169" s="74" t="s">
        <v>151</v>
      </c>
      <c r="J169" s="74"/>
      <c r="K169" s="84">
        <v>5.3000000000012797</v>
      </c>
      <c r="L169" s="87" t="s">
        <v>155</v>
      </c>
      <c r="M169" s="88">
        <v>2.6800000000000001E-2</v>
      </c>
      <c r="N169" s="88">
        <v>1.6000000000005905E-2</v>
      </c>
      <c r="O169" s="84">
        <v>953330.01994100004</v>
      </c>
      <c r="P169" s="86">
        <v>106.6</v>
      </c>
      <c r="Q169" s="74"/>
      <c r="R169" s="84">
        <v>1016.249811859</v>
      </c>
      <c r="S169" s="85">
        <v>3.9583643932083828E-4</v>
      </c>
      <c r="T169" s="85">
        <f t="shared" si="3"/>
        <v>1.2185456140005359E-2</v>
      </c>
      <c r="U169" s="85">
        <f>R169/'סכום נכסי הקרן'!$C$42</f>
        <v>3.4927655325311378E-3</v>
      </c>
    </row>
    <row r="170" spans="2:21">
      <c r="B170" s="77" t="s">
        <v>553</v>
      </c>
      <c r="C170" s="74">
        <v>1134154</v>
      </c>
      <c r="D170" s="87" t="s">
        <v>111</v>
      </c>
      <c r="E170" s="87" t="s">
        <v>328</v>
      </c>
      <c r="F170" s="74" t="s">
        <v>335</v>
      </c>
      <c r="G170" s="87" t="s">
        <v>336</v>
      </c>
      <c r="H170" s="74" t="s">
        <v>331</v>
      </c>
      <c r="I170" s="74" t="s">
        <v>332</v>
      </c>
      <c r="J170" s="74"/>
      <c r="K170" s="84">
        <v>0</v>
      </c>
      <c r="L170" s="87" t="s">
        <v>155</v>
      </c>
      <c r="M170" s="88">
        <v>1.2E-2</v>
      </c>
      <c r="N170" s="88">
        <v>0</v>
      </c>
      <c r="O170" s="84">
        <v>56803.769510999999</v>
      </c>
      <c r="P170" s="86">
        <v>100.22</v>
      </c>
      <c r="Q170" s="86">
        <v>0.17181436855967999</v>
      </c>
      <c r="R170" s="84">
        <v>57.098683319999999</v>
      </c>
      <c r="S170" s="85">
        <v>1.8934589837E-4</v>
      </c>
      <c r="T170" s="85">
        <f t="shared" si="3"/>
        <v>6.8464809845834526E-4</v>
      </c>
      <c r="U170" s="85">
        <f>R170/'סכום נכסי הקרן'!$C$42</f>
        <v>1.9624339480879226E-4</v>
      </c>
    </row>
    <row r="171" spans="2:21">
      <c r="B171" s="77" t="s">
        <v>554</v>
      </c>
      <c r="C171" s="74">
        <v>2310167</v>
      </c>
      <c r="D171" s="87" t="s">
        <v>111</v>
      </c>
      <c r="E171" s="87" t="s">
        <v>328</v>
      </c>
      <c r="F171" s="74" t="s">
        <v>347</v>
      </c>
      <c r="G171" s="87" t="s">
        <v>336</v>
      </c>
      <c r="H171" s="74" t="s">
        <v>341</v>
      </c>
      <c r="I171" s="74" t="s">
        <v>151</v>
      </c>
      <c r="J171" s="74"/>
      <c r="K171" s="84">
        <v>4.7900000000051692</v>
      </c>
      <c r="L171" s="87" t="s">
        <v>155</v>
      </c>
      <c r="M171" s="88">
        <v>2.98E-2</v>
      </c>
      <c r="N171" s="88">
        <v>1.6699999999996024E-2</v>
      </c>
      <c r="O171" s="84">
        <v>230964.54728100001</v>
      </c>
      <c r="P171" s="86">
        <v>108.89</v>
      </c>
      <c r="Q171" s="74"/>
      <c r="R171" s="84">
        <v>251.49728782999998</v>
      </c>
      <c r="S171" s="85">
        <v>9.0855413977202409E-5</v>
      </c>
      <c r="T171" s="85">
        <f t="shared" si="3"/>
        <v>3.0156061378026297E-3</v>
      </c>
      <c r="U171" s="85">
        <f>R171/'סכום נכסי הקרן'!$C$42</f>
        <v>8.6437512529602672E-4</v>
      </c>
    </row>
    <row r="172" spans="2:21">
      <c r="B172" s="77" t="s">
        <v>555</v>
      </c>
      <c r="C172" s="74">
        <v>2310175</v>
      </c>
      <c r="D172" s="87" t="s">
        <v>111</v>
      </c>
      <c r="E172" s="87" t="s">
        <v>328</v>
      </c>
      <c r="F172" s="74" t="s">
        <v>347</v>
      </c>
      <c r="G172" s="87" t="s">
        <v>336</v>
      </c>
      <c r="H172" s="74" t="s">
        <v>341</v>
      </c>
      <c r="I172" s="74" t="s">
        <v>151</v>
      </c>
      <c r="J172" s="74"/>
      <c r="K172" s="84">
        <v>2.1099999999979784</v>
      </c>
      <c r="L172" s="87" t="s">
        <v>155</v>
      </c>
      <c r="M172" s="88">
        <v>2.4700000000000003E-2</v>
      </c>
      <c r="N172" s="88">
        <v>1.4399999999968447E-2</v>
      </c>
      <c r="O172" s="84">
        <v>194628.445771</v>
      </c>
      <c r="P172" s="86">
        <v>104.21</v>
      </c>
      <c r="Q172" s="74"/>
      <c r="R172" s="84">
        <v>202.822308631</v>
      </c>
      <c r="S172" s="85">
        <v>5.8425400158800204E-5</v>
      </c>
      <c r="T172" s="85">
        <f t="shared" si="3"/>
        <v>2.4319633983662546E-3</v>
      </c>
      <c r="U172" s="85">
        <f>R172/'סכום נכסי הקרן'!$C$42</f>
        <v>6.9708329639822674E-4</v>
      </c>
    </row>
    <row r="173" spans="2:21">
      <c r="B173" s="77" t="s">
        <v>556</v>
      </c>
      <c r="C173" s="74">
        <v>1138205</v>
      </c>
      <c r="D173" s="87" t="s">
        <v>111</v>
      </c>
      <c r="E173" s="87" t="s">
        <v>328</v>
      </c>
      <c r="F173" s="74" t="s">
        <v>557</v>
      </c>
      <c r="G173" s="87" t="s">
        <v>336</v>
      </c>
      <c r="H173" s="74" t="s">
        <v>331</v>
      </c>
      <c r="I173" s="74" t="s">
        <v>332</v>
      </c>
      <c r="J173" s="74"/>
      <c r="K173" s="84">
        <v>1.9799999999954148</v>
      </c>
      <c r="L173" s="87" t="s">
        <v>155</v>
      </c>
      <c r="M173" s="88">
        <v>2.07E-2</v>
      </c>
      <c r="N173" s="88">
        <v>1.3100000000022921E-2</v>
      </c>
      <c r="O173" s="84">
        <v>85953.307409999979</v>
      </c>
      <c r="P173" s="86">
        <v>101.5</v>
      </c>
      <c r="Q173" s="74"/>
      <c r="R173" s="84">
        <v>87.242608080000011</v>
      </c>
      <c r="S173" s="85">
        <v>3.3911579761148562E-4</v>
      </c>
      <c r="T173" s="85">
        <f t="shared" si="3"/>
        <v>1.0460921732952963E-3</v>
      </c>
      <c r="U173" s="85">
        <f>R173/'סכום נכסי הקרן'!$C$42</f>
        <v>2.9984554084446391E-4</v>
      </c>
    </row>
    <row r="174" spans="2:21">
      <c r="B174" s="77" t="s">
        <v>558</v>
      </c>
      <c r="C174" s="74">
        <v>1143585</v>
      </c>
      <c r="D174" s="87" t="s">
        <v>111</v>
      </c>
      <c r="E174" s="87" t="s">
        <v>328</v>
      </c>
      <c r="F174" s="74" t="s">
        <v>559</v>
      </c>
      <c r="G174" s="87" t="s">
        <v>1274</v>
      </c>
      <c r="H174" s="74" t="s">
        <v>341</v>
      </c>
      <c r="I174" s="74" t="s">
        <v>151</v>
      </c>
      <c r="J174" s="74"/>
      <c r="K174" s="84">
        <v>4.1000000000029679</v>
      </c>
      <c r="L174" s="87" t="s">
        <v>155</v>
      </c>
      <c r="M174" s="88">
        <v>1.44E-2</v>
      </c>
      <c r="N174" s="88">
        <v>1.4100000000019923E-2</v>
      </c>
      <c r="O174" s="84">
        <v>235546.70707800001</v>
      </c>
      <c r="P174" s="86">
        <v>100.15</v>
      </c>
      <c r="Q174" s="74"/>
      <c r="R174" s="84">
        <v>235.90002713300001</v>
      </c>
      <c r="S174" s="85">
        <v>2.9443338384749999E-4</v>
      </c>
      <c r="T174" s="85">
        <f t="shared" si="3"/>
        <v>2.828585452623017E-3</v>
      </c>
      <c r="U174" s="85">
        <f>R174/'סכום נכסי הקרן'!$C$42</f>
        <v>8.1076864593567172E-4</v>
      </c>
    </row>
    <row r="175" spans="2:21">
      <c r="B175" s="77" t="s">
        <v>560</v>
      </c>
      <c r="C175" s="74">
        <v>1119635</v>
      </c>
      <c r="D175" s="87" t="s">
        <v>111</v>
      </c>
      <c r="E175" s="87" t="s">
        <v>328</v>
      </c>
      <c r="F175" s="74" t="s">
        <v>561</v>
      </c>
      <c r="G175" s="87" t="s">
        <v>562</v>
      </c>
      <c r="H175" s="74" t="s">
        <v>367</v>
      </c>
      <c r="I175" s="74" t="s">
        <v>151</v>
      </c>
      <c r="J175" s="74"/>
      <c r="K175" s="84">
        <v>0.25</v>
      </c>
      <c r="L175" s="87" t="s">
        <v>155</v>
      </c>
      <c r="M175" s="88">
        <v>4.8399999999999999E-2</v>
      </c>
      <c r="N175" s="88">
        <v>7.9999999997102649E-3</v>
      </c>
      <c r="O175" s="84">
        <v>20258.835726000001</v>
      </c>
      <c r="P175" s="86">
        <v>102.22</v>
      </c>
      <c r="Q175" s="74"/>
      <c r="R175" s="84">
        <v>20.708582792000001</v>
      </c>
      <c r="S175" s="85">
        <v>9.6470646314285717E-5</v>
      </c>
      <c r="T175" s="85">
        <f t="shared" si="3"/>
        <v>2.4830855995139632E-4</v>
      </c>
      <c r="U175" s="85">
        <f>R175/'סכום נכסי הקרן'!$C$42</f>
        <v>7.1173665529298546E-5</v>
      </c>
    </row>
    <row r="176" spans="2:21">
      <c r="B176" s="77" t="s">
        <v>563</v>
      </c>
      <c r="C176" s="74">
        <v>6910137</v>
      </c>
      <c r="D176" s="87" t="s">
        <v>111</v>
      </c>
      <c r="E176" s="87" t="s">
        <v>328</v>
      </c>
      <c r="F176" s="74" t="s">
        <v>370</v>
      </c>
      <c r="G176" s="87" t="s">
        <v>336</v>
      </c>
      <c r="H176" s="74" t="s">
        <v>367</v>
      </c>
      <c r="I176" s="74" t="s">
        <v>151</v>
      </c>
      <c r="J176" s="74"/>
      <c r="K176" s="84">
        <v>1.1599999999962995</v>
      </c>
      <c r="L176" s="87" t="s">
        <v>155</v>
      </c>
      <c r="M176" s="88">
        <v>6.4000000000000001E-2</v>
      </c>
      <c r="N176" s="88">
        <v>8.7000000000383281E-3</v>
      </c>
      <c r="O176" s="84">
        <v>69736.910797999997</v>
      </c>
      <c r="P176" s="86">
        <v>108.5</v>
      </c>
      <c r="Q176" s="74"/>
      <c r="R176" s="84">
        <v>75.664545633000003</v>
      </c>
      <c r="S176" s="85">
        <v>2.8573440682285649E-4</v>
      </c>
      <c r="T176" s="85">
        <f t="shared" si="3"/>
        <v>9.0726413073351664E-4</v>
      </c>
      <c r="U176" s="85">
        <f>R176/'סכום נכסי הקרן'!$C$42</f>
        <v>2.6005270942007247E-4</v>
      </c>
    </row>
    <row r="177" spans="2:21">
      <c r="B177" s="77" t="s">
        <v>564</v>
      </c>
      <c r="C177" s="74">
        <v>1145580</v>
      </c>
      <c r="D177" s="87" t="s">
        <v>111</v>
      </c>
      <c r="E177" s="87" t="s">
        <v>328</v>
      </c>
      <c r="F177" s="74" t="s">
        <v>377</v>
      </c>
      <c r="G177" s="87" t="s">
        <v>1274</v>
      </c>
      <c r="H177" s="74" t="s">
        <v>367</v>
      </c>
      <c r="I177" s="74" t="s">
        <v>151</v>
      </c>
      <c r="J177" s="74"/>
      <c r="K177" s="84">
        <v>3.1600000000077801</v>
      </c>
      <c r="L177" s="87" t="s">
        <v>155</v>
      </c>
      <c r="M177" s="88">
        <v>1.6299999999999999E-2</v>
      </c>
      <c r="N177" s="88">
        <v>1.3600000000037905E-2</v>
      </c>
      <c r="O177" s="84">
        <v>197997.51201000001</v>
      </c>
      <c r="P177" s="86">
        <v>101.27</v>
      </c>
      <c r="Q177" s="74"/>
      <c r="R177" s="84">
        <v>200.51208043400001</v>
      </c>
      <c r="S177" s="85">
        <v>2.3762391343900129E-4</v>
      </c>
      <c r="T177" s="85">
        <f t="shared" si="3"/>
        <v>2.404262350809404E-3</v>
      </c>
      <c r="U177" s="85">
        <f>R177/'סכום נכסי הקרן'!$C$42</f>
        <v>6.8914323547560529E-4</v>
      </c>
    </row>
    <row r="178" spans="2:21">
      <c r="B178" s="77" t="s">
        <v>565</v>
      </c>
      <c r="C178" s="74">
        <v>1940410</v>
      </c>
      <c r="D178" s="87" t="s">
        <v>111</v>
      </c>
      <c r="E178" s="87" t="s">
        <v>328</v>
      </c>
      <c r="F178" s="74" t="s">
        <v>361</v>
      </c>
      <c r="G178" s="87" t="s">
        <v>336</v>
      </c>
      <c r="H178" s="74" t="s">
        <v>367</v>
      </c>
      <c r="I178" s="74" t="s">
        <v>151</v>
      </c>
      <c r="J178" s="74"/>
      <c r="K178" s="84">
        <v>0.99000000001138933</v>
      </c>
      <c r="L178" s="87" t="s">
        <v>155</v>
      </c>
      <c r="M178" s="88">
        <v>6.0999999999999999E-2</v>
      </c>
      <c r="N178" s="88">
        <v>6.800000000227787E-3</v>
      </c>
      <c r="O178" s="84">
        <v>24993.227922999999</v>
      </c>
      <c r="P178" s="86">
        <v>105.39</v>
      </c>
      <c r="Q178" s="74"/>
      <c r="R178" s="84">
        <v>26.340362730000003</v>
      </c>
      <c r="S178" s="85">
        <v>7.2951215404676341E-5</v>
      </c>
      <c r="T178" s="85">
        <f t="shared" si="3"/>
        <v>3.1583704224368394E-4</v>
      </c>
      <c r="U178" s="85">
        <f>R178/'סכום נכסי הקרן'!$C$42</f>
        <v>9.0529621736821993E-5</v>
      </c>
    </row>
    <row r="179" spans="2:21">
      <c r="B179" s="77" t="s">
        <v>566</v>
      </c>
      <c r="C179" s="74">
        <v>7460389</v>
      </c>
      <c r="D179" s="87" t="s">
        <v>111</v>
      </c>
      <c r="E179" s="87" t="s">
        <v>328</v>
      </c>
      <c r="F179" s="74" t="s">
        <v>567</v>
      </c>
      <c r="G179" s="87" t="s">
        <v>568</v>
      </c>
      <c r="H179" s="74" t="s">
        <v>367</v>
      </c>
      <c r="I179" s="74" t="s">
        <v>151</v>
      </c>
      <c r="J179" s="74"/>
      <c r="K179" s="84">
        <v>4.6499999999941926</v>
      </c>
      <c r="L179" s="87" t="s">
        <v>155</v>
      </c>
      <c r="M179" s="88">
        <v>2.6099999999999998E-2</v>
      </c>
      <c r="N179" s="88">
        <v>1.4499999999970965E-2</v>
      </c>
      <c r="O179" s="84">
        <v>194607.75080099999</v>
      </c>
      <c r="P179" s="86">
        <v>106.18</v>
      </c>
      <c r="Q179" s="74"/>
      <c r="R179" s="84">
        <v>206.63450976799999</v>
      </c>
      <c r="S179" s="85">
        <v>3.2267265582677844E-4</v>
      </c>
      <c r="T179" s="85">
        <f t="shared" si="3"/>
        <v>2.4776740191306667E-3</v>
      </c>
      <c r="U179" s="85">
        <f>R179/'סכום נכסי הקרן'!$C$42</f>
        <v>7.1018551258465105E-4</v>
      </c>
    </row>
    <row r="180" spans="2:21">
      <c r="B180" s="77" t="s">
        <v>569</v>
      </c>
      <c r="C180" s="74">
        <v>1138114</v>
      </c>
      <c r="D180" s="87" t="s">
        <v>111</v>
      </c>
      <c r="E180" s="87" t="s">
        <v>328</v>
      </c>
      <c r="F180" s="74" t="s">
        <v>395</v>
      </c>
      <c r="G180" s="87" t="s">
        <v>1274</v>
      </c>
      <c r="H180" s="74" t="s">
        <v>396</v>
      </c>
      <c r="I180" s="74" t="s">
        <v>151</v>
      </c>
      <c r="J180" s="74"/>
      <c r="K180" s="84">
        <v>3.4800000000058944</v>
      </c>
      <c r="L180" s="87" t="s">
        <v>155</v>
      </c>
      <c r="M180" s="88">
        <v>3.39E-2</v>
      </c>
      <c r="N180" s="88">
        <v>2.1800000000042574E-2</v>
      </c>
      <c r="O180" s="84">
        <v>290835.01753800001</v>
      </c>
      <c r="P180" s="86">
        <v>105</v>
      </c>
      <c r="Q180" s="74"/>
      <c r="R180" s="84">
        <v>305.37676841500002</v>
      </c>
      <c r="S180" s="85">
        <v>2.6799812049598746E-4</v>
      </c>
      <c r="T180" s="85">
        <f t="shared" si="3"/>
        <v>3.6616540286394162E-3</v>
      </c>
      <c r="U180" s="85">
        <f>R180/'סכום נכסי הקרן'!$C$42</f>
        <v>1.049554389785848E-3</v>
      </c>
    </row>
    <row r="181" spans="2:21">
      <c r="B181" s="77" t="s">
        <v>570</v>
      </c>
      <c r="C181" s="74">
        <v>1162866</v>
      </c>
      <c r="D181" s="87" t="s">
        <v>111</v>
      </c>
      <c r="E181" s="87" t="s">
        <v>328</v>
      </c>
      <c r="F181" s="74" t="s">
        <v>395</v>
      </c>
      <c r="G181" s="87" t="s">
        <v>1274</v>
      </c>
      <c r="H181" s="74" t="s">
        <v>396</v>
      </c>
      <c r="I181" s="74" t="s">
        <v>151</v>
      </c>
      <c r="J181" s="74"/>
      <c r="K181" s="84">
        <v>9.109999999998875</v>
      </c>
      <c r="L181" s="87" t="s">
        <v>155</v>
      </c>
      <c r="M181" s="88">
        <v>2.4399999999999998E-2</v>
      </c>
      <c r="N181" s="88">
        <v>3.2600000000024519E-2</v>
      </c>
      <c r="O181" s="84">
        <v>209906.331916</v>
      </c>
      <c r="P181" s="86">
        <v>93.27</v>
      </c>
      <c r="Q181" s="74"/>
      <c r="R181" s="84">
        <v>195.77962830200002</v>
      </c>
      <c r="S181" s="85">
        <v>4.514114664860215E-4</v>
      </c>
      <c r="T181" s="85">
        <f t="shared" si="3"/>
        <v>2.3475173583713026E-3</v>
      </c>
      <c r="U181" s="85">
        <f>R181/'סכום נכסי הקרן'!$C$42</f>
        <v>6.7287819365408074E-4</v>
      </c>
    </row>
    <row r="182" spans="2:21">
      <c r="B182" s="77" t="s">
        <v>571</v>
      </c>
      <c r="C182" s="74">
        <v>6040158</v>
      </c>
      <c r="D182" s="87" t="s">
        <v>111</v>
      </c>
      <c r="E182" s="87" t="s">
        <v>328</v>
      </c>
      <c r="F182" s="74" t="s">
        <v>344</v>
      </c>
      <c r="G182" s="87" t="s">
        <v>336</v>
      </c>
      <c r="H182" s="74" t="s">
        <v>396</v>
      </c>
      <c r="I182" s="74" t="s">
        <v>151</v>
      </c>
      <c r="J182" s="74"/>
      <c r="K182" s="84">
        <v>0.84000000000129993</v>
      </c>
      <c r="L182" s="87" t="s">
        <v>155</v>
      </c>
      <c r="M182" s="88">
        <v>1.5700000000000002E-2</v>
      </c>
      <c r="N182" s="88">
        <v>2.4500000000037919E-2</v>
      </c>
      <c r="O182" s="84">
        <v>370924.54620699992</v>
      </c>
      <c r="P182" s="86">
        <v>99.55</v>
      </c>
      <c r="Q182" s="74"/>
      <c r="R182" s="84">
        <v>369.255387128</v>
      </c>
      <c r="S182" s="85">
        <v>4.5784947494386248E-4</v>
      </c>
      <c r="T182" s="85">
        <f t="shared" si="3"/>
        <v>4.4275976947814027E-3</v>
      </c>
      <c r="U182" s="85">
        <f>R182/'סכום נכסי הקרן'!$C$42</f>
        <v>1.2690998549882767E-3</v>
      </c>
    </row>
    <row r="183" spans="2:21">
      <c r="B183" s="77" t="s">
        <v>572</v>
      </c>
      <c r="C183" s="74">
        <v>7590151</v>
      </c>
      <c r="D183" s="87" t="s">
        <v>111</v>
      </c>
      <c r="E183" s="87" t="s">
        <v>328</v>
      </c>
      <c r="F183" s="74" t="s">
        <v>406</v>
      </c>
      <c r="G183" s="87" t="s">
        <v>1274</v>
      </c>
      <c r="H183" s="74" t="s">
        <v>391</v>
      </c>
      <c r="I183" s="74" t="s">
        <v>332</v>
      </c>
      <c r="J183" s="74"/>
      <c r="K183" s="84">
        <v>6.1800000000003754</v>
      </c>
      <c r="L183" s="87" t="s">
        <v>155</v>
      </c>
      <c r="M183" s="88">
        <v>2.5499999999999998E-2</v>
      </c>
      <c r="N183" s="88">
        <v>2.6999999999997651E-2</v>
      </c>
      <c r="O183" s="84">
        <v>854237.30430399999</v>
      </c>
      <c r="P183" s="86">
        <v>99.8</v>
      </c>
      <c r="Q183" s="74"/>
      <c r="R183" s="84">
        <v>852.52885817599997</v>
      </c>
      <c r="S183" s="85">
        <v>6.5589695197373205E-4</v>
      </c>
      <c r="T183" s="85">
        <f t="shared" si="3"/>
        <v>1.0222341877130744E-2</v>
      </c>
      <c r="U183" s="85">
        <f>R183/'סכום נכסי הקרן'!$C$42</f>
        <v>2.9300703198933526E-3</v>
      </c>
    </row>
    <row r="184" spans="2:21">
      <c r="B184" s="77" t="s">
        <v>574</v>
      </c>
      <c r="C184" s="74">
        <v>6000202</v>
      </c>
      <c r="D184" s="87" t="s">
        <v>111</v>
      </c>
      <c r="E184" s="87" t="s">
        <v>328</v>
      </c>
      <c r="F184" s="74" t="s">
        <v>412</v>
      </c>
      <c r="G184" s="87" t="s">
        <v>413</v>
      </c>
      <c r="H184" s="74" t="s">
        <v>396</v>
      </c>
      <c r="I184" s="74" t="s">
        <v>151</v>
      </c>
      <c r="J184" s="74"/>
      <c r="K184" s="84">
        <v>2.420000000001671</v>
      </c>
      <c r="L184" s="87" t="s">
        <v>155</v>
      </c>
      <c r="M184" s="88">
        <v>4.8000000000000001E-2</v>
      </c>
      <c r="N184" s="88">
        <v>1.4299999999993452E-2</v>
      </c>
      <c r="O184" s="84">
        <v>400629.33289600001</v>
      </c>
      <c r="P184" s="86">
        <v>108.15</v>
      </c>
      <c r="Q184" s="84">
        <v>9.6151040099999996</v>
      </c>
      <c r="R184" s="84">
        <v>442.89574090299999</v>
      </c>
      <c r="S184" s="85">
        <v>2.014964185617983E-4</v>
      </c>
      <c r="T184" s="85">
        <f t="shared" si="3"/>
        <v>5.3105905284216446E-3</v>
      </c>
      <c r="U184" s="85">
        <f>R184/'סכום נכסי הקרן'!$C$42</f>
        <v>1.5221955864386119E-3</v>
      </c>
    </row>
    <row r="185" spans="2:21">
      <c r="B185" s="77" t="s">
        <v>575</v>
      </c>
      <c r="C185" s="74">
        <v>6000228</v>
      </c>
      <c r="D185" s="87" t="s">
        <v>111</v>
      </c>
      <c r="E185" s="87" t="s">
        <v>328</v>
      </c>
      <c r="F185" s="74" t="s">
        <v>412</v>
      </c>
      <c r="G185" s="87" t="s">
        <v>413</v>
      </c>
      <c r="H185" s="74" t="s">
        <v>396</v>
      </c>
      <c r="I185" s="74" t="s">
        <v>151</v>
      </c>
      <c r="J185" s="74"/>
      <c r="K185" s="84">
        <v>0.89997335464961359</v>
      </c>
      <c r="L185" s="87" t="s">
        <v>155</v>
      </c>
      <c r="M185" s="88">
        <v>4.4999999999999998E-2</v>
      </c>
      <c r="N185" s="88">
        <v>1.249986677324807E-2</v>
      </c>
      <c r="O185" s="84">
        <v>1.813E-2</v>
      </c>
      <c r="P185" s="86">
        <v>103.34</v>
      </c>
      <c r="Q185" s="74"/>
      <c r="R185" s="84">
        <v>1.8765000000000001E-5</v>
      </c>
      <c r="S185" s="85">
        <v>3.0191104864548017E-11</v>
      </c>
      <c r="T185" s="85">
        <f t="shared" si="3"/>
        <v>2.2500381480899708E-10</v>
      </c>
      <c r="U185" s="85">
        <f>R185/'סכום נכסי הקרן'!$C$42</f>
        <v>6.4493734171574357E-11</v>
      </c>
    </row>
    <row r="186" spans="2:21">
      <c r="B186" s="77" t="s">
        <v>576</v>
      </c>
      <c r="C186" s="74">
        <v>1157536</v>
      </c>
      <c r="D186" s="87" t="s">
        <v>111</v>
      </c>
      <c r="E186" s="87" t="s">
        <v>328</v>
      </c>
      <c r="F186" s="74" t="s">
        <v>577</v>
      </c>
      <c r="G186" s="87" t="s">
        <v>148</v>
      </c>
      <c r="H186" s="74" t="s">
        <v>396</v>
      </c>
      <c r="I186" s="74" t="s">
        <v>151</v>
      </c>
      <c r="J186" s="74"/>
      <c r="K186" s="84">
        <v>2.1100000000054906</v>
      </c>
      <c r="L186" s="87" t="s">
        <v>155</v>
      </c>
      <c r="M186" s="88">
        <v>1.49E-2</v>
      </c>
      <c r="N186" s="88">
        <v>1.8800000000050152E-2</v>
      </c>
      <c r="O186" s="84">
        <v>231996.177639</v>
      </c>
      <c r="P186" s="86">
        <v>99.7</v>
      </c>
      <c r="Q186" s="74"/>
      <c r="R186" s="84">
        <v>231.30018134299999</v>
      </c>
      <c r="S186" s="85">
        <v>2.1518326369659402E-4</v>
      </c>
      <c r="T186" s="85">
        <f t="shared" si="3"/>
        <v>2.773430491243688E-3</v>
      </c>
      <c r="U186" s="85">
        <f>R186/'סכום נכסי הקרן'!$C$42</f>
        <v>7.949593610110516E-4</v>
      </c>
    </row>
    <row r="187" spans="2:21">
      <c r="B187" s="77" t="s">
        <v>590</v>
      </c>
      <c r="C187" s="74">
        <v>1137975</v>
      </c>
      <c r="D187" s="87" t="s">
        <v>111</v>
      </c>
      <c r="E187" s="87" t="s">
        <v>328</v>
      </c>
      <c r="F187" s="74" t="s">
        <v>573</v>
      </c>
      <c r="G187" s="87" t="s">
        <v>1275</v>
      </c>
      <c r="H187" s="74" t="s">
        <v>391</v>
      </c>
      <c r="I187" s="74" t="s">
        <v>332</v>
      </c>
      <c r="J187" s="74"/>
      <c r="K187" s="84">
        <v>2.8199999999994341</v>
      </c>
      <c r="L187" s="87" t="s">
        <v>155</v>
      </c>
      <c r="M187" s="88">
        <v>4.3499999999999997E-2</v>
      </c>
      <c r="N187" s="88">
        <v>0.18530000000015412</v>
      </c>
      <c r="O187" s="84">
        <v>207059.98564200001</v>
      </c>
      <c r="P187" s="86">
        <v>68.3</v>
      </c>
      <c r="Q187" s="74"/>
      <c r="R187" s="84">
        <v>141.421977094</v>
      </c>
      <c r="S187" s="85">
        <v>1.2417080116823516E-4</v>
      </c>
      <c r="T187" s="85">
        <f>R187/$R$11</f>
        <v>1.6957359096179377E-3</v>
      </c>
      <c r="U187" s="85">
        <f>R187/'סכום נכסי הקרן'!$C$42</f>
        <v>4.8605549676093333E-4</v>
      </c>
    </row>
    <row r="188" spans="2:21">
      <c r="B188" s="77" t="s">
        <v>578</v>
      </c>
      <c r="C188" s="74">
        <v>2810372</v>
      </c>
      <c r="D188" s="87" t="s">
        <v>111</v>
      </c>
      <c r="E188" s="87" t="s">
        <v>328</v>
      </c>
      <c r="F188" s="74" t="s">
        <v>579</v>
      </c>
      <c r="G188" s="87" t="s">
        <v>445</v>
      </c>
      <c r="H188" s="74" t="s">
        <v>391</v>
      </c>
      <c r="I188" s="74" t="s">
        <v>332</v>
      </c>
      <c r="J188" s="74"/>
      <c r="K188" s="84">
        <v>10.920000000021433</v>
      </c>
      <c r="L188" s="87" t="s">
        <v>155</v>
      </c>
      <c r="M188" s="88">
        <v>2.4E-2</v>
      </c>
      <c r="N188" s="88">
        <v>3.0600000000062515E-2</v>
      </c>
      <c r="O188" s="84">
        <v>47722.953236000001</v>
      </c>
      <c r="P188" s="86">
        <v>93.85</v>
      </c>
      <c r="Q188" s="74"/>
      <c r="R188" s="84">
        <v>44.787992012000004</v>
      </c>
      <c r="S188" s="85">
        <v>1.2558671904210528E-4</v>
      </c>
      <c r="T188" s="85">
        <f t="shared" si="3"/>
        <v>5.3703538824060161E-4</v>
      </c>
      <c r="U188" s="85">
        <f>R188/'סכום נכסי הקרן'!$C$42</f>
        <v>1.5393257931790695E-4</v>
      </c>
    </row>
    <row r="189" spans="2:21">
      <c r="B189" s="77" t="s">
        <v>580</v>
      </c>
      <c r="C189" s="74">
        <v>2810299</v>
      </c>
      <c r="D189" s="87" t="s">
        <v>111</v>
      </c>
      <c r="E189" s="87" t="s">
        <v>328</v>
      </c>
      <c r="F189" s="74" t="s">
        <v>579</v>
      </c>
      <c r="G189" s="87" t="s">
        <v>445</v>
      </c>
      <c r="H189" s="74" t="s">
        <v>391</v>
      </c>
      <c r="I189" s="74" t="s">
        <v>332</v>
      </c>
      <c r="J189" s="74"/>
      <c r="K189" s="84">
        <v>2.4199999999862913</v>
      </c>
      <c r="L189" s="87" t="s">
        <v>155</v>
      </c>
      <c r="M189" s="88">
        <v>2.4500000000000001E-2</v>
      </c>
      <c r="N189" s="88">
        <v>2.3799999999832448E-2</v>
      </c>
      <c r="O189" s="84">
        <v>65513.53169299999</v>
      </c>
      <c r="P189" s="86">
        <v>100.21</v>
      </c>
      <c r="Q189" s="74"/>
      <c r="R189" s="84">
        <v>65.651110094999993</v>
      </c>
      <c r="S189" s="85">
        <v>4.176395660314331E-5</v>
      </c>
      <c r="T189" s="85">
        <f t="shared" si="3"/>
        <v>7.8719692074715993E-4</v>
      </c>
      <c r="U189" s="85">
        <f>R189/'סכום נכסי הקרן'!$C$42</f>
        <v>2.2563736970613864E-4</v>
      </c>
    </row>
    <row r="190" spans="2:21">
      <c r="B190" s="77" t="s">
        <v>581</v>
      </c>
      <c r="C190" s="74">
        <v>6040331</v>
      </c>
      <c r="D190" s="87" t="s">
        <v>111</v>
      </c>
      <c r="E190" s="87" t="s">
        <v>328</v>
      </c>
      <c r="F190" s="74" t="s">
        <v>344</v>
      </c>
      <c r="G190" s="87" t="s">
        <v>336</v>
      </c>
      <c r="H190" s="74" t="s">
        <v>391</v>
      </c>
      <c r="I190" s="74" t="s">
        <v>332</v>
      </c>
      <c r="J190" s="74"/>
      <c r="K190" s="84">
        <v>0.80000000000570681</v>
      </c>
      <c r="L190" s="87" t="s">
        <v>155</v>
      </c>
      <c r="M190" s="88">
        <v>3.2500000000000001E-2</v>
      </c>
      <c r="N190" s="88">
        <v>3.799999999977173E-2</v>
      </c>
      <c r="O190" s="84">
        <f>35186.6592/50000</f>
        <v>0.70373318400000007</v>
      </c>
      <c r="P190" s="86">
        <v>4980000</v>
      </c>
      <c r="Q190" s="74"/>
      <c r="R190" s="84">
        <v>35.045911791000002</v>
      </c>
      <c r="S190" s="85">
        <f>190.04406805293%/50000</f>
        <v>3.8008813610586001E-5</v>
      </c>
      <c r="T190" s="85">
        <f t="shared" si="3"/>
        <v>4.2022189429441036E-4</v>
      </c>
      <c r="U190" s="85">
        <f>R190/'סכום נכסי הקרן'!$C$42</f>
        <v>1.2044986511319997E-4</v>
      </c>
    </row>
    <row r="191" spans="2:21">
      <c r="B191" s="77" t="s">
        <v>582</v>
      </c>
      <c r="C191" s="74">
        <v>1145598</v>
      </c>
      <c r="D191" s="87" t="s">
        <v>111</v>
      </c>
      <c r="E191" s="87" t="s">
        <v>328</v>
      </c>
      <c r="F191" s="74" t="s">
        <v>583</v>
      </c>
      <c r="G191" s="87" t="s">
        <v>1275</v>
      </c>
      <c r="H191" s="74" t="s">
        <v>391</v>
      </c>
      <c r="I191" s="74" t="s">
        <v>332</v>
      </c>
      <c r="J191" s="74"/>
      <c r="K191" s="84">
        <v>3.0599999999984182</v>
      </c>
      <c r="L191" s="87" t="s">
        <v>155</v>
      </c>
      <c r="M191" s="88">
        <v>3.3799999999999997E-2</v>
      </c>
      <c r="N191" s="88">
        <v>3.6899999999936706E-2</v>
      </c>
      <c r="O191" s="84">
        <v>126366.04238699999</v>
      </c>
      <c r="P191" s="86">
        <v>100.01</v>
      </c>
      <c r="Q191" s="74"/>
      <c r="R191" s="84">
        <v>126.37867901999998</v>
      </c>
      <c r="S191" s="85">
        <v>1.5438187576371758E-4</v>
      </c>
      <c r="T191" s="85">
        <f t="shared" si="3"/>
        <v>1.5153575747413673E-3</v>
      </c>
      <c r="U191" s="85">
        <f>R191/'סכום נכסי הקרן'!$C$42</f>
        <v>4.3435294056331467E-4</v>
      </c>
    </row>
    <row r="192" spans="2:21">
      <c r="B192" s="77" t="s">
        <v>584</v>
      </c>
      <c r="C192" s="74">
        <v>7770209</v>
      </c>
      <c r="D192" s="87" t="s">
        <v>111</v>
      </c>
      <c r="E192" s="87" t="s">
        <v>328</v>
      </c>
      <c r="F192" s="74" t="s">
        <v>441</v>
      </c>
      <c r="G192" s="87" t="s">
        <v>142</v>
      </c>
      <c r="H192" s="74" t="s">
        <v>391</v>
      </c>
      <c r="I192" s="74" t="s">
        <v>332</v>
      </c>
      <c r="J192" s="74"/>
      <c r="K192" s="84">
        <v>4.5499999999927496</v>
      </c>
      <c r="L192" s="87" t="s">
        <v>155</v>
      </c>
      <c r="M192" s="88">
        <v>5.0900000000000001E-2</v>
      </c>
      <c r="N192" s="88">
        <v>1.8299999999987257E-2</v>
      </c>
      <c r="O192" s="84">
        <v>193376.51178500001</v>
      </c>
      <c r="P192" s="86">
        <v>117.7</v>
      </c>
      <c r="Q192" s="74"/>
      <c r="R192" s="84">
        <v>227.60415006300005</v>
      </c>
      <c r="S192" s="85">
        <v>1.8730208127593233E-4</v>
      </c>
      <c r="T192" s="85">
        <f t="shared" si="3"/>
        <v>2.7291128180407377E-3</v>
      </c>
      <c r="U192" s="85">
        <f>R192/'סכום נכסי הקרן'!$C$42</f>
        <v>7.8225641089849421E-4</v>
      </c>
    </row>
    <row r="193" spans="2:21">
      <c r="B193" s="77" t="s">
        <v>585</v>
      </c>
      <c r="C193" s="74">
        <v>1127547</v>
      </c>
      <c r="D193" s="87" t="s">
        <v>111</v>
      </c>
      <c r="E193" s="87" t="s">
        <v>328</v>
      </c>
      <c r="F193" s="74" t="s">
        <v>586</v>
      </c>
      <c r="G193" s="87" t="s">
        <v>562</v>
      </c>
      <c r="H193" s="74" t="s">
        <v>391</v>
      </c>
      <c r="I193" s="74" t="s">
        <v>332</v>
      </c>
      <c r="J193" s="74"/>
      <c r="K193" s="84">
        <v>0.73999999982916864</v>
      </c>
      <c r="L193" s="87" t="s">
        <v>155</v>
      </c>
      <c r="M193" s="88">
        <v>4.0999999999999995E-2</v>
      </c>
      <c r="N193" s="88">
        <v>1.0200000003416629E-2</v>
      </c>
      <c r="O193" s="84">
        <v>453.24975000000001</v>
      </c>
      <c r="P193" s="86">
        <v>103.32</v>
      </c>
      <c r="Q193" s="74"/>
      <c r="R193" s="84">
        <v>0.46829764200000001</v>
      </c>
      <c r="S193" s="85">
        <v>1.5108324999999999E-6</v>
      </c>
      <c r="T193" s="85">
        <f t="shared" si="3"/>
        <v>5.6151748423159078E-6</v>
      </c>
      <c r="U193" s="85">
        <f>R193/'סכום נכסי הקרן'!$C$42</f>
        <v>1.6094997941019503E-6</v>
      </c>
    </row>
    <row r="194" spans="2:21">
      <c r="B194" s="77" t="s">
        <v>587</v>
      </c>
      <c r="C194" s="74">
        <v>1133131</v>
      </c>
      <c r="D194" s="87" t="s">
        <v>111</v>
      </c>
      <c r="E194" s="87" t="s">
        <v>328</v>
      </c>
      <c r="F194" s="74" t="s">
        <v>586</v>
      </c>
      <c r="G194" s="87" t="s">
        <v>562</v>
      </c>
      <c r="H194" s="74" t="s">
        <v>391</v>
      </c>
      <c r="I194" s="74" t="s">
        <v>332</v>
      </c>
      <c r="J194" s="74"/>
      <c r="K194" s="84">
        <v>2.6199858032967902</v>
      </c>
      <c r="L194" s="87" t="s">
        <v>155</v>
      </c>
      <c r="M194" s="88">
        <v>1.2E-2</v>
      </c>
      <c r="N194" s="88">
        <v>1.3999842258853219E-2</v>
      </c>
      <c r="O194" s="84">
        <v>6.3454999999999998E-2</v>
      </c>
      <c r="P194" s="86">
        <v>99.89</v>
      </c>
      <c r="Q194" s="74"/>
      <c r="R194" s="84">
        <v>6.3395000000000012E-5</v>
      </c>
      <c r="S194" s="85">
        <v>1.3695067574275588E-10</v>
      </c>
      <c r="T194" s="85">
        <f t="shared" si="3"/>
        <v>7.6014478229770169E-10</v>
      </c>
      <c r="U194" s="85">
        <f>R194/'סכום נכסי הקרן'!$C$42</f>
        <v>2.1788330816983517E-10</v>
      </c>
    </row>
    <row r="195" spans="2:21">
      <c r="B195" s="77" t="s">
        <v>588</v>
      </c>
      <c r="C195" s="74">
        <v>2300176</v>
      </c>
      <c r="D195" s="87" t="s">
        <v>111</v>
      </c>
      <c r="E195" s="87" t="s">
        <v>328</v>
      </c>
      <c r="F195" s="74" t="s">
        <v>448</v>
      </c>
      <c r="G195" s="87" t="s">
        <v>182</v>
      </c>
      <c r="H195" s="74" t="s">
        <v>446</v>
      </c>
      <c r="I195" s="74" t="s">
        <v>332</v>
      </c>
      <c r="J195" s="74"/>
      <c r="K195" s="84">
        <v>4.1200000000003936</v>
      </c>
      <c r="L195" s="87" t="s">
        <v>155</v>
      </c>
      <c r="M195" s="88">
        <v>3.6499999999999998E-2</v>
      </c>
      <c r="N195" s="88">
        <v>2.8500000000009823E-2</v>
      </c>
      <c r="O195" s="84">
        <v>486796.21137500001</v>
      </c>
      <c r="P195" s="86">
        <v>104.6</v>
      </c>
      <c r="Q195" s="74"/>
      <c r="R195" s="84">
        <v>509.18882088999993</v>
      </c>
      <c r="S195" s="85">
        <v>2.2694800639216995E-4</v>
      </c>
      <c r="T195" s="85">
        <f t="shared" si="3"/>
        <v>6.1054850603967552E-3</v>
      </c>
      <c r="U195" s="85">
        <f>R195/'סכום נכסי הקרן'!$C$42</f>
        <v>1.7500393529239031E-3</v>
      </c>
    </row>
    <row r="196" spans="2:21">
      <c r="B196" s="77" t="s">
        <v>589</v>
      </c>
      <c r="C196" s="74">
        <v>1132521</v>
      </c>
      <c r="D196" s="87" t="s">
        <v>111</v>
      </c>
      <c r="E196" s="87" t="s">
        <v>328</v>
      </c>
      <c r="F196" s="74" t="s">
        <v>401</v>
      </c>
      <c r="G196" s="87" t="s">
        <v>1274</v>
      </c>
      <c r="H196" s="74" t="s">
        <v>451</v>
      </c>
      <c r="I196" s="74" t="s">
        <v>151</v>
      </c>
      <c r="J196" s="74"/>
      <c r="K196" s="84">
        <v>2.7199999999930586</v>
      </c>
      <c r="L196" s="87" t="s">
        <v>155</v>
      </c>
      <c r="M196" s="88">
        <v>3.5000000000000003E-2</v>
      </c>
      <c r="N196" s="88">
        <v>2.2099999999851825E-2</v>
      </c>
      <c r="O196" s="84">
        <v>71740.192846999998</v>
      </c>
      <c r="P196" s="86">
        <v>104.42</v>
      </c>
      <c r="Q196" s="74"/>
      <c r="R196" s="84">
        <v>74.911106191000002</v>
      </c>
      <c r="S196" s="85">
        <v>5.0340903872218368E-4</v>
      </c>
      <c r="T196" s="85">
        <f t="shared" si="3"/>
        <v>8.9822993149676943E-4</v>
      </c>
      <c r="U196" s="85">
        <f>R196/'סכום נכסי הקרן'!$C$42</f>
        <v>2.5746320112874673E-4</v>
      </c>
    </row>
    <row r="197" spans="2:21">
      <c r="B197" s="77" t="s">
        <v>591</v>
      </c>
      <c r="C197" s="74">
        <v>6910160</v>
      </c>
      <c r="D197" s="87" t="s">
        <v>111</v>
      </c>
      <c r="E197" s="87" t="s">
        <v>328</v>
      </c>
      <c r="F197" s="74" t="s">
        <v>370</v>
      </c>
      <c r="G197" s="87" t="s">
        <v>336</v>
      </c>
      <c r="H197" s="74" t="s">
        <v>451</v>
      </c>
      <c r="I197" s="74" t="s">
        <v>151</v>
      </c>
      <c r="J197" s="74"/>
      <c r="K197" s="84">
        <v>1.7400000000007596</v>
      </c>
      <c r="L197" s="87" t="s">
        <v>155</v>
      </c>
      <c r="M197" s="88">
        <v>3.6000000000000004E-2</v>
      </c>
      <c r="N197" s="88">
        <v>4.1900000000038282E-2</v>
      </c>
      <c r="O197" s="84">
        <f>342855.3744/50000</f>
        <v>6.8571074879999996</v>
      </c>
      <c r="P197" s="86">
        <v>4990000</v>
      </c>
      <c r="Q197" s="74"/>
      <c r="R197" s="84">
        <v>342.16966365100001</v>
      </c>
      <c r="S197" s="85">
        <f>2186.4382016453%/50000</f>
        <v>4.3728764032905997E-4</v>
      </c>
      <c r="T197" s="85">
        <f t="shared" si="3"/>
        <v>4.1028233217898441E-3</v>
      </c>
      <c r="U197" s="85">
        <f>R197/'סכום נכסי הקרן'!$C$42</f>
        <v>1.1760084907585719E-3</v>
      </c>
    </row>
    <row r="198" spans="2:21">
      <c r="B198" s="77" t="s">
        <v>592</v>
      </c>
      <c r="C198" s="74">
        <v>1143130</v>
      </c>
      <c r="D198" s="87" t="s">
        <v>111</v>
      </c>
      <c r="E198" s="87" t="s">
        <v>328</v>
      </c>
      <c r="F198" s="74" t="s">
        <v>409</v>
      </c>
      <c r="G198" s="87" t="s">
        <v>410</v>
      </c>
      <c r="H198" s="74" t="s">
        <v>446</v>
      </c>
      <c r="I198" s="74" t="s">
        <v>332</v>
      </c>
      <c r="J198" s="74"/>
      <c r="K198" s="84">
        <v>9.9000000000089354</v>
      </c>
      <c r="L198" s="87" t="s">
        <v>155</v>
      </c>
      <c r="M198" s="88">
        <v>3.0499999999999999E-2</v>
      </c>
      <c r="N198" s="88">
        <v>3.0400000000048361E-2</v>
      </c>
      <c r="O198" s="84">
        <v>188257.78828099999</v>
      </c>
      <c r="P198" s="86">
        <v>101.05</v>
      </c>
      <c r="Q198" s="74"/>
      <c r="R198" s="84">
        <v>190.23449507699999</v>
      </c>
      <c r="S198" s="85">
        <v>5.9570065352224089E-4</v>
      </c>
      <c r="T198" s="85">
        <f t="shared" si="3"/>
        <v>2.2810278231062278E-3</v>
      </c>
      <c r="U198" s="85">
        <f>R198/'סכום נכסי הקרן'!$C$42</f>
        <v>6.5382003494589443E-4</v>
      </c>
    </row>
    <row r="199" spans="2:21">
      <c r="B199" s="77" t="s">
        <v>593</v>
      </c>
      <c r="C199" s="74">
        <v>1143122</v>
      </c>
      <c r="D199" s="87" t="s">
        <v>111</v>
      </c>
      <c r="E199" s="87" t="s">
        <v>328</v>
      </c>
      <c r="F199" s="74" t="s">
        <v>409</v>
      </c>
      <c r="G199" s="87" t="s">
        <v>410</v>
      </c>
      <c r="H199" s="74" t="s">
        <v>446</v>
      </c>
      <c r="I199" s="74" t="s">
        <v>332</v>
      </c>
      <c r="J199" s="74"/>
      <c r="K199" s="84">
        <v>9.1799999999882971</v>
      </c>
      <c r="L199" s="87" t="s">
        <v>155</v>
      </c>
      <c r="M199" s="88">
        <v>3.0499999999999999E-2</v>
      </c>
      <c r="N199" s="88">
        <v>3.0799999999944566E-2</v>
      </c>
      <c r="O199" s="84">
        <v>322601.08670099999</v>
      </c>
      <c r="P199" s="86">
        <v>100.65</v>
      </c>
      <c r="Q199" s="74"/>
      <c r="R199" s="84">
        <v>324.69799375999997</v>
      </c>
      <c r="S199" s="85">
        <v>4.4260351337787251E-4</v>
      </c>
      <c r="T199" s="85">
        <f t="shared" si="3"/>
        <v>3.8933273251706858E-3</v>
      </c>
      <c r="U199" s="85">
        <f>R199/'סכום נכסי הקרן'!$C$42</f>
        <v>1.1159598239062589E-3</v>
      </c>
    </row>
    <row r="200" spans="2:21">
      <c r="B200" s="77" t="s">
        <v>594</v>
      </c>
      <c r="C200" s="74">
        <v>1157601</v>
      </c>
      <c r="D200" s="87" t="s">
        <v>111</v>
      </c>
      <c r="E200" s="87" t="s">
        <v>328</v>
      </c>
      <c r="F200" s="74" t="s">
        <v>409</v>
      </c>
      <c r="G200" s="87" t="s">
        <v>410</v>
      </c>
      <c r="H200" s="74" t="s">
        <v>446</v>
      </c>
      <c r="I200" s="74" t="s">
        <v>332</v>
      </c>
      <c r="J200" s="74"/>
      <c r="K200" s="84">
        <v>5.7300000000140949</v>
      </c>
      <c r="L200" s="87" t="s">
        <v>155</v>
      </c>
      <c r="M200" s="88">
        <v>2.9100000000000001E-2</v>
      </c>
      <c r="N200" s="88">
        <v>2.5300000000079662E-2</v>
      </c>
      <c r="O200" s="84">
        <v>158417.05757999999</v>
      </c>
      <c r="P200" s="86">
        <v>103.01</v>
      </c>
      <c r="Q200" s="74"/>
      <c r="R200" s="84">
        <v>163.18541099000001</v>
      </c>
      <c r="S200" s="85">
        <v>2.6402842929999998E-4</v>
      </c>
      <c r="T200" s="85">
        <f t="shared" si="3"/>
        <v>1.9566927787862528E-3</v>
      </c>
      <c r="U200" s="85">
        <f>R200/'סכום נכסי הקרן'!$C$42</f>
        <v>5.6085459723251632E-4</v>
      </c>
    </row>
    <row r="201" spans="2:21">
      <c r="B201" s="77" t="s">
        <v>595</v>
      </c>
      <c r="C201" s="74">
        <v>1138163</v>
      </c>
      <c r="D201" s="87" t="s">
        <v>111</v>
      </c>
      <c r="E201" s="87" t="s">
        <v>328</v>
      </c>
      <c r="F201" s="74" t="s">
        <v>409</v>
      </c>
      <c r="G201" s="87" t="s">
        <v>410</v>
      </c>
      <c r="H201" s="74" t="s">
        <v>446</v>
      </c>
      <c r="I201" s="74" t="s">
        <v>332</v>
      </c>
      <c r="J201" s="74"/>
      <c r="K201" s="84">
        <v>7.5099999999997715</v>
      </c>
      <c r="L201" s="87" t="s">
        <v>155</v>
      </c>
      <c r="M201" s="88">
        <v>3.95E-2</v>
      </c>
      <c r="N201" s="88">
        <v>2.3900000000025245E-2</v>
      </c>
      <c r="O201" s="84">
        <v>115309.869867</v>
      </c>
      <c r="P201" s="86">
        <v>113.38</v>
      </c>
      <c r="Q201" s="74"/>
      <c r="R201" s="84">
        <v>130.73833045299997</v>
      </c>
      <c r="S201" s="85">
        <v>4.8043782691896723E-4</v>
      </c>
      <c r="T201" s="85">
        <f t="shared" si="3"/>
        <v>1.5676324590292708E-3</v>
      </c>
      <c r="U201" s="85">
        <f>R201/'סכום נכסי הקרן'!$C$42</f>
        <v>4.4933669758972686E-4</v>
      </c>
    </row>
    <row r="202" spans="2:21">
      <c r="B202" s="77" t="s">
        <v>596</v>
      </c>
      <c r="C202" s="74">
        <v>1138171</v>
      </c>
      <c r="D202" s="87" t="s">
        <v>111</v>
      </c>
      <c r="E202" s="87" t="s">
        <v>328</v>
      </c>
      <c r="F202" s="74" t="s">
        <v>409</v>
      </c>
      <c r="G202" s="87" t="s">
        <v>410</v>
      </c>
      <c r="H202" s="74" t="s">
        <v>446</v>
      </c>
      <c r="I202" s="74" t="s">
        <v>332</v>
      </c>
      <c r="J202" s="74"/>
      <c r="K202" s="84">
        <v>8.2000000000446231</v>
      </c>
      <c r="L202" s="87" t="s">
        <v>155</v>
      </c>
      <c r="M202" s="88">
        <v>3.95E-2</v>
      </c>
      <c r="N202" s="88">
        <v>2.8300000000003184E-2</v>
      </c>
      <c r="O202" s="84">
        <v>28351.920095000001</v>
      </c>
      <c r="P202" s="86">
        <v>110.66</v>
      </c>
      <c r="Q202" s="74"/>
      <c r="R202" s="84">
        <v>31.374234753</v>
      </c>
      <c r="S202" s="85">
        <v>1.1812809168142359E-4</v>
      </c>
      <c r="T202" s="85">
        <f t="shared" si="3"/>
        <v>3.7619624333269446E-4</v>
      </c>
      <c r="U202" s="85">
        <f>R202/'סכום נכסי הקרן'!$C$42</f>
        <v>1.0783061849168941E-4</v>
      </c>
    </row>
    <row r="203" spans="2:21">
      <c r="B203" s="77" t="s">
        <v>597</v>
      </c>
      <c r="C203" s="74">
        <v>6130199</v>
      </c>
      <c r="D203" s="87" t="s">
        <v>111</v>
      </c>
      <c r="E203" s="87" t="s">
        <v>328</v>
      </c>
      <c r="F203" s="74" t="s">
        <v>417</v>
      </c>
      <c r="G203" s="87" t="s">
        <v>1274</v>
      </c>
      <c r="H203" s="74" t="s">
        <v>451</v>
      </c>
      <c r="I203" s="74" t="s">
        <v>151</v>
      </c>
      <c r="J203" s="74"/>
      <c r="K203" s="84">
        <v>3.6199999999874399</v>
      </c>
      <c r="L203" s="87" t="s">
        <v>155</v>
      </c>
      <c r="M203" s="88">
        <v>5.0499999999999996E-2</v>
      </c>
      <c r="N203" s="88">
        <v>2.1999999999865426E-2</v>
      </c>
      <c r="O203" s="84">
        <v>40167.038110000001</v>
      </c>
      <c r="P203" s="86">
        <v>111</v>
      </c>
      <c r="Q203" s="74"/>
      <c r="R203" s="84">
        <v>44.585413637999999</v>
      </c>
      <c r="S203" s="85">
        <v>6.1914642077107063E-5</v>
      </c>
      <c r="T203" s="85">
        <f t="shared" si="3"/>
        <v>5.3460634976749716E-4</v>
      </c>
      <c r="U203" s="85">
        <f>R203/'סכום נכסי הקרן'!$C$42</f>
        <v>1.5323633440441554E-4</v>
      </c>
    </row>
    <row r="204" spans="2:21">
      <c r="B204" s="77" t="s">
        <v>598</v>
      </c>
      <c r="C204" s="74">
        <v>1136068</v>
      </c>
      <c r="D204" s="87" t="s">
        <v>111</v>
      </c>
      <c r="E204" s="87" t="s">
        <v>328</v>
      </c>
      <c r="F204" s="74" t="s">
        <v>420</v>
      </c>
      <c r="G204" s="87" t="s">
        <v>410</v>
      </c>
      <c r="H204" s="74" t="s">
        <v>451</v>
      </c>
      <c r="I204" s="74" t="s">
        <v>151</v>
      </c>
      <c r="J204" s="74"/>
      <c r="K204" s="84">
        <v>4.010000000005788</v>
      </c>
      <c r="L204" s="87" t="s">
        <v>155</v>
      </c>
      <c r="M204" s="88">
        <v>3.9199999999999999E-2</v>
      </c>
      <c r="N204" s="88">
        <v>2.900000000003795E-2</v>
      </c>
      <c r="O204" s="84">
        <v>201034.08436400001</v>
      </c>
      <c r="P204" s="86">
        <v>104.86</v>
      </c>
      <c r="Q204" s="74"/>
      <c r="R204" s="84">
        <v>210.80434757799998</v>
      </c>
      <c r="S204" s="85">
        <v>2.0944235723766323E-4</v>
      </c>
      <c r="T204" s="85">
        <f t="shared" si="3"/>
        <v>2.5276729221088068E-3</v>
      </c>
      <c r="U204" s="85">
        <f>R204/'סכום נכסי הקרן'!$C$42</f>
        <v>7.2451689607821448E-4</v>
      </c>
    </row>
    <row r="205" spans="2:21">
      <c r="B205" s="77" t="s">
        <v>599</v>
      </c>
      <c r="C205" s="74">
        <v>1160647</v>
      </c>
      <c r="D205" s="87" t="s">
        <v>111</v>
      </c>
      <c r="E205" s="87" t="s">
        <v>328</v>
      </c>
      <c r="F205" s="74" t="s">
        <v>420</v>
      </c>
      <c r="G205" s="87" t="s">
        <v>410</v>
      </c>
      <c r="H205" s="74" t="s">
        <v>451</v>
      </c>
      <c r="I205" s="74" t="s">
        <v>151</v>
      </c>
      <c r="J205" s="74"/>
      <c r="K205" s="84">
        <v>8.7699999999959122</v>
      </c>
      <c r="L205" s="87" t="s">
        <v>155</v>
      </c>
      <c r="M205" s="88">
        <v>2.64E-2</v>
      </c>
      <c r="N205" s="88">
        <v>3.9799999999973946E-2</v>
      </c>
      <c r="O205" s="84">
        <v>627576.84363799996</v>
      </c>
      <c r="P205" s="86">
        <v>89.29</v>
      </c>
      <c r="Q205" s="74"/>
      <c r="R205" s="84">
        <v>560.36336367700005</v>
      </c>
      <c r="S205" s="85">
        <v>3.8356404182787951E-4</v>
      </c>
      <c r="T205" s="85">
        <f t="shared" si="3"/>
        <v>6.7190990944058825E-3</v>
      </c>
      <c r="U205" s="85">
        <f>R205/'סכום נכסי הקרן'!$C$42</f>
        <v>1.925921972633823E-3</v>
      </c>
    </row>
    <row r="206" spans="2:21">
      <c r="B206" s="77" t="s">
        <v>600</v>
      </c>
      <c r="C206" s="74">
        <v>2260420</v>
      </c>
      <c r="D206" s="87" t="s">
        <v>111</v>
      </c>
      <c r="E206" s="87" t="s">
        <v>328</v>
      </c>
      <c r="F206" s="74" t="s">
        <v>427</v>
      </c>
      <c r="G206" s="87" t="s">
        <v>1274</v>
      </c>
      <c r="H206" s="74" t="s">
        <v>446</v>
      </c>
      <c r="I206" s="74" t="s">
        <v>332</v>
      </c>
      <c r="J206" s="74"/>
      <c r="K206" s="84">
        <v>2.3799999875961113</v>
      </c>
      <c r="L206" s="87" t="s">
        <v>155</v>
      </c>
      <c r="M206" s="88">
        <v>5.74E-2</v>
      </c>
      <c r="N206" s="88">
        <v>2.5300000008859919E-2</v>
      </c>
      <c r="O206" s="84">
        <v>41.398896000000001</v>
      </c>
      <c r="P206" s="86">
        <v>107.73</v>
      </c>
      <c r="Q206" s="84">
        <v>1.1834895000000002E-2</v>
      </c>
      <c r="R206" s="84">
        <v>5.6433915000000001E-2</v>
      </c>
      <c r="S206" s="85">
        <v>4.1910521851096242E-7</v>
      </c>
      <c r="T206" s="85">
        <f t="shared" si="3"/>
        <v>6.7667712014957006E-7</v>
      </c>
      <c r="U206" s="85">
        <f>R206/'סכום נכסי הקרן'!$C$42</f>
        <v>1.9395864174107235E-7</v>
      </c>
    </row>
    <row r="207" spans="2:21">
      <c r="B207" s="77" t="s">
        <v>601</v>
      </c>
      <c r="C207" s="74">
        <v>2260438</v>
      </c>
      <c r="D207" s="87" t="s">
        <v>111</v>
      </c>
      <c r="E207" s="87" t="s">
        <v>328</v>
      </c>
      <c r="F207" s="74" t="s">
        <v>427</v>
      </c>
      <c r="G207" s="87" t="s">
        <v>1274</v>
      </c>
      <c r="H207" s="74" t="s">
        <v>446</v>
      </c>
      <c r="I207" s="74" t="s">
        <v>332</v>
      </c>
      <c r="J207" s="74"/>
      <c r="K207" s="84">
        <v>4.0200000002246616</v>
      </c>
      <c r="L207" s="87" t="s">
        <v>155</v>
      </c>
      <c r="M207" s="88">
        <v>5.6500000000000002E-2</v>
      </c>
      <c r="N207" s="88">
        <v>2.5400000001656594E-2</v>
      </c>
      <c r="O207" s="84">
        <v>7705.2457499999991</v>
      </c>
      <c r="P207" s="86">
        <v>114.38</v>
      </c>
      <c r="Q207" s="74"/>
      <c r="R207" s="84">
        <v>8.8132604509999997</v>
      </c>
      <c r="S207" s="85">
        <v>8.782463160138349E-5</v>
      </c>
      <c r="T207" s="85">
        <f t="shared" si="3"/>
        <v>1.0567637742500729E-4</v>
      </c>
      <c r="U207" s="85">
        <f>R207/'סכום נכסי הקרן'!$C$42</f>
        <v>3.0290438407228536E-5</v>
      </c>
    </row>
    <row r="208" spans="2:21">
      <c r="B208" s="77" t="s">
        <v>602</v>
      </c>
      <c r="C208" s="74">
        <v>1135920</v>
      </c>
      <c r="D208" s="87" t="s">
        <v>111</v>
      </c>
      <c r="E208" s="87" t="s">
        <v>328</v>
      </c>
      <c r="F208" s="74" t="s">
        <v>487</v>
      </c>
      <c r="G208" s="87" t="s">
        <v>410</v>
      </c>
      <c r="H208" s="74" t="s">
        <v>451</v>
      </c>
      <c r="I208" s="74" t="s">
        <v>151</v>
      </c>
      <c r="J208" s="74"/>
      <c r="K208" s="84">
        <v>3.9299999999980031</v>
      </c>
      <c r="L208" s="87" t="s">
        <v>155</v>
      </c>
      <c r="M208" s="88">
        <v>4.0999999999999995E-2</v>
      </c>
      <c r="N208" s="88">
        <v>1.7899999999940085E-2</v>
      </c>
      <c r="O208" s="84">
        <v>72519.960000000006</v>
      </c>
      <c r="P208" s="86">
        <v>110.47</v>
      </c>
      <c r="Q208" s="74"/>
      <c r="R208" s="84">
        <v>80.112799811999992</v>
      </c>
      <c r="S208" s="85">
        <v>2.4173320000000001E-4</v>
      </c>
      <c r="T208" s="85">
        <f t="shared" si="3"/>
        <v>9.6060141607937652E-4</v>
      </c>
      <c r="U208" s="85">
        <f>R208/'סכום נכסי הקרן'!$C$42</f>
        <v>2.7534098666750226E-4</v>
      </c>
    </row>
    <row r="209" spans="2:21">
      <c r="B209" s="77" t="s">
        <v>603</v>
      </c>
      <c r="C209" s="74">
        <v>1162817</v>
      </c>
      <c r="D209" s="87" t="s">
        <v>111</v>
      </c>
      <c r="E209" s="87" t="s">
        <v>328</v>
      </c>
      <c r="F209" s="74" t="s">
        <v>495</v>
      </c>
      <c r="G209" s="87" t="s">
        <v>413</v>
      </c>
      <c r="H209" s="74" t="s">
        <v>446</v>
      </c>
      <c r="I209" s="74" t="s">
        <v>332</v>
      </c>
      <c r="J209" s="74"/>
      <c r="K209" s="84">
        <v>7.7200000000079285</v>
      </c>
      <c r="L209" s="87" t="s">
        <v>155</v>
      </c>
      <c r="M209" s="88">
        <v>2.4300000000000002E-2</v>
      </c>
      <c r="N209" s="88">
        <v>3.5800000000041694E-2</v>
      </c>
      <c r="O209" s="84">
        <v>421833.18171999999</v>
      </c>
      <c r="P209" s="86">
        <v>92.11</v>
      </c>
      <c r="Q209" s="74"/>
      <c r="R209" s="84">
        <v>388.55056216099996</v>
      </c>
      <c r="S209" s="85">
        <v>4.87885569554079E-4</v>
      </c>
      <c r="T209" s="85">
        <f t="shared" si="3"/>
        <v>4.6589586321558931E-3</v>
      </c>
      <c r="U209" s="85">
        <f>R209/'סכום נכסי הקרן'!$C$42</f>
        <v>1.3354157563670295E-3</v>
      </c>
    </row>
    <row r="210" spans="2:21">
      <c r="B210" s="77" t="s">
        <v>604</v>
      </c>
      <c r="C210" s="74">
        <v>1132505</v>
      </c>
      <c r="D210" s="87" t="s">
        <v>111</v>
      </c>
      <c r="E210" s="87" t="s">
        <v>328</v>
      </c>
      <c r="F210" s="74" t="s">
        <v>495</v>
      </c>
      <c r="G210" s="87" t="s">
        <v>413</v>
      </c>
      <c r="H210" s="74" t="s">
        <v>446</v>
      </c>
      <c r="I210" s="74" t="s">
        <v>332</v>
      </c>
      <c r="J210" s="74"/>
      <c r="K210" s="84">
        <v>4.0100000000011562</v>
      </c>
      <c r="L210" s="87" t="s">
        <v>155</v>
      </c>
      <c r="M210" s="88">
        <v>1.9E-2</v>
      </c>
      <c r="N210" s="88">
        <v>2.3600000000005963E-2</v>
      </c>
      <c r="O210" s="84">
        <v>272491.95839699998</v>
      </c>
      <c r="P210" s="86">
        <v>98.42</v>
      </c>
      <c r="Q210" s="74"/>
      <c r="R210" s="84">
        <v>268.18657636900002</v>
      </c>
      <c r="S210" s="85">
        <v>3.9230169354829351E-4</v>
      </c>
      <c r="T210" s="85">
        <f t="shared" si="3"/>
        <v>3.2157209040015681E-3</v>
      </c>
      <c r="U210" s="85">
        <f>R210/'סכום נכסי הקרן'!$C$42</f>
        <v>9.2173481293508731E-4</v>
      </c>
    </row>
    <row r="211" spans="2:21">
      <c r="B211" s="77" t="s">
        <v>605</v>
      </c>
      <c r="C211" s="74">
        <v>1139534</v>
      </c>
      <c r="D211" s="87" t="s">
        <v>111</v>
      </c>
      <c r="E211" s="87" t="s">
        <v>328</v>
      </c>
      <c r="F211" s="74" t="s">
        <v>495</v>
      </c>
      <c r="G211" s="87" t="s">
        <v>413</v>
      </c>
      <c r="H211" s="74" t="s">
        <v>446</v>
      </c>
      <c r="I211" s="74" t="s">
        <v>332</v>
      </c>
      <c r="J211" s="74"/>
      <c r="K211" s="84">
        <v>2.5600000000077849</v>
      </c>
      <c r="L211" s="87" t="s">
        <v>155</v>
      </c>
      <c r="M211" s="88">
        <v>2.9600000000000001E-2</v>
      </c>
      <c r="N211" s="88">
        <v>1.310000000005352E-2</v>
      </c>
      <c r="O211" s="84">
        <v>97571.578301000001</v>
      </c>
      <c r="P211" s="86">
        <v>105.32</v>
      </c>
      <c r="Q211" s="74"/>
      <c r="R211" s="84">
        <v>102.76238519500001</v>
      </c>
      <c r="S211" s="85">
        <v>2.3891530801382977E-4</v>
      </c>
      <c r="T211" s="85">
        <f t="shared" si="3"/>
        <v>1.2321837829867629E-3</v>
      </c>
      <c r="U211" s="85">
        <f>R211/'סכום נכסי הקרן'!$C$42</f>
        <v>3.5318571561967805E-4</v>
      </c>
    </row>
    <row r="212" spans="2:21">
      <c r="B212" s="77" t="s">
        <v>606</v>
      </c>
      <c r="C212" s="74">
        <v>1133529</v>
      </c>
      <c r="D212" s="87" t="s">
        <v>111</v>
      </c>
      <c r="E212" s="87" t="s">
        <v>328</v>
      </c>
      <c r="F212" s="74" t="s">
        <v>498</v>
      </c>
      <c r="G212" s="87" t="s">
        <v>410</v>
      </c>
      <c r="H212" s="74" t="s">
        <v>446</v>
      </c>
      <c r="I212" s="74" t="s">
        <v>332</v>
      </c>
      <c r="J212" s="74"/>
      <c r="K212" s="84">
        <v>3.5899999999676715</v>
      </c>
      <c r="L212" s="87" t="s">
        <v>155</v>
      </c>
      <c r="M212" s="88">
        <v>3.85E-2</v>
      </c>
      <c r="N212" s="88">
        <v>2.3399999999848674E-2</v>
      </c>
      <c r="O212" s="84">
        <v>27384.367854</v>
      </c>
      <c r="P212" s="86">
        <v>106.18</v>
      </c>
      <c r="Q212" s="74"/>
      <c r="R212" s="84">
        <v>29.076720865999999</v>
      </c>
      <c r="S212" s="85">
        <v>6.8661583111643781E-5</v>
      </c>
      <c r="T212" s="85">
        <f t="shared" si="3"/>
        <v>3.4864764812077612E-4</v>
      </c>
      <c r="U212" s="85">
        <f>R212/'סכום נכסי הקרן'!$C$42</f>
        <v>9.9934255588216006E-5</v>
      </c>
    </row>
    <row r="213" spans="2:21">
      <c r="B213" s="77" t="s">
        <v>607</v>
      </c>
      <c r="C213" s="74">
        <v>1139815</v>
      </c>
      <c r="D213" s="87" t="s">
        <v>111</v>
      </c>
      <c r="E213" s="87" t="s">
        <v>328</v>
      </c>
      <c r="F213" s="74" t="s">
        <v>498</v>
      </c>
      <c r="G213" s="87" t="s">
        <v>410</v>
      </c>
      <c r="H213" s="74" t="s">
        <v>451</v>
      </c>
      <c r="I213" s="74" t="s">
        <v>151</v>
      </c>
      <c r="J213" s="74"/>
      <c r="K213" s="84">
        <v>4.8899999999984862</v>
      </c>
      <c r="L213" s="87" t="s">
        <v>155</v>
      </c>
      <c r="M213" s="88">
        <v>3.61E-2</v>
      </c>
      <c r="N213" s="88">
        <v>2.0599999999997672E-2</v>
      </c>
      <c r="O213" s="84">
        <v>396414.94178400002</v>
      </c>
      <c r="P213" s="86">
        <v>108.42</v>
      </c>
      <c r="Q213" s="74"/>
      <c r="R213" s="84">
        <v>429.7930666850001</v>
      </c>
      <c r="S213" s="85">
        <v>5.1650155281302934E-4</v>
      </c>
      <c r="T213" s="85">
        <f t="shared" si="3"/>
        <v>5.1534814592370205E-3</v>
      </c>
      <c r="U213" s="85">
        <f>R213/'סכום נכסי הקרן'!$C$42</f>
        <v>1.4771627919833801E-3</v>
      </c>
    </row>
    <row r="214" spans="2:21">
      <c r="B214" s="77" t="s">
        <v>608</v>
      </c>
      <c r="C214" s="74">
        <v>1155522</v>
      </c>
      <c r="D214" s="87" t="s">
        <v>111</v>
      </c>
      <c r="E214" s="87" t="s">
        <v>328</v>
      </c>
      <c r="F214" s="74" t="s">
        <v>498</v>
      </c>
      <c r="G214" s="87" t="s">
        <v>410</v>
      </c>
      <c r="H214" s="74" t="s">
        <v>451</v>
      </c>
      <c r="I214" s="74" t="s">
        <v>151</v>
      </c>
      <c r="J214" s="74"/>
      <c r="K214" s="84">
        <v>5.8300000000105623</v>
      </c>
      <c r="L214" s="87" t="s">
        <v>155</v>
      </c>
      <c r="M214" s="88">
        <v>3.3000000000000002E-2</v>
      </c>
      <c r="N214" s="88">
        <v>2.7100000000060857E-2</v>
      </c>
      <c r="O214" s="84">
        <v>137683.15985299999</v>
      </c>
      <c r="P214" s="86">
        <v>103.83</v>
      </c>
      <c r="Q214" s="74"/>
      <c r="R214" s="84">
        <v>142.956424903</v>
      </c>
      <c r="S214" s="85">
        <v>4.465230824336376E-4</v>
      </c>
      <c r="T214" s="85">
        <f t="shared" si="3"/>
        <v>1.7141348763459051E-3</v>
      </c>
      <c r="U214" s="85">
        <f>R214/'סכום נכסי הקרן'!$C$42</f>
        <v>4.9132926543099997E-4</v>
      </c>
    </row>
    <row r="215" spans="2:21">
      <c r="B215" s="77" t="s">
        <v>609</v>
      </c>
      <c r="C215" s="74">
        <v>1159359</v>
      </c>
      <c r="D215" s="87" t="s">
        <v>111</v>
      </c>
      <c r="E215" s="87" t="s">
        <v>328</v>
      </c>
      <c r="F215" s="74" t="s">
        <v>498</v>
      </c>
      <c r="G215" s="87" t="s">
        <v>410</v>
      </c>
      <c r="H215" s="74" t="s">
        <v>451</v>
      </c>
      <c r="I215" s="74" t="s">
        <v>151</v>
      </c>
      <c r="J215" s="74"/>
      <c r="K215" s="84">
        <v>8.0300000000006992</v>
      </c>
      <c r="L215" s="87" t="s">
        <v>155</v>
      </c>
      <c r="M215" s="88">
        <v>2.6200000000000001E-2</v>
      </c>
      <c r="N215" s="88">
        <v>3.1200000000003857E-2</v>
      </c>
      <c r="O215" s="84">
        <v>425945.98505999998</v>
      </c>
      <c r="P215" s="86">
        <v>97.33</v>
      </c>
      <c r="Q215" s="74"/>
      <c r="R215" s="84">
        <v>414.57321305700003</v>
      </c>
      <c r="S215" s="85">
        <v>5.3243248132499993E-4</v>
      </c>
      <c r="T215" s="85">
        <f t="shared" si="3"/>
        <v>4.9709861153982475E-3</v>
      </c>
      <c r="U215" s="85">
        <f>R215/'סכום נכסי הקרן'!$C$42</f>
        <v>1.4248534291262255E-3</v>
      </c>
    </row>
    <row r="216" spans="2:21">
      <c r="B216" s="77" t="s">
        <v>610</v>
      </c>
      <c r="C216" s="74">
        <v>1136464</v>
      </c>
      <c r="D216" s="87" t="s">
        <v>111</v>
      </c>
      <c r="E216" s="87" t="s">
        <v>328</v>
      </c>
      <c r="F216" s="74" t="s">
        <v>611</v>
      </c>
      <c r="G216" s="87" t="s">
        <v>142</v>
      </c>
      <c r="H216" s="74" t="s">
        <v>451</v>
      </c>
      <c r="I216" s="74" t="s">
        <v>151</v>
      </c>
      <c r="J216" s="74"/>
      <c r="K216" s="84">
        <v>3.1799999999975541</v>
      </c>
      <c r="L216" s="87" t="s">
        <v>155</v>
      </c>
      <c r="M216" s="88">
        <v>2.75E-2</v>
      </c>
      <c r="N216" s="88">
        <v>4.4699999999945839E-2</v>
      </c>
      <c r="O216" s="84">
        <v>120370.890569</v>
      </c>
      <c r="P216" s="86">
        <v>95.08</v>
      </c>
      <c r="Q216" s="74"/>
      <c r="R216" s="84">
        <v>114.44863874599999</v>
      </c>
      <c r="S216" s="85">
        <v>2.9811877317966525E-4</v>
      </c>
      <c r="T216" s="85">
        <f t="shared" si="3"/>
        <v>1.3723091029867725E-3</v>
      </c>
      <c r="U216" s="85">
        <f>R216/'סכום נכסי הקרן'!$C$42</f>
        <v>3.9335039081178088E-4</v>
      </c>
    </row>
    <row r="217" spans="2:21">
      <c r="B217" s="77" t="s">
        <v>612</v>
      </c>
      <c r="C217" s="74">
        <v>1141829</v>
      </c>
      <c r="D217" s="87" t="s">
        <v>111</v>
      </c>
      <c r="E217" s="87" t="s">
        <v>328</v>
      </c>
      <c r="F217" s="74" t="s">
        <v>611</v>
      </c>
      <c r="G217" s="87" t="s">
        <v>142</v>
      </c>
      <c r="H217" s="74" t="s">
        <v>451</v>
      </c>
      <c r="I217" s="74" t="s">
        <v>151</v>
      </c>
      <c r="J217" s="74"/>
      <c r="K217" s="84">
        <v>4.0499999999963991</v>
      </c>
      <c r="L217" s="87" t="s">
        <v>155</v>
      </c>
      <c r="M217" s="88">
        <v>2.3E-2</v>
      </c>
      <c r="N217" s="88">
        <v>2.5299999999960396E-2</v>
      </c>
      <c r="O217" s="84">
        <v>223697.63485599999</v>
      </c>
      <c r="P217" s="86">
        <v>99.34</v>
      </c>
      <c r="Q217" s="74"/>
      <c r="R217" s="84">
        <v>222.22122549600002</v>
      </c>
      <c r="S217" s="85">
        <v>7.4091163850018948E-4</v>
      </c>
      <c r="T217" s="85">
        <f t="shared" si="3"/>
        <v>2.6645682636893347E-3</v>
      </c>
      <c r="U217" s="85">
        <f>R217/'סכום נכסי הקרן'!$C$42</f>
        <v>7.6375574976927831E-4</v>
      </c>
    </row>
    <row r="218" spans="2:21">
      <c r="B218" s="77" t="s">
        <v>613</v>
      </c>
      <c r="C218" s="74">
        <v>1410299</v>
      </c>
      <c r="D218" s="87" t="s">
        <v>111</v>
      </c>
      <c r="E218" s="87" t="s">
        <v>328</v>
      </c>
      <c r="F218" s="74" t="s">
        <v>502</v>
      </c>
      <c r="G218" s="87" t="s">
        <v>147</v>
      </c>
      <c r="H218" s="74" t="s">
        <v>446</v>
      </c>
      <c r="I218" s="74" t="s">
        <v>332</v>
      </c>
      <c r="J218" s="74"/>
      <c r="K218" s="84">
        <v>3.0099999998100984</v>
      </c>
      <c r="L218" s="87" t="s">
        <v>155</v>
      </c>
      <c r="M218" s="88">
        <v>2.7000000000000003E-2</v>
      </c>
      <c r="N218" s="88">
        <v>4.1499999998643559E-2</v>
      </c>
      <c r="O218" s="84">
        <v>5759.5585199999996</v>
      </c>
      <c r="P218" s="86">
        <v>96</v>
      </c>
      <c r="Q218" s="74"/>
      <c r="R218" s="84">
        <v>5.5291762049999997</v>
      </c>
      <c r="S218" s="85">
        <v>3.2500857050093618E-5</v>
      </c>
      <c r="T218" s="85">
        <f t="shared" si="3"/>
        <v>6.6298200846050262E-5</v>
      </c>
      <c r="U218" s="85">
        <f>R218/'סכום נכסי הקרן'!$C$42</f>
        <v>1.9003315766217123E-5</v>
      </c>
    </row>
    <row r="219" spans="2:21">
      <c r="B219" s="77" t="s">
        <v>614</v>
      </c>
      <c r="C219" s="74">
        <v>1132562</v>
      </c>
      <c r="D219" s="87" t="s">
        <v>111</v>
      </c>
      <c r="E219" s="87" t="s">
        <v>328</v>
      </c>
      <c r="F219" s="74" t="s">
        <v>615</v>
      </c>
      <c r="G219" s="87" t="s">
        <v>147</v>
      </c>
      <c r="H219" s="74" t="s">
        <v>509</v>
      </c>
      <c r="I219" s="74" t="s">
        <v>332</v>
      </c>
      <c r="J219" s="74"/>
      <c r="K219" s="84">
        <v>0.80999999998369654</v>
      </c>
      <c r="L219" s="87" t="s">
        <v>155</v>
      </c>
      <c r="M219" s="88">
        <v>3.3000000000000002E-2</v>
      </c>
      <c r="N219" s="88">
        <v>0.24429999999881713</v>
      </c>
      <c r="O219" s="84">
        <v>33520.745344000003</v>
      </c>
      <c r="P219" s="86">
        <v>86</v>
      </c>
      <c r="Q219" s="74"/>
      <c r="R219" s="84">
        <v>28.827839886999996</v>
      </c>
      <c r="S219" s="85">
        <v>1.2698840918610695E-4</v>
      </c>
      <c r="T219" s="85">
        <f t="shared" si="3"/>
        <v>3.456634131243254E-4</v>
      </c>
      <c r="U219" s="85">
        <f>R219/'סכום נכסי הקרן'!$C$42</f>
        <v>9.9078872497356037E-5</v>
      </c>
    </row>
    <row r="220" spans="2:21">
      <c r="B220" s="77" t="s">
        <v>616</v>
      </c>
      <c r="C220" s="74">
        <v>1161678</v>
      </c>
      <c r="D220" s="87" t="s">
        <v>111</v>
      </c>
      <c r="E220" s="87" t="s">
        <v>328</v>
      </c>
      <c r="F220" s="74" t="s">
        <v>508</v>
      </c>
      <c r="G220" s="87" t="s">
        <v>147</v>
      </c>
      <c r="H220" s="74" t="s">
        <v>509</v>
      </c>
      <c r="I220" s="74" t="s">
        <v>332</v>
      </c>
      <c r="J220" s="74"/>
      <c r="K220" s="84">
        <v>2.9699999999966238</v>
      </c>
      <c r="L220" s="87" t="s">
        <v>155</v>
      </c>
      <c r="M220" s="88">
        <v>2.7999999999999997E-2</v>
      </c>
      <c r="N220" s="88">
        <v>0.17770000000010527</v>
      </c>
      <c r="O220" s="84">
        <v>154877.53056700001</v>
      </c>
      <c r="P220" s="86">
        <v>65.02</v>
      </c>
      <c r="Q220" s="74"/>
      <c r="R220" s="84">
        <v>100.70136932200001</v>
      </c>
      <c r="S220" s="85">
        <v>5.8159042646263614E-4</v>
      </c>
      <c r="T220" s="85">
        <f t="shared" si="3"/>
        <v>1.2074709434553533E-3</v>
      </c>
      <c r="U220" s="85">
        <f>R220/'סכום נכסי הקרן'!$C$42</f>
        <v>3.4610217659294441E-4</v>
      </c>
    </row>
    <row r="221" spans="2:21">
      <c r="B221" s="77" t="s">
        <v>617</v>
      </c>
      <c r="C221" s="74">
        <v>1134840</v>
      </c>
      <c r="D221" s="87" t="s">
        <v>111</v>
      </c>
      <c r="E221" s="87" t="s">
        <v>328</v>
      </c>
      <c r="F221" s="74" t="s">
        <v>508</v>
      </c>
      <c r="G221" s="87" t="s">
        <v>147</v>
      </c>
      <c r="H221" s="74" t="s">
        <v>509</v>
      </c>
      <c r="I221" s="74" t="s">
        <v>332</v>
      </c>
      <c r="J221" s="74"/>
      <c r="K221" s="84">
        <v>0.62999999999566558</v>
      </c>
      <c r="L221" s="87" t="s">
        <v>155</v>
      </c>
      <c r="M221" s="88">
        <v>4.2999999999999997E-2</v>
      </c>
      <c r="N221" s="88">
        <v>0.6513000000012571</v>
      </c>
      <c r="O221" s="84">
        <v>46327.636058000004</v>
      </c>
      <c r="P221" s="86">
        <v>74.7</v>
      </c>
      <c r="Q221" s="74"/>
      <c r="R221" s="84">
        <v>34.606745705000002</v>
      </c>
      <c r="S221" s="85">
        <v>3.2090395698855734E-4</v>
      </c>
      <c r="T221" s="85">
        <f t="shared" si="3"/>
        <v>4.1495602460697441E-4</v>
      </c>
      <c r="U221" s="85">
        <f>R221/'סכום נכסי הקרן'!$C$42</f>
        <v>1.1894048803845151E-4</v>
      </c>
    </row>
    <row r="222" spans="2:21">
      <c r="B222" s="77" t="s">
        <v>618</v>
      </c>
      <c r="C222" s="74">
        <v>1138254</v>
      </c>
      <c r="D222" s="87" t="s">
        <v>111</v>
      </c>
      <c r="E222" s="87" t="s">
        <v>328</v>
      </c>
      <c r="F222" s="74" t="s">
        <v>508</v>
      </c>
      <c r="G222" s="87" t="s">
        <v>147</v>
      </c>
      <c r="H222" s="74" t="s">
        <v>509</v>
      </c>
      <c r="I222" s="74" t="s">
        <v>332</v>
      </c>
      <c r="J222" s="74"/>
      <c r="K222" s="84">
        <v>0.95000000000621587</v>
      </c>
      <c r="L222" s="87" t="s">
        <v>155</v>
      </c>
      <c r="M222" s="88">
        <v>4.2500000000000003E-2</v>
      </c>
      <c r="N222" s="88">
        <v>0.34790000000088261</v>
      </c>
      <c r="O222" s="84">
        <v>61876.342019999996</v>
      </c>
      <c r="P222" s="86">
        <v>78</v>
      </c>
      <c r="Q222" s="74"/>
      <c r="R222" s="84">
        <v>48.263547506000002</v>
      </c>
      <c r="S222" s="85">
        <v>1.6470868429164422E-4</v>
      </c>
      <c r="T222" s="85">
        <f t="shared" si="3"/>
        <v>5.7870942206582766E-4</v>
      </c>
      <c r="U222" s="85">
        <f>R222/'סכום נכסי הקרן'!$C$42</f>
        <v>1.6587777261013135E-4</v>
      </c>
    </row>
    <row r="223" spans="2:21">
      <c r="B223" s="77" t="s">
        <v>619</v>
      </c>
      <c r="C223" s="74">
        <v>1140813</v>
      </c>
      <c r="D223" s="87" t="s">
        <v>111</v>
      </c>
      <c r="E223" s="87" t="s">
        <v>328</v>
      </c>
      <c r="F223" s="74" t="s">
        <v>508</v>
      </c>
      <c r="G223" s="87" t="s">
        <v>147</v>
      </c>
      <c r="H223" s="74" t="s">
        <v>509</v>
      </c>
      <c r="I223" s="74" t="s">
        <v>332</v>
      </c>
      <c r="J223" s="74"/>
      <c r="K223" s="84">
        <v>1.3799999999937398</v>
      </c>
      <c r="L223" s="87" t="s">
        <v>155</v>
      </c>
      <c r="M223" s="88">
        <v>3.7000000000000005E-2</v>
      </c>
      <c r="N223" s="88">
        <v>0.2737999999988539</v>
      </c>
      <c r="O223" s="84">
        <v>110163.64440600001</v>
      </c>
      <c r="P223" s="86">
        <v>75.400000000000006</v>
      </c>
      <c r="Q223" s="74"/>
      <c r="R223" s="84">
        <v>83.063392804000003</v>
      </c>
      <c r="S223" s="85">
        <v>5.5685764951065024E-4</v>
      </c>
      <c r="T223" s="85">
        <f t="shared" si="3"/>
        <v>9.9598082877048739E-4</v>
      </c>
      <c r="U223" s="85">
        <f>R223/'סכום נכסי הקרן'!$C$42</f>
        <v>2.8548192778525121E-4</v>
      </c>
    </row>
    <row r="224" spans="2:21">
      <c r="B224" s="77" t="s">
        <v>620</v>
      </c>
      <c r="C224" s="74">
        <v>7390149</v>
      </c>
      <c r="D224" s="87" t="s">
        <v>111</v>
      </c>
      <c r="E224" s="87" t="s">
        <v>328</v>
      </c>
      <c r="F224" s="74" t="s">
        <v>621</v>
      </c>
      <c r="G224" s="87" t="s">
        <v>547</v>
      </c>
      <c r="H224" s="74" t="s">
        <v>506</v>
      </c>
      <c r="I224" s="74" t="s">
        <v>151</v>
      </c>
      <c r="J224" s="74"/>
      <c r="K224" s="84">
        <v>3.0599999999407483</v>
      </c>
      <c r="L224" s="87" t="s">
        <v>155</v>
      </c>
      <c r="M224" s="88">
        <v>3.7499999999999999E-2</v>
      </c>
      <c r="N224" s="88">
        <v>2.1799999999510534E-2</v>
      </c>
      <c r="O224" s="84">
        <v>29348.861534000003</v>
      </c>
      <c r="P224" s="86">
        <v>105.81</v>
      </c>
      <c r="Q224" s="74"/>
      <c r="R224" s="84">
        <v>31.054030363999996</v>
      </c>
      <c r="S224" s="85">
        <v>6.3642578155591746E-5</v>
      </c>
      <c r="T224" s="85">
        <f t="shared" si="3"/>
        <v>3.723567970740435E-4</v>
      </c>
      <c r="U224" s="85">
        <f>R224/'סכום נכסי הקרן'!$C$42</f>
        <v>1.0673010281118115E-4</v>
      </c>
    </row>
    <row r="225" spans="2:21">
      <c r="B225" s="77" t="s">
        <v>622</v>
      </c>
      <c r="C225" s="74">
        <v>7390222</v>
      </c>
      <c r="D225" s="87" t="s">
        <v>111</v>
      </c>
      <c r="E225" s="87" t="s">
        <v>328</v>
      </c>
      <c r="F225" s="74" t="s">
        <v>621</v>
      </c>
      <c r="G225" s="87" t="s">
        <v>547</v>
      </c>
      <c r="H225" s="74" t="s">
        <v>509</v>
      </c>
      <c r="I225" s="74" t="s">
        <v>332</v>
      </c>
      <c r="J225" s="74"/>
      <c r="K225" s="84">
        <v>6.0100000000116003</v>
      </c>
      <c r="L225" s="87" t="s">
        <v>155</v>
      </c>
      <c r="M225" s="88">
        <v>3.7499999999999999E-2</v>
      </c>
      <c r="N225" s="88">
        <v>2.4300000000034488E-2</v>
      </c>
      <c r="O225" s="84">
        <v>146319.89729399999</v>
      </c>
      <c r="P225" s="86">
        <v>109</v>
      </c>
      <c r="Q225" s="74"/>
      <c r="R225" s="84">
        <v>159.488692915</v>
      </c>
      <c r="S225" s="85">
        <v>3.9545918187567568E-4</v>
      </c>
      <c r="T225" s="85">
        <f t="shared" si="3"/>
        <v>1.9123668704916421E-3</v>
      </c>
      <c r="U225" s="85">
        <f>R225/'סכום נכסי הקרן'!$C$42</f>
        <v>5.481492866630357E-4</v>
      </c>
    </row>
    <row r="226" spans="2:21">
      <c r="B226" s="77" t="s">
        <v>623</v>
      </c>
      <c r="C226" s="74">
        <v>1141647</v>
      </c>
      <c r="D226" s="87" t="s">
        <v>111</v>
      </c>
      <c r="E226" s="87" t="s">
        <v>328</v>
      </c>
      <c r="F226" s="74" t="s">
        <v>624</v>
      </c>
      <c r="G226" s="87" t="s">
        <v>142</v>
      </c>
      <c r="H226" s="74" t="s">
        <v>509</v>
      </c>
      <c r="I226" s="74" t="s">
        <v>332</v>
      </c>
      <c r="J226" s="74"/>
      <c r="K226" s="84">
        <v>1.6500000000741877</v>
      </c>
      <c r="L226" s="87" t="s">
        <v>155</v>
      </c>
      <c r="M226" s="88">
        <v>3.4000000000000002E-2</v>
      </c>
      <c r="N226" s="88">
        <v>5.640000000224684E-2</v>
      </c>
      <c r="O226" s="84">
        <v>9723.3611110000002</v>
      </c>
      <c r="P226" s="86">
        <v>97.04</v>
      </c>
      <c r="Q226" s="74"/>
      <c r="R226" s="84">
        <v>9.4355492419999987</v>
      </c>
      <c r="S226" s="85">
        <v>1.9709550217301629E-5</v>
      </c>
      <c r="T226" s="85">
        <f t="shared" si="3"/>
        <v>1.1313800022745219E-4</v>
      </c>
      <c r="U226" s="85">
        <f>R226/'סכום נכסי הקרן'!$C$42</f>
        <v>3.2429192889760077E-5</v>
      </c>
    </row>
    <row r="227" spans="2:21">
      <c r="B227" s="77" t="s">
        <v>625</v>
      </c>
      <c r="C227" s="74">
        <v>1133891</v>
      </c>
      <c r="D227" s="87" t="s">
        <v>111</v>
      </c>
      <c r="E227" s="87" t="s">
        <v>328</v>
      </c>
      <c r="F227" s="74" t="s">
        <v>626</v>
      </c>
      <c r="G227" s="87" t="s">
        <v>1275</v>
      </c>
      <c r="H227" s="74" t="s">
        <v>506</v>
      </c>
      <c r="I227" s="74" t="s">
        <v>151</v>
      </c>
      <c r="J227" s="74"/>
      <c r="K227" s="84">
        <v>1.9700000013011421</v>
      </c>
      <c r="L227" s="87" t="s">
        <v>155</v>
      </c>
      <c r="M227" s="88">
        <v>6.7500000000000004E-2</v>
      </c>
      <c r="N227" s="88">
        <v>6.0400000067278581E-2</v>
      </c>
      <c r="O227" s="84">
        <v>307.60226399999999</v>
      </c>
      <c r="P227" s="86">
        <v>102.44</v>
      </c>
      <c r="Q227" s="74"/>
      <c r="R227" s="84">
        <v>0.31510774699999999</v>
      </c>
      <c r="S227" s="85">
        <v>4.6157762701450269E-7</v>
      </c>
      <c r="T227" s="85">
        <f t="shared" si="3"/>
        <v>3.7783344071872259E-6</v>
      </c>
      <c r="U227" s="85">
        <f>R227/'סכום נכסי הקרן'!$C$42</f>
        <v>1.0829989485969467E-6</v>
      </c>
    </row>
    <row r="228" spans="2:21">
      <c r="B228" s="77" t="s">
        <v>627</v>
      </c>
      <c r="C228" s="74">
        <v>2380046</v>
      </c>
      <c r="D228" s="87" t="s">
        <v>111</v>
      </c>
      <c r="E228" s="87" t="s">
        <v>328</v>
      </c>
      <c r="F228" s="74" t="s">
        <v>628</v>
      </c>
      <c r="G228" s="87" t="s">
        <v>147</v>
      </c>
      <c r="H228" s="74" t="s">
        <v>509</v>
      </c>
      <c r="I228" s="74" t="s">
        <v>332</v>
      </c>
      <c r="J228" s="74"/>
      <c r="K228" s="84">
        <v>2.3300000000026286</v>
      </c>
      <c r="L228" s="87" t="s">
        <v>155</v>
      </c>
      <c r="M228" s="88">
        <v>2.9500000000000002E-2</v>
      </c>
      <c r="N228" s="88">
        <v>5.5700000000054602E-2</v>
      </c>
      <c r="O228" s="84">
        <v>104103.47829299999</v>
      </c>
      <c r="P228" s="86">
        <v>95</v>
      </c>
      <c r="Q228" s="74"/>
      <c r="R228" s="84">
        <v>98.898304378000006</v>
      </c>
      <c r="S228" s="85">
        <v>5.822368269837718E-4</v>
      </c>
      <c r="T228" s="85">
        <f t="shared" si="3"/>
        <v>1.1858510931623415E-3</v>
      </c>
      <c r="U228" s="85">
        <f>R228/'סכום נכסי הקרן'!$C$42</f>
        <v>3.3990519331597021E-4</v>
      </c>
    </row>
    <row r="229" spans="2:21">
      <c r="B229" s="77" t="s">
        <v>629</v>
      </c>
      <c r="C229" s="74">
        <v>1143411</v>
      </c>
      <c r="D229" s="87" t="s">
        <v>111</v>
      </c>
      <c r="E229" s="87" t="s">
        <v>328</v>
      </c>
      <c r="F229" s="74" t="s">
        <v>487</v>
      </c>
      <c r="G229" s="87" t="s">
        <v>410</v>
      </c>
      <c r="H229" s="74" t="s">
        <v>506</v>
      </c>
      <c r="I229" s="74" t="s">
        <v>151</v>
      </c>
      <c r="J229" s="74"/>
      <c r="K229" s="84">
        <v>7.970000000008949</v>
      </c>
      <c r="L229" s="87" t="s">
        <v>155</v>
      </c>
      <c r="M229" s="88">
        <v>3.4300000000000004E-2</v>
      </c>
      <c r="N229" s="88">
        <v>3.0000000000051433E-2</v>
      </c>
      <c r="O229" s="84">
        <v>186061.478989</v>
      </c>
      <c r="P229" s="86">
        <v>104.5</v>
      </c>
      <c r="Q229" s="74"/>
      <c r="R229" s="84">
        <v>194.43424555799999</v>
      </c>
      <c r="S229" s="85">
        <v>7.3287174645107918E-4</v>
      </c>
      <c r="T229" s="85">
        <f t="shared" si="3"/>
        <v>2.3313853972853336E-3</v>
      </c>
      <c r="U229" s="85">
        <f>R229/'סכום נכסי הקרן'!$C$42</f>
        <v>6.6825422578567885E-4</v>
      </c>
    </row>
    <row r="230" spans="2:21">
      <c r="B230" s="77" t="s">
        <v>630</v>
      </c>
      <c r="C230" s="74">
        <v>1147495</v>
      </c>
      <c r="D230" s="87" t="s">
        <v>111</v>
      </c>
      <c r="E230" s="87" t="s">
        <v>328</v>
      </c>
      <c r="F230" s="74" t="s">
        <v>631</v>
      </c>
      <c r="G230" s="87" t="s">
        <v>1275</v>
      </c>
      <c r="H230" s="74" t="s">
        <v>509</v>
      </c>
      <c r="I230" s="74" t="s">
        <v>332</v>
      </c>
      <c r="J230" s="74"/>
      <c r="K230" s="84">
        <v>4.1200000000078782</v>
      </c>
      <c r="L230" s="87" t="s">
        <v>155</v>
      </c>
      <c r="M230" s="88">
        <v>3.9E-2</v>
      </c>
      <c r="N230" s="88">
        <v>4.1600000000067541E-2</v>
      </c>
      <c r="O230" s="84">
        <v>177003.09237</v>
      </c>
      <c r="P230" s="86">
        <v>100.39</v>
      </c>
      <c r="Q230" s="74"/>
      <c r="R230" s="84">
        <v>177.69340442999999</v>
      </c>
      <c r="S230" s="85">
        <v>4.2054477979994772E-4</v>
      </c>
      <c r="T230" s="85">
        <f t="shared" ref="T230:T254" si="4">R230/$R$11</f>
        <v>2.1306524840473185E-3</v>
      </c>
      <c r="U230" s="85">
        <f>R230/'סכום נכסי הקרן'!$C$42</f>
        <v>6.1071735621372083E-4</v>
      </c>
    </row>
    <row r="231" spans="2:21">
      <c r="B231" s="77" t="s">
        <v>632</v>
      </c>
      <c r="C231" s="74">
        <v>1118835</v>
      </c>
      <c r="D231" s="87" t="s">
        <v>111</v>
      </c>
      <c r="E231" s="87" t="s">
        <v>328</v>
      </c>
      <c r="F231" s="74" t="s">
        <v>633</v>
      </c>
      <c r="G231" s="87" t="s">
        <v>182</v>
      </c>
      <c r="H231" s="74" t="s">
        <v>509</v>
      </c>
      <c r="I231" s="74" t="s">
        <v>332</v>
      </c>
      <c r="J231" s="74"/>
      <c r="K231" s="84">
        <v>1.2300000000039684</v>
      </c>
      <c r="L231" s="87" t="s">
        <v>155</v>
      </c>
      <c r="M231" s="88">
        <v>1.44E-2</v>
      </c>
      <c r="N231" s="88">
        <v>2.7400000000052903E-2</v>
      </c>
      <c r="O231" s="84">
        <v>76812.723010999995</v>
      </c>
      <c r="P231" s="86">
        <v>98.42</v>
      </c>
      <c r="Q231" s="74"/>
      <c r="R231" s="84">
        <v>75.599081990000002</v>
      </c>
      <c r="S231" s="85">
        <v>3.5161516149188302E-4</v>
      </c>
      <c r="T231" s="85">
        <f t="shared" si="4"/>
        <v>9.0647918165777483E-4</v>
      </c>
      <c r="U231" s="85">
        <f>R231/'סכום נכסי הקרן'!$C$42</f>
        <v>2.5982771635907885E-4</v>
      </c>
    </row>
    <row r="232" spans="2:21">
      <c r="B232" s="77" t="s">
        <v>634</v>
      </c>
      <c r="C232" s="74">
        <v>1141415</v>
      </c>
      <c r="D232" s="87" t="s">
        <v>111</v>
      </c>
      <c r="E232" s="87" t="s">
        <v>328</v>
      </c>
      <c r="F232" s="74" t="s">
        <v>633</v>
      </c>
      <c r="G232" s="87" t="s">
        <v>182</v>
      </c>
      <c r="H232" s="74" t="s">
        <v>509</v>
      </c>
      <c r="I232" s="74" t="s">
        <v>332</v>
      </c>
      <c r="J232" s="74"/>
      <c r="K232" s="84">
        <v>2.1700000000033617</v>
      </c>
      <c r="L232" s="87" t="s">
        <v>155</v>
      </c>
      <c r="M232" s="88">
        <v>2.1600000000000001E-2</v>
      </c>
      <c r="N232" s="88">
        <v>1.6000000000024904E-2</v>
      </c>
      <c r="O232" s="84">
        <v>394481.78023099998</v>
      </c>
      <c r="P232" s="86">
        <v>101.8</v>
      </c>
      <c r="Q232" s="74"/>
      <c r="R232" s="84">
        <v>401.58245224500001</v>
      </c>
      <c r="S232" s="85">
        <v>3.8645018601504922E-4</v>
      </c>
      <c r="T232" s="85">
        <f t="shared" si="4"/>
        <v>4.8152189563270388E-3</v>
      </c>
      <c r="U232" s="85">
        <f>R232/'סכום נכסי הקרן'!$C$42</f>
        <v>1.3802052716790827E-3</v>
      </c>
    </row>
    <row r="233" spans="2:21">
      <c r="B233" s="77" t="s">
        <v>635</v>
      </c>
      <c r="C233" s="74">
        <v>1150812</v>
      </c>
      <c r="D233" s="87" t="s">
        <v>111</v>
      </c>
      <c r="E233" s="87" t="s">
        <v>328</v>
      </c>
      <c r="F233" s="74" t="s">
        <v>636</v>
      </c>
      <c r="G233" s="87" t="s">
        <v>637</v>
      </c>
      <c r="H233" s="74" t="s">
        <v>506</v>
      </c>
      <c r="I233" s="74" t="s">
        <v>151</v>
      </c>
      <c r="J233" s="74"/>
      <c r="K233" s="84">
        <v>2.9600000000386801</v>
      </c>
      <c r="L233" s="87" t="s">
        <v>155</v>
      </c>
      <c r="M233" s="88">
        <v>3.2500000000000001E-2</v>
      </c>
      <c r="N233" s="88">
        <v>0.19950000000169227</v>
      </c>
      <c r="O233" s="84">
        <v>29897.477568999999</v>
      </c>
      <c r="P233" s="86">
        <v>62.26</v>
      </c>
      <c r="Q233" s="74"/>
      <c r="R233" s="84">
        <v>18.614169542999999</v>
      </c>
      <c r="S233" s="85">
        <v>4.0862081666821563E-5</v>
      </c>
      <c r="T233" s="85">
        <f t="shared" si="4"/>
        <v>2.2319526547702879E-4</v>
      </c>
      <c r="U233" s="85">
        <f>R233/'סכום נכסי הקרן'!$C$42</f>
        <v>6.3975342516965497E-5</v>
      </c>
    </row>
    <row r="234" spans="2:21">
      <c r="B234" s="77" t="s">
        <v>638</v>
      </c>
      <c r="C234" s="74">
        <v>1161785</v>
      </c>
      <c r="D234" s="87" t="s">
        <v>111</v>
      </c>
      <c r="E234" s="87" t="s">
        <v>328</v>
      </c>
      <c r="F234" s="74" t="s">
        <v>636</v>
      </c>
      <c r="G234" s="87" t="s">
        <v>637</v>
      </c>
      <c r="H234" s="74" t="s">
        <v>506</v>
      </c>
      <c r="I234" s="74" t="s">
        <v>151</v>
      </c>
      <c r="J234" s="74"/>
      <c r="K234" s="84">
        <v>4.6899999999791175</v>
      </c>
      <c r="L234" s="87" t="s">
        <v>155</v>
      </c>
      <c r="M234" s="88">
        <v>2.1600000000000001E-2</v>
      </c>
      <c r="N234" s="88">
        <v>0.13359999999950337</v>
      </c>
      <c r="O234" s="84">
        <v>151083.25</v>
      </c>
      <c r="P234" s="86">
        <v>58.64</v>
      </c>
      <c r="Q234" s="74"/>
      <c r="R234" s="84">
        <v>88.595214264999996</v>
      </c>
      <c r="S234" s="85">
        <v>6.5969168766183016E-4</v>
      </c>
      <c r="T234" s="85">
        <f t="shared" si="4"/>
        <v>1.0623107478521436E-3</v>
      </c>
      <c r="U234" s="85">
        <f>R234/'סכום נכסי הקרן'!$C$42</f>
        <v>3.0449433507490444E-4</v>
      </c>
    </row>
    <row r="235" spans="2:21">
      <c r="B235" s="77" t="s">
        <v>639</v>
      </c>
      <c r="C235" s="74">
        <v>1139591</v>
      </c>
      <c r="D235" s="87" t="s">
        <v>111</v>
      </c>
      <c r="E235" s="87" t="s">
        <v>328</v>
      </c>
      <c r="F235" s="74" t="s">
        <v>611</v>
      </c>
      <c r="G235" s="87" t="s">
        <v>142</v>
      </c>
      <c r="H235" s="74" t="s">
        <v>506</v>
      </c>
      <c r="I235" s="74" t="s">
        <v>151</v>
      </c>
      <c r="J235" s="74"/>
      <c r="K235" s="84">
        <v>2.0499999999952303</v>
      </c>
      <c r="L235" s="87" t="s">
        <v>155</v>
      </c>
      <c r="M235" s="88">
        <v>2.4E-2</v>
      </c>
      <c r="N235" s="88">
        <v>5.8099999999831481E-2</v>
      </c>
      <c r="O235" s="84">
        <v>67167.508199000004</v>
      </c>
      <c r="P235" s="86">
        <v>93.65</v>
      </c>
      <c r="Q235" s="74"/>
      <c r="R235" s="84">
        <v>62.902371425999995</v>
      </c>
      <c r="S235" s="85">
        <v>2.2457321531611511E-4</v>
      </c>
      <c r="T235" s="85">
        <f t="shared" si="4"/>
        <v>7.5423786471529182E-4</v>
      </c>
      <c r="U235" s="85">
        <f>R235/'סכום נכסי הקרן'!$C$42</f>
        <v>2.1619018499920481E-4</v>
      </c>
    </row>
    <row r="236" spans="2:21">
      <c r="B236" s="77" t="s">
        <v>640</v>
      </c>
      <c r="C236" s="74">
        <v>1141951</v>
      </c>
      <c r="D236" s="87" t="s">
        <v>111</v>
      </c>
      <c r="E236" s="87" t="s">
        <v>328</v>
      </c>
      <c r="F236" s="74" t="s">
        <v>641</v>
      </c>
      <c r="G236" s="87" t="s">
        <v>642</v>
      </c>
      <c r="H236" s="74" t="s">
        <v>509</v>
      </c>
      <c r="I236" s="74" t="s">
        <v>332</v>
      </c>
      <c r="J236" s="74"/>
      <c r="K236" s="84">
        <v>4.9000000000161057</v>
      </c>
      <c r="L236" s="87" t="s">
        <v>155</v>
      </c>
      <c r="M236" s="88">
        <v>2.6200000000000001E-2</v>
      </c>
      <c r="N236" s="88">
        <v>1.850000000006902E-2</v>
      </c>
      <c r="O236" s="84">
        <v>83224.124230000001</v>
      </c>
      <c r="P236" s="86">
        <v>104.45</v>
      </c>
      <c r="Q236" s="74"/>
      <c r="R236" s="84">
        <v>86.927596843999993</v>
      </c>
      <c r="S236" s="85">
        <v>1.7263161387090042E-4</v>
      </c>
      <c r="T236" s="85">
        <f t="shared" si="4"/>
        <v>1.0423149961139638E-3</v>
      </c>
      <c r="U236" s="85">
        <f>R236/'סכום נכסי הקרן'!$C$42</f>
        <v>2.9876287359609493E-4</v>
      </c>
    </row>
    <row r="237" spans="2:21">
      <c r="B237" s="77" t="s">
        <v>643</v>
      </c>
      <c r="C237" s="74">
        <v>1136134</v>
      </c>
      <c r="D237" s="87" t="s">
        <v>111</v>
      </c>
      <c r="E237" s="87" t="s">
        <v>328</v>
      </c>
      <c r="F237" s="74" t="s">
        <v>641</v>
      </c>
      <c r="G237" s="87" t="s">
        <v>642</v>
      </c>
      <c r="H237" s="74" t="s">
        <v>509</v>
      </c>
      <c r="I237" s="74" t="s">
        <v>332</v>
      </c>
      <c r="J237" s="74"/>
      <c r="K237" s="84">
        <v>2.8899999999839547</v>
      </c>
      <c r="L237" s="87" t="s">
        <v>155</v>
      </c>
      <c r="M237" s="88">
        <v>3.3500000000000002E-2</v>
      </c>
      <c r="N237" s="88">
        <v>1.4699999999911584E-2</v>
      </c>
      <c r="O237" s="84">
        <v>85503.811472000001</v>
      </c>
      <c r="P237" s="86">
        <v>105.47</v>
      </c>
      <c r="Q237" s="84">
        <v>1.432188864</v>
      </c>
      <c r="R237" s="84">
        <v>91.613058823000003</v>
      </c>
      <c r="S237" s="85">
        <v>2.0738090675017802E-4</v>
      </c>
      <c r="T237" s="85">
        <f t="shared" si="4"/>
        <v>1.0984965479081293E-3</v>
      </c>
      <c r="U237" s="85">
        <f>R237/'סכום נכסי הקרן'!$C$42</f>
        <v>3.1486641419532996E-4</v>
      </c>
    </row>
    <row r="238" spans="2:21">
      <c r="B238" s="77" t="s">
        <v>644</v>
      </c>
      <c r="C238" s="74">
        <v>1115286</v>
      </c>
      <c r="D238" s="87" t="s">
        <v>111</v>
      </c>
      <c r="E238" s="87" t="s">
        <v>328</v>
      </c>
      <c r="F238" s="74" t="s">
        <v>505</v>
      </c>
      <c r="G238" s="87" t="s">
        <v>336</v>
      </c>
      <c r="H238" s="74" t="s">
        <v>519</v>
      </c>
      <c r="I238" s="74" t="s">
        <v>151</v>
      </c>
      <c r="J238" s="74"/>
      <c r="K238" s="84">
        <v>0.44000000000642053</v>
      </c>
      <c r="L238" s="87" t="s">
        <v>155</v>
      </c>
      <c r="M238" s="88">
        <v>2.6200000000000001E-2</v>
      </c>
      <c r="N238" s="88">
        <v>3.269999999910915E-2</v>
      </c>
      <c r="O238" s="84">
        <v>12472.480634</v>
      </c>
      <c r="P238" s="86">
        <v>99.9</v>
      </c>
      <c r="Q238" s="74"/>
      <c r="R238" s="84">
        <v>12.460007993</v>
      </c>
      <c r="S238" s="85">
        <v>1.2921101270097794E-4</v>
      </c>
      <c r="T238" s="85">
        <f t="shared" si="4"/>
        <v>1.4940310849856622E-4</v>
      </c>
      <c r="U238" s="85">
        <f>R238/'סכום נכסי הקרן'!$C$42</f>
        <v>4.2824004437848853E-5</v>
      </c>
    </row>
    <row r="239" spans="2:21">
      <c r="B239" s="77" t="s">
        <v>645</v>
      </c>
      <c r="C239" s="74">
        <v>1140136</v>
      </c>
      <c r="D239" s="87" t="s">
        <v>111</v>
      </c>
      <c r="E239" s="87" t="s">
        <v>328</v>
      </c>
      <c r="F239" s="74" t="s">
        <v>646</v>
      </c>
      <c r="G239" s="87" t="s">
        <v>1275</v>
      </c>
      <c r="H239" s="74" t="s">
        <v>519</v>
      </c>
      <c r="I239" s="74" t="s">
        <v>151</v>
      </c>
      <c r="J239" s="74"/>
      <c r="K239" s="84">
        <v>3.3900000000005286</v>
      </c>
      <c r="L239" s="87" t="s">
        <v>155</v>
      </c>
      <c r="M239" s="88">
        <v>3.95E-2</v>
      </c>
      <c r="N239" s="88">
        <v>0.12150000000009692</v>
      </c>
      <c r="O239" s="84">
        <v>145858.35488699999</v>
      </c>
      <c r="P239" s="86">
        <v>77.8</v>
      </c>
      <c r="Q239" s="74"/>
      <c r="R239" s="84">
        <v>113.47780494600001</v>
      </c>
      <c r="S239" s="85">
        <v>2.4845075069561374E-4</v>
      </c>
      <c r="T239" s="85">
        <f t="shared" si="4"/>
        <v>1.3606682125766735E-3</v>
      </c>
      <c r="U239" s="85">
        <f>R239/'סכום נכסי הקרן'!$C$42</f>
        <v>3.9001371631020997E-4</v>
      </c>
    </row>
    <row r="240" spans="2:21">
      <c r="B240" s="77" t="s">
        <v>647</v>
      </c>
      <c r="C240" s="74">
        <v>1143304</v>
      </c>
      <c r="D240" s="87" t="s">
        <v>111</v>
      </c>
      <c r="E240" s="87" t="s">
        <v>328</v>
      </c>
      <c r="F240" s="74" t="s">
        <v>646</v>
      </c>
      <c r="G240" s="87" t="s">
        <v>1275</v>
      </c>
      <c r="H240" s="74" t="s">
        <v>519</v>
      </c>
      <c r="I240" s="74" t="s">
        <v>151</v>
      </c>
      <c r="J240" s="74"/>
      <c r="K240" s="84">
        <v>3.9200000000075965</v>
      </c>
      <c r="L240" s="87" t="s">
        <v>155</v>
      </c>
      <c r="M240" s="88">
        <v>0.03</v>
      </c>
      <c r="N240" s="88">
        <v>4.2300000000082293E-2</v>
      </c>
      <c r="O240" s="84">
        <v>246833.48648299999</v>
      </c>
      <c r="P240" s="86">
        <v>96</v>
      </c>
      <c r="Q240" s="74"/>
      <c r="R240" s="84">
        <v>236.96013883499998</v>
      </c>
      <c r="S240" s="85">
        <v>3.0092873721317809E-4</v>
      </c>
      <c r="T240" s="85">
        <f t="shared" si="4"/>
        <v>2.841296839624011E-3</v>
      </c>
      <c r="U240" s="85">
        <f>R240/'סכום נכסי הקרן'!$C$42</f>
        <v>8.144121611129146E-4</v>
      </c>
    </row>
    <row r="241" spans="2:21">
      <c r="B241" s="77" t="s">
        <v>648</v>
      </c>
      <c r="C241" s="74">
        <v>1133099</v>
      </c>
      <c r="D241" s="87" t="s">
        <v>111</v>
      </c>
      <c r="E241" s="87" t="s">
        <v>328</v>
      </c>
      <c r="F241" s="74" t="s">
        <v>649</v>
      </c>
      <c r="G241" s="87" t="s">
        <v>410</v>
      </c>
      <c r="H241" s="74" t="s">
        <v>519</v>
      </c>
      <c r="I241" s="74" t="s">
        <v>151</v>
      </c>
      <c r="J241" s="74"/>
      <c r="K241" s="84">
        <v>2.1900000000473798</v>
      </c>
      <c r="L241" s="87" t="s">
        <v>155</v>
      </c>
      <c r="M241" s="88">
        <v>4.3499999999999997E-2</v>
      </c>
      <c r="N241" s="88">
        <v>9.5000000023689798E-3</v>
      </c>
      <c r="O241" s="84">
        <v>388.69489900000002</v>
      </c>
      <c r="P241" s="86">
        <v>108.6</v>
      </c>
      <c r="Q241" s="74"/>
      <c r="R241" s="84">
        <v>0.42212264199999999</v>
      </c>
      <c r="S241" s="85">
        <v>2.2497172565475328E-6</v>
      </c>
      <c r="T241" s="85">
        <f t="shared" si="4"/>
        <v>5.0615083808820976E-6</v>
      </c>
      <c r="U241" s="85">
        <f>R241/'סכום נכסי הקרן'!$C$42</f>
        <v>1.4508001844364854E-6</v>
      </c>
    </row>
    <row r="242" spans="2:21">
      <c r="B242" s="77" t="s">
        <v>650</v>
      </c>
      <c r="C242" s="74">
        <v>1155878</v>
      </c>
      <c r="D242" s="87" t="s">
        <v>111</v>
      </c>
      <c r="E242" s="87" t="s">
        <v>328</v>
      </c>
      <c r="F242" s="74" t="s">
        <v>649</v>
      </c>
      <c r="G242" s="87" t="s">
        <v>410</v>
      </c>
      <c r="H242" s="74" t="s">
        <v>519</v>
      </c>
      <c r="I242" s="74" t="s">
        <v>151</v>
      </c>
      <c r="J242" s="74"/>
      <c r="K242" s="84">
        <v>5.1300000000162154</v>
      </c>
      <c r="L242" s="87" t="s">
        <v>155</v>
      </c>
      <c r="M242" s="88">
        <v>3.27E-2</v>
      </c>
      <c r="N242" s="88">
        <v>3.1900000000142502E-2</v>
      </c>
      <c r="O242" s="84">
        <v>79994.000031000003</v>
      </c>
      <c r="P242" s="86">
        <v>101.76</v>
      </c>
      <c r="Q242" s="74"/>
      <c r="R242" s="84">
        <v>81.401894436000006</v>
      </c>
      <c r="S242" s="85">
        <v>3.5871748892825112E-4</v>
      </c>
      <c r="T242" s="85">
        <f t="shared" si="4"/>
        <v>9.7605844821632151E-4</v>
      </c>
      <c r="U242" s="85">
        <f>R242/'סכום נכסי הקרן'!$C$42</f>
        <v>2.797714969793734E-4</v>
      </c>
    </row>
    <row r="243" spans="2:21">
      <c r="B243" s="77" t="s">
        <v>651</v>
      </c>
      <c r="C243" s="74">
        <v>1161751</v>
      </c>
      <c r="D243" s="87" t="s">
        <v>111</v>
      </c>
      <c r="E243" s="87" t="s">
        <v>328</v>
      </c>
      <c r="F243" s="74" t="s">
        <v>652</v>
      </c>
      <c r="G243" s="87" t="s">
        <v>181</v>
      </c>
      <c r="H243" s="74" t="s">
        <v>519</v>
      </c>
      <c r="I243" s="74" t="s">
        <v>151</v>
      </c>
      <c r="J243" s="74"/>
      <c r="K243" s="84">
        <v>5.6100000000562149</v>
      </c>
      <c r="L243" s="87" t="s">
        <v>155</v>
      </c>
      <c r="M243" s="88">
        <v>2.0499999999999997E-2</v>
      </c>
      <c r="N243" s="88">
        <v>3.0400000000374766E-2</v>
      </c>
      <c r="O243" s="84">
        <v>28064.378454000002</v>
      </c>
      <c r="P243" s="86">
        <v>95.08</v>
      </c>
      <c r="Q243" s="74"/>
      <c r="R243" s="84">
        <v>26.68361165</v>
      </c>
      <c r="S243" s="85">
        <v>6.5651047431680693E-5</v>
      </c>
      <c r="T243" s="85">
        <f t="shared" si="4"/>
        <v>3.1995280650848904E-4</v>
      </c>
      <c r="U243" s="85">
        <f>R243/'סכום נכסי הקרן'!$C$42</f>
        <v>9.1709339541306935E-5</v>
      </c>
    </row>
    <row r="244" spans="2:21">
      <c r="B244" s="77" t="s">
        <v>653</v>
      </c>
      <c r="C244" s="74">
        <v>1132836</v>
      </c>
      <c r="D244" s="87" t="s">
        <v>111</v>
      </c>
      <c r="E244" s="87" t="s">
        <v>328</v>
      </c>
      <c r="F244" s="74" t="s">
        <v>533</v>
      </c>
      <c r="G244" s="87" t="s">
        <v>182</v>
      </c>
      <c r="H244" s="74" t="s">
        <v>525</v>
      </c>
      <c r="I244" s="74" t="s">
        <v>332</v>
      </c>
      <c r="J244" s="74"/>
      <c r="K244" s="84">
        <v>2.6900000000007123</v>
      </c>
      <c r="L244" s="87" t="s">
        <v>155</v>
      </c>
      <c r="M244" s="88">
        <v>4.1399999999999999E-2</v>
      </c>
      <c r="N244" s="88">
        <v>3.5300000000060047E-2</v>
      </c>
      <c r="O244" s="84">
        <v>95689.444934999992</v>
      </c>
      <c r="P244" s="86">
        <v>102.69</v>
      </c>
      <c r="Q244" s="74"/>
      <c r="R244" s="84">
        <v>98.263490997000005</v>
      </c>
      <c r="S244" s="85">
        <v>1.4876906763631721E-4</v>
      </c>
      <c r="T244" s="85">
        <f t="shared" si="4"/>
        <v>1.1782392928736765E-3</v>
      </c>
      <c r="U244" s="85">
        <f>R244/'סכום נכסי הקרן'!$C$42</f>
        <v>3.3772339286604894E-4</v>
      </c>
    </row>
    <row r="245" spans="2:21">
      <c r="B245" s="77" t="s">
        <v>654</v>
      </c>
      <c r="C245" s="74">
        <v>1143080</v>
      </c>
      <c r="D245" s="87" t="s">
        <v>111</v>
      </c>
      <c r="E245" s="87" t="s">
        <v>328</v>
      </c>
      <c r="F245" s="74" t="s">
        <v>533</v>
      </c>
      <c r="G245" s="87" t="s">
        <v>182</v>
      </c>
      <c r="H245" s="74" t="s">
        <v>525</v>
      </c>
      <c r="I245" s="74" t="s">
        <v>332</v>
      </c>
      <c r="J245" s="74"/>
      <c r="K245" s="84">
        <v>5.059999999994429</v>
      </c>
      <c r="L245" s="87" t="s">
        <v>155</v>
      </c>
      <c r="M245" s="88">
        <v>2.5000000000000001E-2</v>
      </c>
      <c r="N245" s="88">
        <v>4.1299999999961569E-2</v>
      </c>
      <c r="O245" s="84">
        <v>305546.54957700003</v>
      </c>
      <c r="P245" s="86">
        <v>92.81</v>
      </c>
      <c r="Q245" s="74"/>
      <c r="R245" s="84">
        <v>283.57774589299999</v>
      </c>
      <c r="S245" s="85">
        <v>5.0672866913727284E-4</v>
      </c>
      <c r="T245" s="85">
        <f t="shared" si="4"/>
        <v>3.4002704301018595E-3</v>
      </c>
      <c r="U245" s="85">
        <f>R245/'סכום נכסי הקרן'!$C$42</f>
        <v>9.7463297418584616E-4</v>
      </c>
    </row>
    <row r="246" spans="2:21">
      <c r="B246" s="77" t="s">
        <v>655</v>
      </c>
      <c r="C246" s="74">
        <v>1139252</v>
      </c>
      <c r="D246" s="87" t="s">
        <v>111</v>
      </c>
      <c r="E246" s="87" t="s">
        <v>328</v>
      </c>
      <c r="F246" s="74" t="s">
        <v>533</v>
      </c>
      <c r="G246" s="87" t="s">
        <v>182</v>
      </c>
      <c r="H246" s="74" t="s">
        <v>525</v>
      </c>
      <c r="I246" s="74" t="s">
        <v>332</v>
      </c>
      <c r="J246" s="74"/>
      <c r="K246" s="84">
        <v>3.6399999999873436</v>
      </c>
      <c r="L246" s="87" t="s">
        <v>155</v>
      </c>
      <c r="M246" s="88">
        <v>3.5499999999999997E-2</v>
      </c>
      <c r="N246" s="88">
        <v>3.9299999999874942E-2</v>
      </c>
      <c r="O246" s="84">
        <v>133258.84400300001</v>
      </c>
      <c r="P246" s="86">
        <v>99.61</v>
      </c>
      <c r="Q246" s="74"/>
      <c r="R246" s="84">
        <v>132.73912856199999</v>
      </c>
      <c r="S246" s="85">
        <v>1.8752106429329303E-4</v>
      </c>
      <c r="T246" s="85">
        <f t="shared" si="4"/>
        <v>1.5916232507792111E-3</v>
      </c>
      <c r="U246" s="85">
        <f>R246/'סכום נכסי הקרן'!$C$42</f>
        <v>4.562132732024546E-4</v>
      </c>
    </row>
    <row r="247" spans="2:21">
      <c r="B247" s="77" t="s">
        <v>656</v>
      </c>
      <c r="C247" s="74">
        <v>1141589</v>
      </c>
      <c r="D247" s="87" t="s">
        <v>111</v>
      </c>
      <c r="E247" s="87" t="s">
        <v>328</v>
      </c>
      <c r="F247" s="74" t="s">
        <v>657</v>
      </c>
      <c r="G247" s="87" t="s">
        <v>413</v>
      </c>
      <c r="H247" s="74" t="s">
        <v>536</v>
      </c>
      <c r="I247" s="74" t="s">
        <v>151</v>
      </c>
      <c r="J247" s="74"/>
      <c r="K247" s="84">
        <v>5.1000000000093362</v>
      </c>
      <c r="L247" s="87" t="s">
        <v>155</v>
      </c>
      <c r="M247" s="88">
        <v>4.4500000000000005E-2</v>
      </c>
      <c r="N247" s="88">
        <v>3.000000000005492E-2</v>
      </c>
      <c r="O247" s="84">
        <v>167480.867876</v>
      </c>
      <c r="P247" s="86">
        <v>108.72</v>
      </c>
      <c r="Q247" s="74"/>
      <c r="R247" s="84">
        <v>182.085201423</v>
      </c>
      <c r="S247" s="85">
        <v>5.8536820502460576E-4</v>
      </c>
      <c r="T247" s="85">
        <f t="shared" si="4"/>
        <v>2.1833128132395215E-3</v>
      </c>
      <c r="U247" s="85">
        <f>R247/'סכום נכסי הקרן'!$C$42</f>
        <v>6.258115948389307E-4</v>
      </c>
    </row>
    <row r="248" spans="2:21">
      <c r="B248" s="77" t="s">
        <v>658</v>
      </c>
      <c r="C248" s="74">
        <v>7200173</v>
      </c>
      <c r="D248" s="87" t="s">
        <v>111</v>
      </c>
      <c r="E248" s="87" t="s">
        <v>328</v>
      </c>
      <c r="F248" s="74" t="s">
        <v>659</v>
      </c>
      <c r="G248" s="87" t="s">
        <v>181</v>
      </c>
      <c r="H248" s="74" t="s">
        <v>536</v>
      </c>
      <c r="I248" s="74" t="s">
        <v>151</v>
      </c>
      <c r="J248" s="74"/>
      <c r="K248" s="84">
        <v>4.36999999992124</v>
      </c>
      <c r="L248" s="87" t="s">
        <v>155</v>
      </c>
      <c r="M248" s="88">
        <v>3.4500000000000003E-2</v>
      </c>
      <c r="N248" s="88">
        <v>2.659999999937725E-2</v>
      </c>
      <c r="O248" s="84">
        <v>26298.931396</v>
      </c>
      <c r="P248" s="86">
        <v>103.8</v>
      </c>
      <c r="Q248" s="74"/>
      <c r="R248" s="84">
        <v>27.298289895000003</v>
      </c>
      <c r="S248" s="85">
        <v>1.1846365493693694E-4</v>
      </c>
      <c r="T248" s="85">
        <f t="shared" si="4"/>
        <v>3.2732317421459617E-4</v>
      </c>
      <c r="U248" s="85">
        <f>R248/'סכום נכסי הקרן'!$C$42</f>
        <v>9.3821937214319466E-5</v>
      </c>
    </row>
    <row r="249" spans="2:21">
      <c r="B249" s="77" t="s">
        <v>660</v>
      </c>
      <c r="C249" s="74">
        <v>2590362</v>
      </c>
      <c r="D249" s="87" t="s">
        <v>111</v>
      </c>
      <c r="E249" s="87" t="s">
        <v>328</v>
      </c>
      <c r="F249" s="74" t="s">
        <v>540</v>
      </c>
      <c r="G249" s="87" t="s">
        <v>413</v>
      </c>
      <c r="H249" s="74" t="s">
        <v>541</v>
      </c>
      <c r="I249" s="74" t="s">
        <v>332</v>
      </c>
      <c r="J249" s="74"/>
      <c r="K249" s="84">
        <v>1.2</v>
      </c>
      <c r="L249" s="87" t="s">
        <v>155</v>
      </c>
      <c r="M249" s="88">
        <v>0.06</v>
      </c>
      <c r="N249" s="88">
        <v>6.1600000000021138E-2</v>
      </c>
      <c r="O249" s="84">
        <v>93308.632083000004</v>
      </c>
      <c r="P249" s="86">
        <v>101.4</v>
      </c>
      <c r="Q249" s="74"/>
      <c r="R249" s="84">
        <v>94.614949804999995</v>
      </c>
      <c r="S249" s="85">
        <v>3.4110385502723753E-4</v>
      </c>
      <c r="T249" s="85">
        <f t="shared" si="4"/>
        <v>1.1344910548407553E-3</v>
      </c>
      <c r="U249" s="85">
        <f>R249/'סכום נכסי הקרן'!$C$42</f>
        <v>3.2518366221052605E-4</v>
      </c>
    </row>
    <row r="250" spans="2:21">
      <c r="B250" s="77" t="s">
        <v>661</v>
      </c>
      <c r="C250" s="74">
        <v>2590388</v>
      </c>
      <c r="D250" s="87" t="s">
        <v>111</v>
      </c>
      <c r="E250" s="87" t="s">
        <v>328</v>
      </c>
      <c r="F250" s="74" t="s">
        <v>540</v>
      </c>
      <c r="G250" s="87" t="s">
        <v>413</v>
      </c>
      <c r="H250" s="74" t="s">
        <v>541</v>
      </c>
      <c r="I250" s="74" t="s">
        <v>332</v>
      </c>
      <c r="J250" s="74"/>
      <c r="K250" s="84">
        <v>2.5099999999984353</v>
      </c>
      <c r="L250" s="87" t="s">
        <v>155</v>
      </c>
      <c r="M250" s="88">
        <v>5.9000000000000004E-2</v>
      </c>
      <c r="N250" s="88">
        <v>4.230000000042252E-2</v>
      </c>
      <c r="O250" s="84">
        <v>12080.998608</v>
      </c>
      <c r="P250" s="86">
        <v>105.79</v>
      </c>
      <c r="Q250" s="74"/>
      <c r="R250" s="84">
        <v>12.780488402</v>
      </c>
      <c r="S250" s="85">
        <v>1.4299044177257746E-5</v>
      </c>
      <c r="T250" s="85">
        <f t="shared" si="4"/>
        <v>1.5324586440565642E-4</v>
      </c>
      <c r="U250" s="85">
        <f>R250/'סכום נכסי הקרן'!$C$42</f>
        <v>4.3925468775991322E-5</v>
      </c>
    </row>
    <row r="251" spans="2:21">
      <c r="B251" s="77" t="s">
        <v>662</v>
      </c>
      <c r="C251" s="74">
        <v>2590511</v>
      </c>
      <c r="D251" s="87" t="s">
        <v>111</v>
      </c>
      <c r="E251" s="87" t="s">
        <v>328</v>
      </c>
      <c r="F251" s="74" t="s">
        <v>540</v>
      </c>
      <c r="G251" s="87" t="s">
        <v>413</v>
      </c>
      <c r="H251" s="74" t="s">
        <v>541</v>
      </c>
      <c r="I251" s="74" t="s">
        <v>332</v>
      </c>
      <c r="J251" s="74"/>
      <c r="K251" s="84">
        <v>5.2999999999420817</v>
      </c>
      <c r="L251" s="87" t="s">
        <v>155</v>
      </c>
      <c r="M251" s="88">
        <v>2.7000000000000003E-2</v>
      </c>
      <c r="N251" s="88">
        <v>5.6299999999238785E-2</v>
      </c>
      <c r="O251" s="84">
        <v>28107.011125000005</v>
      </c>
      <c r="P251" s="86">
        <v>86</v>
      </c>
      <c r="Q251" s="74"/>
      <c r="R251" s="84">
        <v>24.172029568000003</v>
      </c>
      <c r="S251" s="85">
        <v>4.0145990865851577E-5</v>
      </c>
      <c r="T251" s="85">
        <f t="shared" si="4"/>
        <v>2.8983740284976677E-4</v>
      </c>
      <c r="U251" s="85">
        <f>R251/'סכום נכסי הקרן'!$C$42</f>
        <v>8.3077242171384364E-5</v>
      </c>
    </row>
    <row r="252" spans="2:21">
      <c r="B252" s="77" t="s">
        <v>663</v>
      </c>
      <c r="C252" s="74">
        <v>1137314</v>
      </c>
      <c r="D252" s="87" t="s">
        <v>111</v>
      </c>
      <c r="E252" s="87" t="s">
        <v>328</v>
      </c>
      <c r="F252" s="74" t="s">
        <v>664</v>
      </c>
      <c r="G252" s="87" t="s">
        <v>1275</v>
      </c>
      <c r="H252" s="74" t="s">
        <v>536</v>
      </c>
      <c r="I252" s="74" t="s">
        <v>151</v>
      </c>
      <c r="J252" s="74"/>
      <c r="K252" s="84">
        <v>2.8699999999956569</v>
      </c>
      <c r="L252" s="87" t="s">
        <v>155</v>
      </c>
      <c r="M252" s="88">
        <v>4.5999999999999999E-2</v>
      </c>
      <c r="N252" s="88">
        <v>0.13419999999997903</v>
      </c>
      <c r="O252" s="84">
        <v>84388.52951600001</v>
      </c>
      <c r="P252" s="86">
        <v>79.12</v>
      </c>
      <c r="Q252" s="74"/>
      <c r="R252" s="84">
        <v>66.768204566999998</v>
      </c>
      <c r="S252" s="85">
        <v>3.5317217719446121E-4</v>
      </c>
      <c r="T252" s="85">
        <f t="shared" si="4"/>
        <v>8.0059156597508659E-4</v>
      </c>
      <c r="U252" s="85">
        <f>R252/'סכום נכסי הקרן'!$C$42</f>
        <v>2.2947672989381268E-4</v>
      </c>
    </row>
    <row r="253" spans="2:21">
      <c r="B253" s="77" t="s">
        <v>665</v>
      </c>
      <c r="C253" s="74">
        <v>1131457</v>
      </c>
      <c r="D253" s="87" t="s">
        <v>111</v>
      </c>
      <c r="E253" s="87" t="s">
        <v>328</v>
      </c>
      <c r="F253" s="74" t="s">
        <v>666</v>
      </c>
      <c r="G253" s="87" t="s">
        <v>413</v>
      </c>
      <c r="H253" s="74" t="s">
        <v>667</v>
      </c>
      <c r="I253" s="74" t="s">
        <v>332</v>
      </c>
      <c r="J253" s="74"/>
      <c r="K253" s="84">
        <v>0.66000000006713178</v>
      </c>
      <c r="L253" s="87" t="s">
        <v>155</v>
      </c>
      <c r="M253" s="88">
        <v>4.7E-2</v>
      </c>
      <c r="N253" s="88">
        <v>7.0400000003718072E-2</v>
      </c>
      <c r="O253" s="84">
        <v>7736.6709149999997</v>
      </c>
      <c r="P253" s="86">
        <v>100.12</v>
      </c>
      <c r="Q253" s="74"/>
      <c r="R253" s="84">
        <v>7.7459546780000004</v>
      </c>
      <c r="S253" s="85">
        <v>3.5120709775384948E-4</v>
      </c>
      <c r="T253" s="85">
        <f t="shared" si="4"/>
        <v>9.2878729117377911E-5</v>
      </c>
      <c r="U253" s="85">
        <f>R253/'סכום נכסי הקרן'!$C$42</f>
        <v>2.6622197810178251E-5</v>
      </c>
    </row>
    <row r="254" spans="2:21">
      <c r="B254" s="77" t="s">
        <v>671</v>
      </c>
      <c r="C254" s="74">
        <v>1134923</v>
      </c>
      <c r="D254" s="87" t="s">
        <v>111</v>
      </c>
      <c r="E254" s="87" t="s">
        <v>328</v>
      </c>
      <c r="F254" s="74" t="s">
        <v>672</v>
      </c>
      <c r="G254" s="87" t="s">
        <v>1275</v>
      </c>
      <c r="H254" s="74" t="s">
        <v>673</v>
      </c>
      <c r="I254" s="74" t="s">
        <v>332</v>
      </c>
      <c r="J254" s="74"/>
      <c r="K254" s="84">
        <v>0.5</v>
      </c>
      <c r="L254" s="87" t="s">
        <v>155</v>
      </c>
      <c r="M254" s="88">
        <v>6.0999999999999999E-2</v>
      </c>
      <c r="N254" s="88">
        <v>0.37579999999987174</v>
      </c>
      <c r="O254" s="84">
        <v>301235.71840000001</v>
      </c>
      <c r="P254" s="86">
        <v>88</v>
      </c>
      <c r="Q254" s="74"/>
      <c r="R254" s="84">
        <v>265.08742212999999</v>
      </c>
      <c r="S254" s="85">
        <v>4.4456274852420309E-4</v>
      </c>
      <c r="T254" s="85">
        <f t="shared" si="4"/>
        <v>3.178560151192803E-3</v>
      </c>
      <c r="U254" s="85">
        <f>R254/'סכום נכסי הקרן'!$C$42</f>
        <v>9.1108327924754266E-4</v>
      </c>
    </row>
    <row r="255" spans="2:21">
      <c r="B255" s="77" t="s">
        <v>674</v>
      </c>
      <c r="C255" s="74">
        <v>7200116</v>
      </c>
      <c r="D255" s="87" t="s">
        <v>111</v>
      </c>
      <c r="E255" s="87" t="s">
        <v>328</v>
      </c>
      <c r="F255" s="74" t="s">
        <v>659</v>
      </c>
      <c r="G255" s="87" t="s">
        <v>181</v>
      </c>
      <c r="H255" s="74" t="s">
        <v>550</v>
      </c>
      <c r="I255" s="74"/>
      <c r="J255" s="74"/>
      <c r="K255" s="84">
        <v>3.7099999999080562</v>
      </c>
      <c r="L255" s="87" t="s">
        <v>155</v>
      </c>
      <c r="M255" s="88">
        <v>4.2500000000000003E-2</v>
      </c>
      <c r="N255" s="88">
        <v>4.1199999999050906E-2</v>
      </c>
      <c r="O255" s="84">
        <v>16699.506593999999</v>
      </c>
      <c r="P255" s="86">
        <v>100.95</v>
      </c>
      <c r="Q255" s="74"/>
      <c r="R255" s="84">
        <v>16.858152105000002</v>
      </c>
      <c r="S255" s="85">
        <v>1.3821234507759155E-4</v>
      </c>
      <c r="T255" s="85">
        <f>R255/$R$11</f>
        <v>2.0213954352546359E-4</v>
      </c>
      <c r="U255" s="85">
        <f>R255/'סכום נכסי הקרן'!$C$42</f>
        <v>5.7940057579740839E-5</v>
      </c>
    </row>
    <row r="256" spans="2:21">
      <c r="B256" s="73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84"/>
      <c r="P256" s="86"/>
      <c r="Q256" s="74"/>
      <c r="R256" s="74"/>
      <c r="S256" s="74"/>
      <c r="T256" s="85"/>
      <c r="U256" s="74"/>
    </row>
    <row r="257" spans="2:21">
      <c r="B257" s="92" t="s">
        <v>43</v>
      </c>
      <c r="C257" s="72"/>
      <c r="D257" s="72"/>
      <c r="E257" s="72"/>
      <c r="F257" s="72"/>
      <c r="G257" s="72"/>
      <c r="H257" s="72"/>
      <c r="I257" s="72"/>
      <c r="J257" s="72"/>
      <c r="K257" s="81">
        <v>3.5794619269194552</v>
      </c>
      <c r="L257" s="72"/>
      <c r="M257" s="72"/>
      <c r="N257" s="94">
        <v>8.2053673382296355E-2</v>
      </c>
      <c r="O257" s="81"/>
      <c r="P257" s="83"/>
      <c r="Q257" s="72"/>
      <c r="R257" s="81">
        <f>SUM(R258:R263)</f>
        <v>2177.6886990030002</v>
      </c>
      <c r="S257" s="72"/>
      <c r="T257" s="82">
        <f t="shared" ref="T257:T263" si="5">R257/$R$11</f>
        <v>2.6111817998514086E-2</v>
      </c>
      <c r="U257" s="82">
        <f>R257/'סכום נכסי הקרן'!$C$42</f>
        <v>7.4845337629598245E-3</v>
      </c>
    </row>
    <row r="258" spans="2:21">
      <c r="B258" s="77" t="s">
        <v>675</v>
      </c>
      <c r="C258" s="74">
        <v>2320174</v>
      </c>
      <c r="D258" s="87" t="s">
        <v>111</v>
      </c>
      <c r="E258" s="87" t="s">
        <v>328</v>
      </c>
      <c r="F258" s="74" t="s">
        <v>676</v>
      </c>
      <c r="G258" s="87" t="s">
        <v>137</v>
      </c>
      <c r="H258" s="74" t="s">
        <v>391</v>
      </c>
      <c r="I258" s="74" t="s">
        <v>332</v>
      </c>
      <c r="J258" s="74"/>
      <c r="K258" s="84">
        <v>2.5300000000005567</v>
      </c>
      <c r="L258" s="87" t="s">
        <v>155</v>
      </c>
      <c r="M258" s="88">
        <v>3.49E-2</v>
      </c>
      <c r="N258" s="88">
        <v>5.1800000000013148E-2</v>
      </c>
      <c r="O258" s="84">
        <v>1029290.49265</v>
      </c>
      <c r="P258" s="86">
        <v>96.05</v>
      </c>
      <c r="Q258" s="74"/>
      <c r="R258" s="84">
        <v>988.63347406499997</v>
      </c>
      <c r="S258" s="85">
        <v>5.1082007034892584E-4</v>
      </c>
      <c r="T258" s="85">
        <f t="shared" si="5"/>
        <v>1.1854319377164756E-2</v>
      </c>
      <c r="U258" s="85">
        <f>R258/'סכום נכסי הקרן'!$C$42</f>
        <v>3.3978504913119191E-3</v>
      </c>
    </row>
    <row r="259" spans="2:21">
      <c r="B259" s="77" t="s">
        <v>677</v>
      </c>
      <c r="C259" s="74">
        <v>4750089</v>
      </c>
      <c r="D259" s="87" t="s">
        <v>111</v>
      </c>
      <c r="E259" s="87" t="s">
        <v>328</v>
      </c>
      <c r="F259" s="74" t="s">
        <v>678</v>
      </c>
      <c r="G259" s="87" t="s">
        <v>137</v>
      </c>
      <c r="H259" s="74" t="s">
        <v>506</v>
      </c>
      <c r="I259" s="74" t="s">
        <v>151</v>
      </c>
      <c r="J259" s="74"/>
      <c r="K259" s="84">
        <v>1.6799999999456197</v>
      </c>
      <c r="L259" s="87" t="s">
        <v>155</v>
      </c>
      <c r="M259" s="88">
        <v>4.4999999999999998E-2</v>
      </c>
      <c r="N259" s="88">
        <v>0.15239999999268339</v>
      </c>
      <c r="O259" s="84">
        <v>10130.455231</v>
      </c>
      <c r="P259" s="86">
        <v>79.87</v>
      </c>
      <c r="Q259" s="74"/>
      <c r="R259" s="84">
        <v>8.0911942579999998</v>
      </c>
      <c r="S259" s="85">
        <v>6.6275672366903429E-6</v>
      </c>
      <c r="T259" s="85">
        <f t="shared" si="5"/>
        <v>9.7018362611812008E-5</v>
      </c>
      <c r="U259" s="85">
        <f>R259/'סכום נכסי הקרן'!$C$42</f>
        <v>2.7808757346443956E-5</v>
      </c>
    </row>
    <row r="260" spans="2:21">
      <c r="B260" s="77" t="s">
        <v>679</v>
      </c>
      <c r="C260" s="74">
        <v>1141332</v>
      </c>
      <c r="D260" s="87" t="s">
        <v>111</v>
      </c>
      <c r="E260" s="87" t="s">
        <v>328</v>
      </c>
      <c r="F260" s="74" t="s">
        <v>680</v>
      </c>
      <c r="G260" s="87" t="s">
        <v>137</v>
      </c>
      <c r="H260" s="74" t="s">
        <v>506</v>
      </c>
      <c r="I260" s="74" t="s">
        <v>151</v>
      </c>
      <c r="J260" s="74"/>
      <c r="K260" s="84">
        <v>4.6299999999975627</v>
      </c>
      <c r="L260" s="87" t="s">
        <v>155</v>
      </c>
      <c r="M260" s="88">
        <v>4.6900000000000004E-2</v>
      </c>
      <c r="N260" s="88">
        <v>0.11599999999993905</v>
      </c>
      <c r="O260" s="84">
        <v>442354.486913</v>
      </c>
      <c r="P260" s="86">
        <v>74.19</v>
      </c>
      <c r="Q260" s="74"/>
      <c r="R260" s="84">
        <v>328.18278736000002</v>
      </c>
      <c r="S260" s="85">
        <v>2.2470341790832069E-4</v>
      </c>
      <c r="T260" s="85">
        <f t="shared" si="5"/>
        <v>3.9351121295310371E-3</v>
      </c>
      <c r="U260" s="85">
        <f>R260/'סכום נכסי הקרן'!$C$42</f>
        <v>1.1279367677954784E-3</v>
      </c>
    </row>
    <row r="261" spans="2:21">
      <c r="B261" s="77" t="s">
        <v>681</v>
      </c>
      <c r="C261" s="74">
        <v>1143593</v>
      </c>
      <c r="D261" s="87" t="s">
        <v>111</v>
      </c>
      <c r="E261" s="87" t="s">
        <v>328</v>
      </c>
      <c r="F261" s="74" t="s">
        <v>680</v>
      </c>
      <c r="G261" s="87" t="s">
        <v>137</v>
      </c>
      <c r="H261" s="74" t="s">
        <v>506</v>
      </c>
      <c r="I261" s="74" t="s">
        <v>151</v>
      </c>
      <c r="J261" s="74"/>
      <c r="K261" s="84">
        <v>4.9299999999972437</v>
      </c>
      <c r="L261" s="87" t="s">
        <v>155</v>
      </c>
      <c r="M261" s="88">
        <v>4.6900000000000004E-2</v>
      </c>
      <c r="N261" s="88">
        <v>0.11039999999995123</v>
      </c>
      <c r="O261" s="84">
        <v>872120.17975999997</v>
      </c>
      <c r="P261" s="86">
        <v>76.150000000000006</v>
      </c>
      <c r="Q261" s="74"/>
      <c r="R261" s="84">
        <v>664.11946713099996</v>
      </c>
      <c r="S261" s="85">
        <v>5.4067157218001198E-4</v>
      </c>
      <c r="T261" s="85">
        <f t="shared" si="5"/>
        <v>7.9631981664478185E-3</v>
      </c>
      <c r="U261" s="85">
        <f>R261/'סכום נכסי הקרן'!$C$42</f>
        <v>2.2825230147249841E-3</v>
      </c>
    </row>
    <row r="262" spans="2:21">
      <c r="B262" s="77" t="s">
        <v>682</v>
      </c>
      <c r="C262" s="74">
        <v>2590396</v>
      </c>
      <c r="D262" s="87" t="s">
        <v>111</v>
      </c>
      <c r="E262" s="87" t="s">
        <v>328</v>
      </c>
      <c r="F262" s="74" t="s">
        <v>540</v>
      </c>
      <c r="G262" s="87" t="s">
        <v>413</v>
      </c>
      <c r="H262" s="74" t="s">
        <v>541</v>
      </c>
      <c r="I262" s="74" t="s">
        <v>332</v>
      </c>
      <c r="J262" s="74"/>
      <c r="K262" s="84">
        <v>2.049999999991682</v>
      </c>
      <c r="L262" s="87" t="s">
        <v>155</v>
      </c>
      <c r="M262" s="88">
        <v>6.7000000000000004E-2</v>
      </c>
      <c r="N262" s="88">
        <v>7.71999999998529E-2</v>
      </c>
      <c r="O262" s="84">
        <v>124682.92769300001</v>
      </c>
      <c r="P262" s="86">
        <v>91.6</v>
      </c>
      <c r="Q262" s="74"/>
      <c r="R262" s="84">
        <v>114.209558719</v>
      </c>
      <c r="S262" s="85">
        <v>1.0898074731172058E-4</v>
      </c>
      <c r="T262" s="85">
        <f t="shared" si="5"/>
        <v>1.3694423873928671E-3</v>
      </c>
      <c r="U262" s="85">
        <f>R262/'סכום נכסי הקרן'!$C$42</f>
        <v>3.9252869277250191E-4</v>
      </c>
    </row>
    <row r="263" spans="2:21">
      <c r="B263" s="77" t="s">
        <v>683</v>
      </c>
      <c r="C263" s="74">
        <v>2590461</v>
      </c>
      <c r="D263" s="87" t="s">
        <v>111</v>
      </c>
      <c r="E263" s="87" t="s">
        <v>328</v>
      </c>
      <c r="F263" s="74" t="s">
        <v>540</v>
      </c>
      <c r="G263" s="87" t="s">
        <v>413</v>
      </c>
      <c r="H263" s="74" t="s">
        <v>541</v>
      </c>
      <c r="I263" s="74" t="s">
        <v>332</v>
      </c>
      <c r="J263" s="74"/>
      <c r="K263" s="84">
        <v>3.3899999999959705</v>
      </c>
      <c r="L263" s="87" t="s">
        <v>155</v>
      </c>
      <c r="M263" s="88">
        <v>4.7E-2</v>
      </c>
      <c r="N263" s="88">
        <v>8.109999999990597E-2</v>
      </c>
      <c r="O263" s="84">
        <v>85205.101303999996</v>
      </c>
      <c r="P263" s="86">
        <v>87.38</v>
      </c>
      <c r="Q263" s="74"/>
      <c r="R263" s="84">
        <v>74.452217470000008</v>
      </c>
      <c r="S263" s="85">
        <v>1.1911358142610402E-4</v>
      </c>
      <c r="T263" s="85">
        <f t="shared" si="5"/>
        <v>8.9272757536579045E-4</v>
      </c>
      <c r="U263" s="85">
        <f>R263/'סכום נכסי הקרן'!$C$42</f>
        <v>2.5588603900849585E-4</v>
      </c>
    </row>
    <row r="264" spans="2:21">
      <c r="B264" s="73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84"/>
      <c r="P264" s="86"/>
      <c r="Q264" s="74"/>
      <c r="R264" s="74"/>
      <c r="S264" s="74"/>
      <c r="T264" s="85"/>
      <c r="U264" s="74"/>
    </row>
    <row r="265" spans="2:21">
      <c r="B265" s="71" t="s">
        <v>220</v>
      </c>
      <c r="C265" s="72"/>
      <c r="D265" s="72"/>
      <c r="E265" s="72"/>
      <c r="F265" s="72"/>
      <c r="G265" s="72"/>
      <c r="H265" s="72"/>
      <c r="I265" s="72"/>
      <c r="J265" s="72"/>
      <c r="K265" s="81">
        <v>8.220407063935518</v>
      </c>
      <c r="L265" s="72"/>
      <c r="M265" s="72"/>
      <c r="N265" s="94">
        <v>5.7293181960289312E-2</v>
      </c>
      <c r="O265" s="81"/>
      <c r="P265" s="83"/>
      <c r="Q265" s="72"/>
      <c r="R265" s="81">
        <f>R266+R274</f>
        <v>12930.526458974004</v>
      </c>
      <c r="S265" s="72"/>
      <c r="T265" s="82">
        <f t="shared" ref="T265:T272" si="6">R265/$R$11</f>
        <v>0.15504491237718215</v>
      </c>
      <c r="U265" s="82">
        <f>R265/'סכום נכסי הקרן'!$C$42</f>
        <v>4.4441137018043066E-2</v>
      </c>
    </row>
    <row r="266" spans="2:21">
      <c r="B266" s="92" t="s">
        <v>59</v>
      </c>
      <c r="C266" s="72"/>
      <c r="D266" s="72"/>
      <c r="E266" s="72"/>
      <c r="F266" s="72"/>
      <c r="G266" s="72"/>
      <c r="H266" s="72"/>
      <c r="I266" s="72"/>
      <c r="J266" s="72"/>
      <c r="K266" s="81">
        <v>7.0087164992297915</v>
      </c>
      <c r="L266" s="72"/>
      <c r="M266" s="72"/>
      <c r="N266" s="94">
        <v>5.5859874484657145E-2</v>
      </c>
      <c r="O266" s="81"/>
      <c r="P266" s="83"/>
      <c r="Q266" s="72"/>
      <c r="R266" s="81">
        <f>SUM(R267:R272)</f>
        <v>1476.995786838</v>
      </c>
      <c r="S266" s="72"/>
      <c r="T266" s="82">
        <f t="shared" si="6"/>
        <v>1.7710081880914802E-2</v>
      </c>
      <c r="U266" s="82">
        <f>R266/'סכום נכסי הקרן'!$C$42</f>
        <v>5.0763108792360925E-3</v>
      </c>
    </row>
    <row r="267" spans="2:21">
      <c r="B267" s="77" t="s">
        <v>684</v>
      </c>
      <c r="C267" s="74" t="s">
        <v>685</v>
      </c>
      <c r="D267" s="87" t="s">
        <v>27</v>
      </c>
      <c r="E267" s="87" t="s">
        <v>686</v>
      </c>
      <c r="F267" s="74" t="s">
        <v>687</v>
      </c>
      <c r="G267" s="87" t="s">
        <v>688</v>
      </c>
      <c r="H267" s="74" t="s">
        <v>689</v>
      </c>
      <c r="I267" s="74" t="s">
        <v>690</v>
      </c>
      <c r="J267" s="74"/>
      <c r="K267" s="84">
        <v>3.4199999999977506</v>
      </c>
      <c r="L267" s="87" t="s">
        <v>154</v>
      </c>
      <c r="M267" s="88">
        <v>5.0819999999999997E-2</v>
      </c>
      <c r="N267" s="88">
        <v>4.3899999999972128E-2</v>
      </c>
      <c r="O267" s="84">
        <v>55959.954029</v>
      </c>
      <c r="P267" s="86">
        <v>102.4956</v>
      </c>
      <c r="Q267" s="74"/>
      <c r="R267" s="84">
        <v>204.475922363</v>
      </c>
      <c r="S267" s="85">
        <v>1.74874856340625E-4</v>
      </c>
      <c r="T267" s="85">
        <f t="shared" si="6"/>
        <v>2.4517912373175224E-3</v>
      </c>
      <c r="U267" s="85">
        <f>R267/'סכום נכסי הקרן'!$C$42</f>
        <v>7.0276662837019969E-4</v>
      </c>
    </row>
    <row r="268" spans="2:21">
      <c r="B268" s="77" t="s">
        <v>691</v>
      </c>
      <c r="C268" s="74" t="s">
        <v>692</v>
      </c>
      <c r="D268" s="87" t="s">
        <v>27</v>
      </c>
      <c r="E268" s="87" t="s">
        <v>686</v>
      </c>
      <c r="F268" s="74" t="s">
        <v>687</v>
      </c>
      <c r="G268" s="87" t="s">
        <v>688</v>
      </c>
      <c r="H268" s="74" t="s">
        <v>689</v>
      </c>
      <c r="I268" s="74" t="s">
        <v>690</v>
      </c>
      <c r="J268" s="74"/>
      <c r="K268" s="84">
        <v>4.9200000000022461</v>
      </c>
      <c r="L268" s="87" t="s">
        <v>154</v>
      </c>
      <c r="M268" s="88">
        <v>5.4120000000000001E-2</v>
      </c>
      <c r="N268" s="88">
        <v>6.4700000000041169E-2</v>
      </c>
      <c r="O268" s="84">
        <v>77761.384063000005</v>
      </c>
      <c r="P268" s="86">
        <v>96.352999999999994</v>
      </c>
      <c r="Q268" s="74"/>
      <c r="R268" s="84">
        <v>267.10914507000001</v>
      </c>
      <c r="S268" s="85">
        <v>2.4300432519687502E-4</v>
      </c>
      <c r="T268" s="85">
        <f t="shared" si="6"/>
        <v>3.2028018444508295E-3</v>
      </c>
      <c r="U268" s="85">
        <f>R268/'סכום נכסי הקרן'!$C$42</f>
        <v>9.1803177175278823E-4</v>
      </c>
    </row>
    <row r="269" spans="2:21">
      <c r="B269" s="77" t="s">
        <v>693</v>
      </c>
      <c r="C269" s="74" t="s">
        <v>694</v>
      </c>
      <c r="D269" s="87" t="s">
        <v>27</v>
      </c>
      <c r="E269" s="87" t="s">
        <v>686</v>
      </c>
      <c r="F269" s="74" t="s">
        <v>579</v>
      </c>
      <c r="G269" s="87" t="s">
        <v>445</v>
      </c>
      <c r="H269" s="74" t="s">
        <v>689</v>
      </c>
      <c r="I269" s="74" t="s">
        <v>326</v>
      </c>
      <c r="J269" s="74"/>
      <c r="K269" s="84">
        <v>10.959999999990874</v>
      </c>
      <c r="L269" s="87" t="s">
        <v>154</v>
      </c>
      <c r="M269" s="88">
        <v>6.3750000000000001E-2</v>
      </c>
      <c r="N269" s="88">
        <v>5.4799999999954371E-2</v>
      </c>
      <c r="O269" s="84">
        <v>120599.94</v>
      </c>
      <c r="P269" s="86">
        <v>112.125</v>
      </c>
      <c r="Q269" s="74"/>
      <c r="R269" s="84">
        <v>482.06886391499995</v>
      </c>
      <c r="S269" s="85">
        <v>2.009999E-4</v>
      </c>
      <c r="T269" s="85">
        <f t="shared" si="6"/>
        <v>5.780300206848615E-3</v>
      </c>
      <c r="U269" s="85">
        <f>R269/'סכום נכסי הקרן'!$C$42</f>
        <v>1.6568303310272774E-3</v>
      </c>
    </row>
    <row r="270" spans="2:21">
      <c r="B270" s="77" t="s">
        <v>668</v>
      </c>
      <c r="C270" s="74" t="s">
        <v>1276</v>
      </c>
      <c r="D270" s="87" t="s">
        <v>27</v>
      </c>
      <c r="E270" s="87" t="s">
        <v>328</v>
      </c>
      <c r="F270" s="74" t="s">
        <v>344</v>
      </c>
      <c r="G270" s="87" t="s">
        <v>336</v>
      </c>
      <c r="H270" s="74" t="s">
        <v>669</v>
      </c>
      <c r="I270" s="74" t="s">
        <v>670</v>
      </c>
      <c r="J270" s="74"/>
      <c r="K270" s="84">
        <v>5.2899999999960974</v>
      </c>
      <c r="L270" s="87" t="s">
        <v>154</v>
      </c>
      <c r="M270" s="88">
        <v>3.2750000000000001E-2</v>
      </c>
      <c r="N270" s="88">
        <v>4.9199999999978823E-2</v>
      </c>
      <c r="O270" s="84">
        <v>93521.233472000007</v>
      </c>
      <c r="P270" s="86">
        <v>90.677899999999994</v>
      </c>
      <c r="Q270" s="74"/>
      <c r="R270" s="84">
        <v>302.32311974200002</v>
      </c>
      <c r="S270" s="85">
        <v>1.2469497796266667E-4</v>
      </c>
      <c r="T270" s="85">
        <f>R270/$R$11</f>
        <v>3.6250389153694228E-3</v>
      </c>
      <c r="U270" s="85">
        <f>R270/'סכום נכסי הקרן'!$C$42</f>
        <v>1.0390592549193495E-3</v>
      </c>
    </row>
    <row r="271" spans="2:21">
      <c r="B271" s="77" t="s">
        <v>695</v>
      </c>
      <c r="C271" s="74" t="s">
        <v>696</v>
      </c>
      <c r="D271" s="87" t="s">
        <v>27</v>
      </c>
      <c r="E271" s="87" t="s">
        <v>686</v>
      </c>
      <c r="F271" s="74" t="s">
        <v>697</v>
      </c>
      <c r="G271" s="87" t="s">
        <v>698</v>
      </c>
      <c r="H271" s="74" t="s">
        <v>699</v>
      </c>
      <c r="I271" s="74" t="s">
        <v>326</v>
      </c>
      <c r="J271" s="74"/>
      <c r="K271" s="84">
        <v>4.1700000000013748</v>
      </c>
      <c r="L271" s="87" t="s">
        <v>156</v>
      </c>
      <c r="M271" s="88">
        <v>0.06</v>
      </c>
      <c r="N271" s="88">
        <v>6.3699999999992596E-2</v>
      </c>
      <c r="O271" s="84">
        <v>48641.9758</v>
      </c>
      <c r="P271" s="86">
        <v>99.701300000000003</v>
      </c>
      <c r="Q271" s="74"/>
      <c r="R271" s="84">
        <v>189.15167292199999</v>
      </c>
      <c r="S271" s="85">
        <v>4.8641975799999997E-5</v>
      </c>
      <c r="T271" s="85">
        <f t="shared" si="6"/>
        <v>2.2680441238984105E-3</v>
      </c>
      <c r="U271" s="85">
        <f>R271/'סכום נכסי הקרן'!$C$42</f>
        <v>6.5009846584279489E-4</v>
      </c>
    </row>
    <row r="272" spans="2:21">
      <c r="B272" s="77" t="s">
        <v>700</v>
      </c>
      <c r="C272" s="74" t="s">
        <v>701</v>
      </c>
      <c r="D272" s="87" t="s">
        <v>27</v>
      </c>
      <c r="E272" s="87" t="s">
        <v>686</v>
      </c>
      <c r="F272" s="74" t="s">
        <v>702</v>
      </c>
      <c r="G272" s="87" t="s">
        <v>703</v>
      </c>
      <c r="H272" s="74" t="s">
        <v>550</v>
      </c>
      <c r="I272" s="74"/>
      <c r="J272" s="74"/>
      <c r="K272" s="84">
        <v>4.619999999964854</v>
      </c>
      <c r="L272" s="87" t="s">
        <v>154</v>
      </c>
      <c r="M272" s="88">
        <v>0</v>
      </c>
      <c r="N272" s="88">
        <v>2.7999999999748955E-2</v>
      </c>
      <c r="O272" s="84">
        <v>10250.9949</v>
      </c>
      <c r="P272" s="86">
        <v>87.2</v>
      </c>
      <c r="Q272" s="74"/>
      <c r="R272" s="84">
        <v>31.867062826000002</v>
      </c>
      <c r="S272" s="85">
        <v>1.7827817217391303E-5</v>
      </c>
      <c r="T272" s="85">
        <f t="shared" si="6"/>
        <v>3.8210555303000156E-4</v>
      </c>
      <c r="U272" s="85">
        <f>R272/'סכום נכסי הקרן'!$C$42</f>
        <v>1.0952442732368256E-4</v>
      </c>
    </row>
    <row r="273" spans="2:21">
      <c r="B273" s="73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84"/>
      <c r="P273" s="86"/>
      <c r="Q273" s="74"/>
      <c r="R273" s="74"/>
      <c r="S273" s="74"/>
      <c r="T273" s="85"/>
      <c r="U273" s="74"/>
    </row>
    <row r="274" spans="2:21">
      <c r="B274" s="92" t="s">
        <v>58</v>
      </c>
      <c r="C274" s="72"/>
      <c r="D274" s="72"/>
      <c r="E274" s="72"/>
      <c r="F274" s="72"/>
      <c r="G274" s="72"/>
      <c r="H274" s="72"/>
      <c r="I274" s="72"/>
      <c r="J274" s="72"/>
      <c r="K274" s="81">
        <v>8.3540734972346744</v>
      </c>
      <c r="L274" s="72"/>
      <c r="M274" s="72"/>
      <c r="N274" s="94">
        <v>5.745129584156336E-2</v>
      </c>
      <c r="O274" s="81"/>
      <c r="P274" s="83"/>
      <c r="Q274" s="72"/>
      <c r="R274" s="81">
        <f>SUM(R275:R350)</f>
        <v>11453.530672136003</v>
      </c>
      <c r="S274" s="72"/>
      <c r="T274" s="82">
        <f>R274/$R$11</f>
        <v>0.13733483049626735</v>
      </c>
      <c r="U274" s="82">
        <f>R274/'סכום נכסי הקרן'!$C$42</f>
        <v>3.9364826138806965E-2</v>
      </c>
    </row>
    <row r="275" spans="2:21" s="119" customFormat="1">
      <c r="B275" s="77" t="s">
        <v>877</v>
      </c>
      <c r="C275" s="74" t="s">
        <v>878</v>
      </c>
      <c r="D275" s="87" t="s">
        <v>27</v>
      </c>
      <c r="E275" s="87" t="s">
        <v>686</v>
      </c>
      <c r="F275" s="74"/>
      <c r="G275" s="87" t="s">
        <v>862</v>
      </c>
      <c r="H275" s="74" t="s">
        <v>325</v>
      </c>
      <c r="I275" s="74" t="s">
        <v>690</v>
      </c>
      <c r="J275" s="74"/>
      <c r="K275" s="84">
        <v>18.53</v>
      </c>
      <c r="L275" s="87" t="s">
        <v>154</v>
      </c>
      <c r="M275" s="88">
        <v>4.2500000000000003E-2</v>
      </c>
      <c r="N275" s="88">
        <v>0.03</v>
      </c>
      <c r="O275" s="84">
        <v>42209.979000000007</v>
      </c>
      <c r="P275" s="86">
        <v>122.9</v>
      </c>
      <c r="Q275" s="74"/>
      <c r="R275" s="84">
        <v>184.93821060900001</v>
      </c>
      <c r="S275" s="85">
        <v>5.6279972000000007E-5</v>
      </c>
      <c r="T275" s="85">
        <f>R275/$R$11</f>
        <v>2.2175221364761381E-3</v>
      </c>
      <c r="U275" s="85">
        <f>R275/'סכום נכסי הקרן'!$C$42</f>
        <v>6.3561714858425145E-4</v>
      </c>
    </row>
    <row r="276" spans="2:21">
      <c r="B276" s="77" t="s">
        <v>704</v>
      </c>
      <c r="C276" s="74" t="s">
        <v>705</v>
      </c>
      <c r="D276" s="87" t="s">
        <v>27</v>
      </c>
      <c r="E276" s="87" t="s">
        <v>686</v>
      </c>
      <c r="F276" s="74"/>
      <c r="G276" s="87" t="s">
        <v>706</v>
      </c>
      <c r="H276" s="74" t="s">
        <v>325</v>
      </c>
      <c r="I276" s="74" t="s">
        <v>326</v>
      </c>
      <c r="J276" s="74"/>
      <c r="K276" s="84">
        <v>17.960000000083429</v>
      </c>
      <c r="L276" s="87" t="s">
        <v>154</v>
      </c>
      <c r="M276" s="88">
        <v>4.7500000000000001E-2</v>
      </c>
      <c r="N276" s="88">
        <v>3.0400000000118572E-2</v>
      </c>
      <c r="O276" s="84">
        <v>20099.990000000002</v>
      </c>
      <c r="P276" s="86">
        <v>131.81899999999999</v>
      </c>
      <c r="Q276" s="74"/>
      <c r="R276" s="84">
        <v>94.456814821999998</v>
      </c>
      <c r="S276" s="85">
        <v>8.9333288888888902E-6</v>
      </c>
      <c r="T276" s="85">
        <f>R276/$R$11</f>
        <v>1.1325949197792174E-3</v>
      </c>
      <c r="U276" s="85">
        <f>R276/'סכום נכסי הקרן'!$C$42</f>
        <v>3.2464016551152106E-4</v>
      </c>
    </row>
    <row r="277" spans="2:21">
      <c r="B277" s="77" t="s">
        <v>707</v>
      </c>
      <c r="C277" s="74" t="s">
        <v>708</v>
      </c>
      <c r="D277" s="87" t="s">
        <v>27</v>
      </c>
      <c r="E277" s="87" t="s">
        <v>686</v>
      </c>
      <c r="F277" s="74"/>
      <c r="G277" s="87" t="s">
        <v>706</v>
      </c>
      <c r="H277" s="74" t="s">
        <v>325</v>
      </c>
      <c r="I277" s="74" t="s">
        <v>326</v>
      </c>
      <c r="J277" s="74"/>
      <c r="K277" s="84">
        <v>20.740000000045839</v>
      </c>
      <c r="L277" s="87" t="s">
        <v>154</v>
      </c>
      <c r="M277" s="88">
        <v>4.9500000000000002E-2</v>
      </c>
      <c r="N277" s="88">
        <v>3.2200000000062803E-2</v>
      </c>
      <c r="O277" s="84">
        <v>44219.97800000001</v>
      </c>
      <c r="P277" s="86">
        <v>135.3357</v>
      </c>
      <c r="Q277" s="74"/>
      <c r="R277" s="84">
        <v>213.34898960300001</v>
      </c>
      <c r="S277" s="85">
        <v>4.4219978000000007E-5</v>
      </c>
      <c r="T277" s="85">
        <f t="shared" ref="T277:T345" si="7">R277/$R$11</f>
        <v>2.5581847346826565E-3</v>
      </c>
      <c r="U277" s="85">
        <f>R277/'סכום נכסי הקרן'!$C$42</f>
        <v>7.3326261770476227E-4</v>
      </c>
    </row>
    <row r="278" spans="2:21" s="119" customFormat="1">
      <c r="B278" s="77" t="s">
        <v>885</v>
      </c>
      <c r="C278" s="74" t="s">
        <v>886</v>
      </c>
      <c r="D278" s="87" t="s">
        <v>27</v>
      </c>
      <c r="E278" s="87" t="s">
        <v>686</v>
      </c>
      <c r="F278" s="74"/>
      <c r="G278" s="87" t="s">
        <v>703</v>
      </c>
      <c r="H278" s="115" t="s">
        <v>719</v>
      </c>
      <c r="I278" s="74" t="s">
        <v>326</v>
      </c>
      <c r="J278" s="74"/>
      <c r="K278" s="74">
        <v>20.92</v>
      </c>
      <c r="L278" s="87" t="s">
        <v>154</v>
      </c>
      <c r="M278" s="88">
        <v>3.85E-2</v>
      </c>
      <c r="N278" s="85">
        <v>3.7379999999999997E-2</v>
      </c>
      <c r="O278" s="84">
        <v>54269.972999999998</v>
      </c>
      <c r="P278" s="86">
        <v>101.96</v>
      </c>
      <c r="Q278" s="74"/>
      <c r="R278" s="84">
        <v>197.26451383800003</v>
      </c>
      <c r="S278" s="117">
        <f>54269.97/3500000000</f>
        <v>1.5505705714285713E-5</v>
      </c>
      <c r="T278" s="85">
        <f>R278/$R$11</f>
        <v>2.3653220431650518E-3</v>
      </c>
      <c r="U278" s="85">
        <f>R278/'סכום נכסי הקרן'!$C$42</f>
        <v>6.7798162094073137E-4</v>
      </c>
    </row>
    <row r="279" spans="2:21">
      <c r="B279" s="77" t="s">
        <v>709</v>
      </c>
      <c r="C279" s="74" t="s">
        <v>710</v>
      </c>
      <c r="D279" s="87" t="s">
        <v>27</v>
      </c>
      <c r="E279" s="87" t="s">
        <v>686</v>
      </c>
      <c r="F279" s="74"/>
      <c r="G279" s="87" t="s">
        <v>711</v>
      </c>
      <c r="H279" s="74" t="s">
        <v>712</v>
      </c>
      <c r="I279" s="74" t="s">
        <v>326</v>
      </c>
      <c r="J279" s="74"/>
      <c r="K279" s="84">
        <v>18.949999999966131</v>
      </c>
      <c r="L279" s="87" t="s">
        <v>154</v>
      </c>
      <c r="M279" s="88">
        <v>4.2000000000000003E-2</v>
      </c>
      <c r="N279" s="88">
        <v>2.7199999999934773E-2</v>
      </c>
      <c r="O279" s="84">
        <v>52259.974000000002</v>
      </c>
      <c r="P279" s="86">
        <v>128.3733</v>
      </c>
      <c r="Q279" s="74"/>
      <c r="R279" s="84">
        <v>239.16825879799998</v>
      </c>
      <c r="S279" s="85">
        <v>4.1807979200000003E-5</v>
      </c>
      <c r="T279" s="85">
        <f t="shared" si="7"/>
        <v>2.8677735470703687E-3</v>
      </c>
      <c r="U279" s="85">
        <f>R279/'סכום נכסי הקרן'!$C$42</f>
        <v>8.2200128458281428E-4</v>
      </c>
    </row>
    <row r="280" spans="2:21" s="119" customFormat="1">
      <c r="B280" s="77" t="s">
        <v>871</v>
      </c>
      <c r="C280" s="74" t="s">
        <v>872</v>
      </c>
      <c r="D280" s="87" t="s">
        <v>27</v>
      </c>
      <c r="E280" s="87" t="s">
        <v>686</v>
      </c>
      <c r="F280" s="74"/>
      <c r="G280" s="87" t="s">
        <v>724</v>
      </c>
      <c r="H280" s="74" t="s">
        <v>712</v>
      </c>
      <c r="I280" s="74" t="s">
        <v>690</v>
      </c>
      <c r="J280" s="74"/>
      <c r="K280" s="84">
        <v>8.61</v>
      </c>
      <c r="L280" s="87" t="s">
        <v>154</v>
      </c>
      <c r="M280" s="88">
        <v>3.3750000000000002E-2</v>
      </c>
      <c r="N280" s="88">
        <v>3.1030000000000002E-2</v>
      </c>
      <c r="O280" s="84">
        <v>44219.97800000001</v>
      </c>
      <c r="P280" s="86">
        <v>101.26600000000001</v>
      </c>
      <c r="Q280" s="74"/>
      <c r="R280" s="84">
        <v>159.63999741499998</v>
      </c>
      <c r="S280" s="117">
        <f>44219.98/1000000000</f>
        <v>4.4219980000000006E-5</v>
      </c>
      <c r="T280" s="85">
        <f>R280/$R$11</f>
        <v>1.9141811038888049E-3</v>
      </c>
      <c r="U280" s="85">
        <f>R280/'סכום נכסי הקרן'!$C$42</f>
        <v>5.4866930756375311E-4</v>
      </c>
    </row>
    <row r="281" spans="2:21">
      <c r="B281" s="77" t="s">
        <v>713</v>
      </c>
      <c r="C281" s="74" t="s">
        <v>714</v>
      </c>
      <c r="D281" s="87" t="s">
        <v>27</v>
      </c>
      <c r="E281" s="87" t="s">
        <v>686</v>
      </c>
      <c r="F281" s="74"/>
      <c r="G281" s="87" t="s">
        <v>715</v>
      </c>
      <c r="H281" s="74" t="s">
        <v>712</v>
      </c>
      <c r="I281" s="74" t="s">
        <v>326</v>
      </c>
      <c r="J281" s="74"/>
      <c r="K281" s="84">
        <v>17.950000000036333</v>
      </c>
      <c r="L281" s="87" t="s">
        <v>154</v>
      </c>
      <c r="M281" s="88">
        <v>4.7E-2</v>
      </c>
      <c r="N281" s="88">
        <v>3.0800000000053455E-2</v>
      </c>
      <c r="O281" s="84">
        <v>52259.974000000002</v>
      </c>
      <c r="P281" s="86">
        <v>128.51240000000001</v>
      </c>
      <c r="Q281" s="74"/>
      <c r="R281" s="84">
        <v>239.42732873400004</v>
      </c>
      <c r="S281" s="85">
        <v>2.9862842285714286E-5</v>
      </c>
      <c r="T281" s="85">
        <f t="shared" si="7"/>
        <v>2.8708799538863738E-3</v>
      </c>
      <c r="U281" s="85">
        <f>R281/'סכום נכסי הקרן'!$C$42</f>
        <v>8.2289168626596037E-4</v>
      </c>
    </row>
    <row r="282" spans="2:21">
      <c r="B282" s="77" t="s">
        <v>752</v>
      </c>
      <c r="C282" s="74" t="s">
        <v>753</v>
      </c>
      <c r="D282" s="87" t="s">
        <v>27</v>
      </c>
      <c r="E282" s="87" t="s">
        <v>686</v>
      </c>
      <c r="F282" s="74"/>
      <c r="G282" s="87" t="s">
        <v>724</v>
      </c>
      <c r="H282" s="115" t="s">
        <v>719</v>
      </c>
      <c r="I282" s="74" t="s">
        <v>690</v>
      </c>
      <c r="J282" s="74"/>
      <c r="K282" s="74">
        <v>8.51</v>
      </c>
      <c r="L282" s="87" t="s">
        <v>154</v>
      </c>
      <c r="M282" s="88">
        <v>3.6000000000000004E-2</v>
      </c>
      <c r="N282" s="116">
        <v>3.3769999999999994E-2</v>
      </c>
      <c r="O282" s="84">
        <v>40199.980000000003</v>
      </c>
      <c r="P282" s="86">
        <v>101.93</v>
      </c>
      <c r="Q282" s="74"/>
      <c r="R282" s="84">
        <v>146.07886822400002</v>
      </c>
      <c r="S282" s="117">
        <f>40199.98/1000000000</f>
        <v>4.019998E-5</v>
      </c>
      <c r="T282" s="85">
        <f>R282/$R$11</f>
        <v>1.7515748794767272E-3</v>
      </c>
      <c r="U282" s="85">
        <f>R282/'סכום נכסי הקרן'!$C$42</f>
        <v>5.0206084174383677E-4</v>
      </c>
    </row>
    <row r="283" spans="2:21">
      <c r="B283" s="77" t="s">
        <v>716</v>
      </c>
      <c r="C283" s="74" t="s">
        <v>717</v>
      </c>
      <c r="D283" s="87" t="s">
        <v>27</v>
      </c>
      <c r="E283" s="87" t="s">
        <v>686</v>
      </c>
      <c r="F283" s="74"/>
      <c r="G283" s="87" t="s">
        <v>718</v>
      </c>
      <c r="H283" s="74" t="s">
        <v>719</v>
      </c>
      <c r="I283" s="74" t="s">
        <v>326</v>
      </c>
      <c r="J283" s="74"/>
      <c r="K283" s="84">
        <v>8.2699999999810299</v>
      </c>
      <c r="L283" s="87" t="s">
        <v>154</v>
      </c>
      <c r="M283" s="88">
        <v>3.95E-2</v>
      </c>
      <c r="N283" s="88">
        <v>2.9599999999962979E-2</v>
      </c>
      <c r="O283" s="84">
        <v>28139.986000000001</v>
      </c>
      <c r="P283" s="86">
        <v>107.72490000000001</v>
      </c>
      <c r="Q283" s="74"/>
      <c r="R283" s="84">
        <v>108.06858521500001</v>
      </c>
      <c r="S283" s="85">
        <v>5.6279972E-5</v>
      </c>
      <c r="T283" s="85">
        <f t="shared" si="7"/>
        <v>1.2958083631434149E-3</v>
      </c>
      <c r="U283" s="85">
        <f>R283/'סכום נכסי הקרן'!$C$42</f>
        <v>3.7142268090350876E-4</v>
      </c>
    </row>
    <row r="284" spans="2:21">
      <c r="B284" s="77" t="s">
        <v>720</v>
      </c>
      <c r="C284" s="74" t="s">
        <v>721</v>
      </c>
      <c r="D284" s="87" t="s">
        <v>27</v>
      </c>
      <c r="E284" s="87" t="s">
        <v>686</v>
      </c>
      <c r="F284" s="74"/>
      <c r="G284" s="87" t="s">
        <v>715</v>
      </c>
      <c r="H284" s="74" t="s">
        <v>719</v>
      </c>
      <c r="I284" s="74" t="s">
        <v>326</v>
      </c>
      <c r="J284" s="74"/>
      <c r="K284" s="84">
        <v>14.300000000014675</v>
      </c>
      <c r="L284" s="87" t="s">
        <v>154</v>
      </c>
      <c r="M284" s="88">
        <v>3.7499999999999999E-2</v>
      </c>
      <c r="N284" s="88">
        <v>3.0300000000061011E-2</v>
      </c>
      <c r="O284" s="84">
        <v>33164.983500000002</v>
      </c>
      <c r="P284" s="86">
        <v>109.5137</v>
      </c>
      <c r="Q284" s="74"/>
      <c r="R284" s="84">
        <v>129.481475507</v>
      </c>
      <c r="S284" s="85">
        <v>4.1456229375000002E-5</v>
      </c>
      <c r="T284" s="85">
        <f t="shared" si="7"/>
        <v>1.5525620003289484E-3</v>
      </c>
      <c r="U284" s="85">
        <f>R284/'סכום נכסי הקרן'!$C$42</f>
        <v>4.4501699235234072E-4</v>
      </c>
    </row>
    <row r="285" spans="2:21">
      <c r="B285" s="77" t="s">
        <v>722</v>
      </c>
      <c r="C285" s="74" t="s">
        <v>723</v>
      </c>
      <c r="D285" s="87" t="s">
        <v>27</v>
      </c>
      <c r="E285" s="87" t="s">
        <v>686</v>
      </c>
      <c r="F285" s="74"/>
      <c r="G285" s="87" t="s">
        <v>724</v>
      </c>
      <c r="H285" s="74" t="s">
        <v>719</v>
      </c>
      <c r="I285" s="74" t="s">
        <v>326</v>
      </c>
      <c r="J285" s="74"/>
      <c r="K285" s="84">
        <v>4.0100000188712182</v>
      </c>
      <c r="L285" s="87" t="s">
        <v>154</v>
      </c>
      <c r="M285" s="88">
        <v>4.4999999999999998E-2</v>
      </c>
      <c r="N285" s="88">
        <v>6.6600000331675957E-2</v>
      </c>
      <c r="O285" s="84">
        <v>26.129987</v>
      </c>
      <c r="P285" s="86">
        <v>93.861000000000004</v>
      </c>
      <c r="Q285" s="74"/>
      <c r="R285" s="84">
        <v>8.7434735E-2</v>
      </c>
      <c r="S285" s="85">
        <v>5.2259973999999998E-8</v>
      </c>
      <c r="T285" s="85">
        <f t="shared" si="7"/>
        <v>1.0483958924494396E-6</v>
      </c>
      <c r="U285" s="85">
        <f>R285/'סכום נכסי הקרן'!$C$42</f>
        <v>3.0050586498545424E-7</v>
      </c>
    </row>
    <row r="286" spans="2:21">
      <c r="B286" s="77" t="s">
        <v>725</v>
      </c>
      <c r="C286" s="74" t="s">
        <v>726</v>
      </c>
      <c r="D286" s="87" t="s">
        <v>27</v>
      </c>
      <c r="E286" s="87" t="s">
        <v>686</v>
      </c>
      <c r="F286" s="74"/>
      <c r="G286" s="87" t="s">
        <v>724</v>
      </c>
      <c r="H286" s="74" t="s">
        <v>719</v>
      </c>
      <c r="I286" s="74" t="s">
        <v>326</v>
      </c>
      <c r="J286" s="74"/>
      <c r="K286" s="84">
        <v>6.5599999999939627</v>
      </c>
      <c r="L286" s="87" t="s">
        <v>154</v>
      </c>
      <c r="M286" s="88">
        <v>5.1249999999999997E-2</v>
      </c>
      <c r="N286" s="88">
        <v>5.6699999999983743E-2</v>
      </c>
      <c r="O286" s="84">
        <v>24190.337964999999</v>
      </c>
      <c r="P286" s="86">
        <v>99.882599999999996</v>
      </c>
      <c r="Q286" s="74"/>
      <c r="R286" s="84">
        <v>86.137308442000005</v>
      </c>
      <c r="S286" s="85">
        <v>4.8380675929999995E-5</v>
      </c>
      <c r="T286" s="85">
        <f t="shared" si="7"/>
        <v>1.0328389553332922E-3</v>
      </c>
      <c r="U286" s="85">
        <f>R286/'סכום נכסי הקרן'!$C$42</f>
        <v>2.960467185138959E-4</v>
      </c>
    </row>
    <row r="287" spans="2:21" s="119" customFormat="1">
      <c r="B287" s="77" t="s">
        <v>873</v>
      </c>
      <c r="C287" s="74" t="s">
        <v>874</v>
      </c>
      <c r="D287" s="87" t="s">
        <v>27</v>
      </c>
      <c r="E287" s="87" t="s">
        <v>686</v>
      </c>
      <c r="F287" s="74"/>
      <c r="G287" s="87" t="s">
        <v>711</v>
      </c>
      <c r="H287" s="115" t="s">
        <v>1277</v>
      </c>
      <c r="I287" s="74" t="s">
        <v>670</v>
      </c>
      <c r="J287" s="74"/>
      <c r="K287" s="118">
        <v>14.57</v>
      </c>
      <c r="L287" s="87" t="s">
        <v>156</v>
      </c>
      <c r="M287" s="88">
        <v>3.7000000000000005E-2</v>
      </c>
      <c r="N287" s="116">
        <v>3.5400000000000001E-2</v>
      </c>
      <c r="O287" s="84">
        <v>26129.987000000001</v>
      </c>
      <c r="P287" s="86">
        <v>102.59</v>
      </c>
      <c r="Q287" s="74"/>
      <c r="R287" s="84">
        <v>104.55438131300001</v>
      </c>
      <c r="S287" s="117">
        <f>26129.99/1750000000</f>
        <v>1.4931422857142857E-5</v>
      </c>
      <c r="T287" s="85">
        <f>R287/$R$11</f>
        <v>1.2536709112933395E-3</v>
      </c>
      <c r="U287" s="85">
        <f>R287/'סכום נכסי הקרן'!$C$42</f>
        <v>3.5934465626826775E-4</v>
      </c>
    </row>
    <row r="288" spans="2:21">
      <c r="B288" s="77" t="s">
        <v>741</v>
      </c>
      <c r="C288" s="74" t="s">
        <v>742</v>
      </c>
      <c r="D288" s="87" t="s">
        <v>27</v>
      </c>
      <c r="E288" s="87" t="s">
        <v>686</v>
      </c>
      <c r="F288" s="74"/>
      <c r="G288" s="87" t="s">
        <v>729</v>
      </c>
      <c r="H288" s="74" t="s">
        <v>730</v>
      </c>
      <c r="I288" s="74" t="s">
        <v>690</v>
      </c>
      <c r="J288" s="74"/>
      <c r="K288" s="84">
        <v>8.0099999999792146</v>
      </c>
      <c r="L288" s="87" t="s">
        <v>154</v>
      </c>
      <c r="M288" s="88">
        <v>3.61E-2</v>
      </c>
      <c r="N288" s="88">
        <v>4.5499999999877742E-2</v>
      </c>
      <c r="O288" s="84">
        <v>60299.97</v>
      </c>
      <c r="P288" s="86">
        <v>91.3155</v>
      </c>
      <c r="Q288" s="74"/>
      <c r="R288" s="84">
        <v>196.300435808</v>
      </c>
      <c r="S288" s="85">
        <v>4.8239976E-5</v>
      </c>
      <c r="T288" s="85">
        <f>R288/$R$11</f>
        <v>2.3537621585648094E-3</v>
      </c>
      <c r="U288" s="85">
        <f>R288/'סכום נכסי הקרן'!$C$42</f>
        <v>6.7466816545512119E-4</v>
      </c>
    </row>
    <row r="289" spans="2:21" s="119" customFormat="1">
      <c r="B289" s="77" t="s">
        <v>879</v>
      </c>
      <c r="C289" s="74" t="s">
        <v>880</v>
      </c>
      <c r="D289" s="87" t="s">
        <v>27</v>
      </c>
      <c r="E289" s="87" t="s">
        <v>686</v>
      </c>
      <c r="F289" s="74"/>
      <c r="G289" s="87" t="s">
        <v>881</v>
      </c>
      <c r="H289" s="74" t="s">
        <v>730</v>
      </c>
      <c r="I289" s="74" t="s">
        <v>690</v>
      </c>
      <c r="J289" s="74"/>
      <c r="K289" s="84">
        <v>16.809999999999999</v>
      </c>
      <c r="L289" s="87" t="s">
        <v>154</v>
      </c>
      <c r="M289" s="88">
        <v>5.1249999999999997E-2</v>
      </c>
      <c r="N289" s="88">
        <v>3.9300000000000002E-2</v>
      </c>
      <c r="O289" s="84">
        <v>35174.982499999998</v>
      </c>
      <c r="P289" s="86">
        <v>118.6579</v>
      </c>
      <c r="Q289" s="74"/>
      <c r="R289" s="84">
        <v>148.795653423</v>
      </c>
      <c r="S289" s="85">
        <v>2.8139986E-5</v>
      </c>
      <c r="T289" s="85">
        <f>R289/$R$11</f>
        <v>1.7841507938807569E-3</v>
      </c>
      <c r="U289" s="85">
        <f>R289/'סכום נכסי הקרן'!$C$42</f>
        <v>5.1139820504922308E-4</v>
      </c>
    </row>
    <row r="290" spans="2:21" s="119" customFormat="1">
      <c r="B290" s="77" t="s">
        <v>882</v>
      </c>
      <c r="C290" s="74" t="s">
        <v>883</v>
      </c>
      <c r="D290" s="87" t="s">
        <v>27</v>
      </c>
      <c r="E290" s="87" t="s">
        <v>686</v>
      </c>
      <c r="F290" s="74"/>
      <c r="G290" s="87" t="s">
        <v>884</v>
      </c>
      <c r="H290" s="74" t="s">
        <v>730</v>
      </c>
      <c r="I290" s="74" t="s">
        <v>690</v>
      </c>
      <c r="J290" s="74"/>
      <c r="K290" s="84">
        <v>17.93</v>
      </c>
      <c r="L290" s="87" t="s">
        <v>154</v>
      </c>
      <c r="M290" s="88">
        <v>4.2000000000000003E-2</v>
      </c>
      <c r="N290" s="88">
        <v>3.6000000000000004E-2</v>
      </c>
      <c r="O290" s="84">
        <v>64319.968000000001</v>
      </c>
      <c r="P290" s="86">
        <v>109.762</v>
      </c>
      <c r="Q290" s="74"/>
      <c r="R290" s="84">
        <v>251.68501888</v>
      </c>
      <c r="S290" s="85">
        <v>8.5759957333333338E-5</v>
      </c>
      <c r="T290" s="85">
        <f>R290/$R$11</f>
        <v>3.0178571477897389E-3</v>
      </c>
      <c r="U290" s="85">
        <f>R290/'סכום נכסי הקרן'!$C$42</f>
        <v>8.6502034119980776E-4</v>
      </c>
    </row>
    <row r="291" spans="2:21">
      <c r="B291" s="77" t="s">
        <v>727</v>
      </c>
      <c r="C291" s="74" t="s">
        <v>728</v>
      </c>
      <c r="D291" s="87" t="s">
        <v>27</v>
      </c>
      <c r="E291" s="87" t="s">
        <v>686</v>
      </c>
      <c r="F291" s="74"/>
      <c r="G291" s="87" t="s">
        <v>729</v>
      </c>
      <c r="H291" s="74" t="s">
        <v>730</v>
      </c>
      <c r="I291" s="74" t="s">
        <v>690</v>
      </c>
      <c r="J291" s="74"/>
      <c r="K291" s="84">
        <v>7.8100000000069185</v>
      </c>
      <c r="L291" s="87" t="s">
        <v>154</v>
      </c>
      <c r="M291" s="88">
        <v>3.9329999999999997E-2</v>
      </c>
      <c r="N291" s="88">
        <v>4.4800000000047253E-2</v>
      </c>
      <c r="O291" s="84">
        <v>52561.473849999995</v>
      </c>
      <c r="P291" s="86">
        <v>94.868700000000004</v>
      </c>
      <c r="Q291" s="74"/>
      <c r="R291" s="84">
        <v>177.766445817</v>
      </c>
      <c r="S291" s="85">
        <v>3.5040982566666664E-5</v>
      </c>
      <c r="T291" s="85">
        <f t="shared" si="7"/>
        <v>2.1315282949033775E-3</v>
      </c>
      <c r="U291" s="85">
        <f>R291/'סכום נכסי הקרן'!$C$42</f>
        <v>6.1096839334650547E-4</v>
      </c>
    </row>
    <row r="292" spans="2:21">
      <c r="B292" s="77" t="s">
        <v>731</v>
      </c>
      <c r="C292" s="74" t="s">
        <v>732</v>
      </c>
      <c r="D292" s="87" t="s">
        <v>27</v>
      </c>
      <c r="E292" s="87" t="s">
        <v>686</v>
      </c>
      <c r="F292" s="74"/>
      <c r="G292" s="87" t="s">
        <v>729</v>
      </c>
      <c r="H292" s="74" t="s">
        <v>730</v>
      </c>
      <c r="I292" s="74" t="s">
        <v>690</v>
      </c>
      <c r="J292" s="74"/>
      <c r="K292" s="84">
        <v>7.7299999999939724</v>
      </c>
      <c r="L292" s="87" t="s">
        <v>154</v>
      </c>
      <c r="M292" s="88">
        <v>4.1100000000000005E-2</v>
      </c>
      <c r="N292" s="88">
        <v>4.630000000000669E-2</v>
      </c>
      <c r="O292" s="84">
        <v>44219.97800000001</v>
      </c>
      <c r="P292" s="86">
        <v>94.728499999999997</v>
      </c>
      <c r="Q292" s="74"/>
      <c r="R292" s="84">
        <v>149.33400643000002</v>
      </c>
      <c r="S292" s="85">
        <v>3.5375982400000005E-5</v>
      </c>
      <c r="T292" s="85">
        <f t="shared" si="7"/>
        <v>1.7906059753509886E-3</v>
      </c>
      <c r="U292" s="85">
        <f>R292/'סכום נכסי הקרן'!$C$42</f>
        <v>5.1324847926845706E-4</v>
      </c>
    </row>
    <row r="293" spans="2:21">
      <c r="B293" s="77" t="s">
        <v>733</v>
      </c>
      <c r="C293" s="74" t="s">
        <v>734</v>
      </c>
      <c r="D293" s="87" t="s">
        <v>27</v>
      </c>
      <c r="E293" s="87" t="s">
        <v>686</v>
      </c>
      <c r="F293" s="74"/>
      <c r="G293" s="87" t="s">
        <v>718</v>
      </c>
      <c r="H293" s="74" t="s">
        <v>669</v>
      </c>
      <c r="I293" s="74" t="s">
        <v>670</v>
      </c>
      <c r="J293" s="74"/>
      <c r="K293" s="84">
        <v>15.810000000008122</v>
      </c>
      <c r="L293" s="87" t="s">
        <v>154</v>
      </c>
      <c r="M293" s="88">
        <v>4.4500000000000005E-2</v>
      </c>
      <c r="N293" s="88">
        <v>3.809999999999876E-2</v>
      </c>
      <c r="O293" s="84">
        <v>62012.489148000001</v>
      </c>
      <c r="P293" s="86">
        <v>109.70910000000001</v>
      </c>
      <c r="Q293" s="74"/>
      <c r="R293" s="84">
        <v>242.53889496299999</v>
      </c>
      <c r="S293" s="85">
        <v>3.1006244574000003E-5</v>
      </c>
      <c r="T293" s="85">
        <f t="shared" si="7"/>
        <v>2.9081895340385632E-3</v>
      </c>
      <c r="U293" s="85">
        <f>R293/'סכום נכסי הקרן'!$C$42</f>
        <v>8.3358587892412019E-4</v>
      </c>
    </row>
    <row r="294" spans="2:21">
      <c r="B294" s="77" t="s">
        <v>735</v>
      </c>
      <c r="C294" s="74" t="s">
        <v>736</v>
      </c>
      <c r="D294" s="87" t="s">
        <v>27</v>
      </c>
      <c r="E294" s="87" t="s">
        <v>686</v>
      </c>
      <c r="F294" s="74"/>
      <c r="G294" s="87" t="s">
        <v>711</v>
      </c>
      <c r="H294" s="74" t="s">
        <v>737</v>
      </c>
      <c r="I294" s="74" t="s">
        <v>326</v>
      </c>
      <c r="J294" s="74"/>
      <c r="K294" s="84">
        <v>15.570000000017226</v>
      </c>
      <c r="L294" s="87" t="s">
        <v>154</v>
      </c>
      <c r="M294" s="88">
        <v>5.5500000000000001E-2</v>
      </c>
      <c r="N294" s="88">
        <v>4.3800000000051915E-2</v>
      </c>
      <c r="O294" s="84">
        <v>50249.974999999999</v>
      </c>
      <c r="P294" s="86">
        <v>118.2829</v>
      </c>
      <c r="Q294" s="74"/>
      <c r="R294" s="84">
        <v>211.893390055</v>
      </c>
      <c r="S294" s="85">
        <v>1.256249375E-5</v>
      </c>
      <c r="T294" s="85">
        <f t="shared" si="7"/>
        <v>2.5407312067778202E-3</v>
      </c>
      <c r="U294" s="85">
        <f>R294/'סכום נכסי הקרן'!$C$42</f>
        <v>7.282598439073215E-4</v>
      </c>
    </row>
    <row r="295" spans="2:21">
      <c r="B295" s="77" t="s">
        <v>738</v>
      </c>
      <c r="C295" s="74" t="s">
        <v>739</v>
      </c>
      <c r="D295" s="87" t="s">
        <v>27</v>
      </c>
      <c r="E295" s="87" t="s">
        <v>686</v>
      </c>
      <c r="F295" s="74"/>
      <c r="G295" s="87" t="s">
        <v>740</v>
      </c>
      <c r="H295" s="74" t="s">
        <v>737</v>
      </c>
      <c r="I295" s="74" t="s">
        <v>690</v>
      </c>
      <c r="J295" s="74"/>
      <c r="K295" s="84">
        <v>16.719999999979475</v>
      </c>
      <c r="L295" s="87" t="s">
        <v>154</v>
      </c>
      <c r="M295" s="88">
        <v>4.5499999999999999E-2</v>
      </c>
      <c r="N295" s="88">
        <v>4.009999999995608E-2</v>
      </c>
      <c r="O295" s="84">
        <v>60299.97</v>
      </c>
      <c r="P295" s="86">
        <v>106.9804</v>
      </c>
      <c r="Q295" s="74"/>
      <c r="R295" s="84">
        <v>229.975152401</v>
      </c>
      <c r="S295" s="85">
        <v>2.4173382166529431E-5</v>
      </c>
      <c r="T295" s="85">
        <f t="shared" si="7"/>
        <v>2.7575425846792156E-3</v>
      </c>
      <c r="U295" s="85">
        <f>R295/'סכום נכסי הקרן'!$C$42</f>
        <v>7.9040534745629604E-4</v>
      </c>
    </row>
    <row r="296" spans="2:21">
      <c r="B296" s="77" t="s">
        <v>743</v>
      </c>
      <c r="C296" s="74" t="s">
        <v>744</v>
      </c>
      <c r="D296" s="87" t="s">
        <v>27</v>
      </c>
      <c r="E296" s="87" t="s">
        <v>686</v>
      </c>
      <c r="F296" s="74"/>
      <c r="G296" s="87" t="s">
        <v>729</v>
      </c>
      <c r="H296" s="74" t="s">
        <v>737</v>
      </c>
      <c r="I296" s="74" t="s">
        <v>326</v>
      </c>
      <c r="J296" s="74"/>
      <c r="K296" s="84">
        <v>3.0399999981418406</v>
      </c>
      <c r="L296" s="87" t="s">
        <v>154</v>
      </c>
      <c r="M296" s="88">
        <v>6.5000000000000002E-2</v>
      </c>
      <c r="N296" s="88">
        <v>5.7799999957030064E-2</v>
      </c>
      <c r="O296" s="84">
        <v>94.469953000000004</v>
      </c>
      <c r="P296" s="86">
        <v>102.2689</v>
      </c>
      <c r="Q296" s="74"/>
      <c r="R296" s="84">
        <v>0.34442681599999997</v>
      </c>
      <c r="S296" s="85">
        <v>3.7787981200000001E-8</v>
      </c>
      <c r="T296" s="85">
        <f t="shared" si="7"/>
        <v>4.1298879575015455E-6</v>
      </c>
      <c r="U296" s="85">
        <f>R296/'סכום נכסי הקרן'!$C$42</f>
        <v>1.1837661344346257E-6</v>
      </c>
    </row>
    <row r="297" spans="2:21">
      <c r="B297" s="77" t="s">
        <v>745</v>
      </c>
      <c r="C297" s="74" t="s">
        <v>746</v>
      </c>
      <c r="D297" s="87" t="s">
        <v>27</v>
      </c>
      <c r="E297" s="87" t="s">
        <v>686</v>
      </c>
      <c r="F297" s="74"/>
      <c r="G297" s="87" t="s">
        <v>747</v>
      </c>
      <c r="H297" s="74" t="s">
        <v>737</v>
      </c>
      <c r="I297" s="74" t="s">
        <v>690</v>
      </c>
      <c r="J297" s="74"/>
      <c r="K297" s="84">
        <v>13.91999999994874</v>
      </c>
      <c r="L297" s="87" t="s">
        <v>154</v>
      </c>
      <c r="M297" s="88">
        <v>5.0999999999999997E-2</v>
      </c>
      <c r="N297" s="88">
        <v>5.0499999999747212E-2</v>
      </c>
      <c r="O297" s="84">
        <v>24119.988000000001</v>
      </c>
      <c r="P297" s="86">
        <v>98.911500000000004</v>
      </c>
      <c r="Q297" s="74"/>
      <c r="R297" s="84">
        <v>85.051780483000002</v>
      </c>
      <c r="S297" s="85">
        <v>3.2159984E-5</v>
      </c>
      <c r="T297" s="85">
        <f t="shared" si="7"/>
        <v>1.0198228118823557E-3</v>
      </c>
      <c r="U297" s="85">
        <f>R297/'סכום נכסי הקרן'!$C$42</f>
        <v>2.9231584978895272E-4</v>
      </c>
    </row>
    <row r="298" spans="2:21">
      <c r="B298" s="77" t="s">
        <v>748</v>
      </c>
      <c r="C298" s="74" t="s">
        <v>749</v>
      </c>
      <c r="D298" s="87" t="s">
        <v>27</v>
      </c>
      <c r="E298" s="87" t="s">
        <v>686</v>
      </c>
      <c r="F298" s="74"/>
      <c r="G298" s="87" t="s">
        <v>724</v>
      </c>
      <c r="H298" s="74" t="s">
        <v>737</v>
      </c>
      <c r="I298" s="74" t="s">
        <v>326</v>
      </c>
      <c r="J298" s="74"/>
      <c r="K298" s="84">
        <v>6.2700000000042655</v>
      </c>
      <c r="L298" s="87" t="s">
        <v>154</v>
      </c>
      <c r="M298" s="88">
        <v>4.4999999999999998E-2</v>
      </c>
      <c r="N298" s="88">
        <v>7.6600000000104265E-2</v>
      </c>
      <c r="O298" s="84">
        <v>36380.981899999999</v>
      </c>
      <c r="P298" s="86">
        <v>81.34</v>
      </c>
      <c r="Q298" s="74"/>
      <c r="R298" s="84">
        <v>105.496516265</v>
      </c>
      <c r="S298" s="85">
        <v>4.8507975866666665E-5</v>
      </c>
      <c r="T298" s="85">
        <f t="shared" si="7"/>
        <v>1.2649676849818495E-3</v>
      </c>
      <c r="U298" s="85">
        <f>R298/'סכום נכסי הקרן'!$C$42</f>
        <v>3.6258269523165894E-4</v>
      </c>
    </row>
    <row r="299" spans="2:21">
      <c r="B299" s="77" t="s">
        <v>750</v>
      </c>
      <c r="C299" s="74" t="s">
        <v>751</v>
      </c>
      <c r="D299" s="87" t="s">
        <v>27</v>
      </c>
      <c r="E299" s="87" t="s">
        <v>686</v>
      </c>
      <c r="F299" s="74"/>
      <c r="G299" s="87" t="s">
        <v>724</v>
      </c>
      <c r="H299" s="74" t="s">
        <v>737</v>
      </c>
      <c r="I299" s="74" t="s">
        <v>326</v>
      </c>
      <c r="J299" s="74"/>
      <c r="K299" s="84">
        <v>4.6100000000130539</v>
      </c>
      <c r="L299" s="87" t="s">
        <v>154</v>
      </c>
      <c r="M299" s="88">
        <v>5.7500000000000002E-2</v>
      </c>
      <c r="N299" s="88">
        <v>5.6900000000124171E-2</v>
      </c>
      <c r="O299" s="84">
        <v>17034.741525000001</v>
      </c>
      <c r="P299" s="86">
        <v>103.4387</v>
      </c>
      <c r="Q299" s="74"/>
      <c r="R299" s="84">
        <v>62.817150137999995</v>
      </c>
      <c r="S299" s="85">
        <v>2.4335345035714287E-5</v>
      </c>
      <c r="T299" s="85">
        <f t="shared" si="7"/>
        <v>7.5321600940471704E-4</v>
      </c>
      <c r="U299" s="85">
        <f>R299/'סכום נכסי הקרן'!$C$42</f>
        <v>2.1589728656626949E-4</v>
      </c>
    </row>
    <row r="300" spans="2:21">
      <c r="B300" s="77" t="s">
        <v>754</v>
      </c>
      <c r="C300" s="74" t="s">
        <v>755</v>
      </c>
      <c r="D300" s="87" t="s">
        <v>27</v>
      </c>
      <c r="E300" s="87" t="s">
        <v>686</v>
      </c>
      <c r="F300" s="74"/>
      <c r="G300" s="87" t="s">
        <v>756</v>
      </c>
      <c r="H300" s="74" t="s">
        <v>689</v>
      </c>
      <c r="I300" s="74" t="s">
        <v>326</v>
      </c>
      <c r="J300" s="74"/>
      <c r="K300" s="84">
        <v>7.6399999999894312</v>
      </c>
      <c r="L300" s="87" t="s">
        <v>154</v>
      </c>
      <c r="M300" s="88">
        <v>4.2500000000000003E-2</v>
      </c>
      <c r="N300" s="88">
        <v>6.4099999999918514E-2</v>
      </c>
      <c r="O300" s="84">
        <v>44219.97800000001</v>
      </c>
      <c r="P300" s="86">
        <v>86.428600000000003</v>
      </c>
      <c r="Q300" s="74"/>
      <c r="R300" s="84">
        <v>136.249711171</v>
      </c>
      <c r="S300" s="85">
        <v>7.3699963333333351E-5</v>
      </c>
      <c r="T300" s="85">
        <f t="shared" si="7"/>
        <v>1.6337172811137235E-3</v>
      </c>
      <c r="U300" s="85">
        <f>R300/'סכום נכסי הקרן'!$C$42</f>
        <v>4.6827885175679506E-4</v>
      </c>
    </row>
    <row r="301" spans="2:21">
      <c r="B301" s="77" t="s">
        <v>757</v>
      </c>
      <c r="C301" s="74" t="s">
        <v>758</v>
      </c>
      <c r="D301" s="87" t="s">
        <v>27</v>
      </c>
      <c r="E301" s="87" t="s">
        <v>686</v>
      </c>
      <c r="F301" s="74"/>
      <c r="G301" s="87" t="s">
        <v>756</v>
      </c>
      <c r="H301" s="74" t="s">
        <v>689</v>
      </c>
      <c r="I301" s="74" t="s">
        <v>326</v>
      </c>
      <c r="J301" s="74"/>
      <c r="K301" s="84">
        <v>5.389999999987463</v>
      </c>
      <c r="L301" s="87" t="s">
        <v>154</v>
      </c>
      <c r="M301" s="88">
        <v>5.2499999999999998E-2</v>
      </c>
      <c r="N301" s="88">
        <v>6.149999999983477E-2</v>
      </c>
      <c r="O301" s="84">
        <v>55996.562141000002</v>
      </c>
      <c r="P301" s="86">
        <v>95.502399999999994</v>
      </c>
      <c r="Q301" s="74"/>
      <c r="R301" s="84">
        <v>190.64931990100001</v>
      </c>
      <c r="S301" s="85">
        <v>9.3327603568333343E-5</v>
      </c>
      <c r="T301" s="85">
        <f t="shared" si="7"/>
        <v>2.2860018261905593E-3</v>
      </c>
      <c r="U301" s="85">
        <f>R301/'סכום נכסי הקרן'!$C$42</f>
        <v>6.5524575314076931E-4</v>
      </c>
    </row>
    <row r="302" spans="2:21">
      <c r="B302" s="77" t="s">
        <v>759</v>
      </c>
      <c r="C302" s="74" t="s">
        <v>760</v>
      </c>
      <c r="D302" s="87" t="s">
        <v>27</v>
      </c>
      <c r="E302" s="87" t="s">
        <v>686</v>
      </c>
      <c r="F302" s="74"/>
      <c r="G302" s="87" t="s">
        <v>706</v>
      </c>
      <c r="H302" s="74" t="s">
        <v>689</v>
      </c>
      <c r="I302" s="74" t="s">
        <v>326</v>
      </c>
      <c r="J302" s="74"/>
      <c r="K302" s="84">
        <v>7.1400000000122494</v>
      </c>
      <c r="L302" s="87" t="s">
        <v>154</v>
      </c>
      <c r="M302" s="88">
        <v>4.7500000000000001E-2</v>
      </c>
      <c r="N302" s="88">
        <v>4.5800000000086209E-2</v>
      </c>
      <c r="O302" s="84">
        <v>60299.97</v>
      </c>
      <c r="P302" s="86">
        <v>102.5301</v>
      </c>
      <c r="Q302" s="74"/>
      <c r="R302" s="84">
        <v>220.40829784499999</v>
      </c>
      <c r="S302" s="85">
        <v>2.009999E-5</v>
      </c>
      <c r="T302" s="85">
        <f t="shared" si="7"/>
        <v>2.6428301535135969E-3</v>
      </c>
      <c r="U302" s="85">
        <f>R302/'סכום נכסי הקרן'!$C$42</f>
        <v>7.5752486919395767E-4</v>
      </c>
    </row>
    <row r="303" spans="2:21">
      <c r="B303" s="77" t="s">
        <v>761</v>
      </c>
      <c r="C303" s="74" t="s">
        <v>762</v>
      </c>
      <c r="D303" s="87" t="s">
        <v>27</v>
      </c>
      <c r="E303" s="87" t="s">
        <v>686</v>
      </c>
      <c r="F303" s="74"/>
      <c r="G303" s="87" t="s">
        <v>763</v>
      </c>
      <c r="H303" s="74" t="s">
        <v>689</v>
      </c>
      <c r="I303" s="74" t="s">
        <v>690</v>
      </c>
      <c r="J303" s="74"/>
      <c r="K303" s="74">
        <v>8.7899999999999991</v>
      </c>
      <c r="L303" s="87" t="s">
        <v>154</v>
      </c>
      <c r="M303" s="88">
        <v>3.3000000000000002E-2</v>
      </c>
      <c r="N303" s="88">
        <v>3.3300000000000003E-2</v>
      </c>
      <c r="O303" s="84">
        <v>34169.983</v>
      </c>
      <c r="P303" s="86">
        <v>99.926000000000002</v>
      </c>
      <c r="Q303" s="74"/>
      <c r="R303" s="84">
        <v>121.72584556299999</v>
      </c>
      <c r="S303" s="117">
        <f>34169.98/750000000</f>
        <v>4.555997333333334E-5</v>
      </c>
      <c r="T303" s="85">
        <f t="shared" si="7"/>
        <v>1.4595672588609554E-3</v>
      </c>
      <c r="U303" s="85">
        <f>R303/'סכום נכסי הקרן'!$C$42</f>
        <v>4.183615414628423E-4</v>
      </c>
    </row>
    <row r="304" spans="2:21">
      <c r="B304" s="77" t="s">
        <v>764</v>
      </c>
      <c r="C304" s="74" t="s">
        <v>765</v>
      </c>
      <c r="D304" s="87" t="s">
        <v>27</v>
      </c>
      <c r="E304" s="87" t="s">
        <v>686</v>
      </c>
      <c r="F304" s="74"/>
      <c r="G304" s="87" t="s">
        <v>766</v>
      </c>
      <c r="H304" s="74" t="s">
        <v>689</v>
      </c>
      <c r="I304" s="74" t="s">
        <v>326</v>
      </c>
      <c r="J304" s="74"/>
      <c r="K304" s="84">
        <v>7.5800000000091137</v>
      </c>
      <c r="L304" s="87" t="s">
        <v>154</v>
      </c>
      <c r="M304" s="88">
        <v>5.2999999999999999E-2</v>
      </c>
      <c r="N304" s="88">
        <v>5.3800000000071541E-2</v>
      </c>
      <c r="O304" s="84">
        <v>57686.971299999997</v>
      </c>
      <c r="P304" s="86">
        <v>99.235299999999995</v>
      </c>
      <c r="Q304" s="74"/>
      <c r="R304" s="84">
        <v>204.08137043300002</v>
      </c>
      <c r="S304" s="85">
        <v>3.2963983600000001E-5</v>
      </c>
      <c r="T304" s="85">
        <f t="shared" si="7"/>
        <v>2.4470603186183353E-3</v>
      </c>
      <c r="U304" s="85">
        <f>R304/'סכום נכסי הקרן'!$C$42</f>
        <v>7.0141058641494793E-4</v>
      </c>
    </row>
    <row r="305" spans="2:21">
      <c r="B305" s="77" t="s">
        <v>767</v>
      </c>
      <c r="C305" s="74" t="s">
        <v>768</v>
      </c>
      <c r="D305" s="87" t="s">
        <v>27</v>
      </c>
      <c r="E305" s="87" t="s">
        <v>686</v>
      </c>
      <c r="F305" s="74"/>
      <c r="G305" s="87" t="s">
        <v>688</v>
      </c>
      <c r="H305" s="74" t="s">
        <v>689</v>
      </c>
      <c r="I305" s="74" t="s">
        <v>326</v>
      </c>
      <c r="J305" s="74"/>
      <c r="K305" s="84">
        <v>6.9099999999845503</v>
      </c>
      <c r="L305" s="87" t="s">
        <v>154</v>
      </c>
      <c r="M305" s="88">
        <v>5.2499999999999998E-2</v>
      </c>
      <c r="N305" s="88">
        <v>7.8799999999842121E-2</v>
      </c>
      <c r="O305" s="84">
        <v>68050.526144000003</v>
      </c>
      <c r="P305" s="86">
        <v>85.625200000000007</v>
      </c>
      <c r="Q305" s="74"/>
      <c r="R305" s="84">
        <v>207.72696413099996</v>
      </c>
      <c r="S305" s="85">
        <v>4.5367017429333334E-5</v>
      </c>
      <c r="T305" s="85">
        <f t="shared" si="7"/>
        <v>2.4907732143973722E-3</v>
      </c>
      <c r="U305" s="85">
        <f>R305/'סכום נכסי הקרן'!$C$42</f>
        <v>7.1394018678032898E-4</v>
      </c>
    </row>
    <row r="306" spans="2:21">
      <c r="B306" s="77" t="s">
        <v>769</v>
      </c>
      <c r="C306" s="74" t="s">
        <v>770</v>
      </c>
      <c r="D306" s="87" t="s">
        <v>27</v>
      </c>
      <c r="E306" s="87" t="s">
        <v>686</v>
      </c>
      <c r="F306" s="74"/>
      <c r="G306" s="87" t="s">
        <v>771</v>
      </c>
      <c r="H306" s="74" t="s">
        <v>689</v>
      </c>
      <c r="I306" s="74" t="s">
        <v>326</v>
      </c>
      <c r="J306" s="74"/>
      <c r="K306" s="84">
        <v>4.3000000000102707</v>
      </c>
      <c r="L306" s="87" t="s">
        <v>154</v>
      </c>
      <c r="M306" s="88">
        <v>4.1250000000000002E-2</v>
      </c>
      <c r="N306" s="88">
        <v>9.3500000000176886E-2</v>
      </c>
      <c r="O306" s="84">
        <v>30149.985000000001</v>
      </c>
      <c r="P306" s="86">
        <v>81.523600000000002</v>
      </c>
      <c r="Q306" s="74"/>
      <c r="R306" s="84">
        <v>87.625376146999997</v>
      </c>
      <c r="S306" s="85">
        <v>6.4148904255319152E-5</v>
      </c>
      <c r="T306" s="85">
        <f t="shared" si="7"/>
        <v>1.0506817962775538E-3</v>
      </c>
      <c r="U306" s="85">
        <f>R306/'סכום נכסי הקרן'!$C$42</f>
        <v>3.0116108264901842E-4</v>
      </c>
    </row>
    <row r="307" spans="2:21">
      <c r="B307" s="77" t="s">
        <v>772</v>
      </c>
      <c r="C307" s="74" t="s">
        <v>773</v>
      </c>
      <c r="D307" s="87" t="s">
        <v>27</v>
      </c>
      <c r="E307" s="87" t="s">
        <v>686</v>
      </c>
      <c r="F307" s="74"/>
      <c r="G307" s="87" t="s">
        <v>771</v>
      </c>
      <c r="H307" s="74" t="s">
        <v>689</v>
      </c>
      <c r="I307" s="74" t="s">
        <v>326</v>
      </c>
      <c r="J307" s="74"/>
      <c r="K307" s="84">
        <v>4.4500000000095579</v>
      </c>
      <c r="L307" s="87" t="s">
        <v>154</v>
      </c>
      <c r="M307" s="88">
        <v>3.7499999999999999E-2</v>
      </c>
      <c r="N307" s="88">
        <v>5.1200000000105134E-2</v>
      </c>
      <c r="O307" s="84">
        <v>50249.974999999999</v>
      </c>
      <c r="P307" s="86">
        <v>93.449799999999996</v>
      </c>
      <c r="Q307" s="74"/>
      <c r="R307" s="84">
        <v>167.40711625200001</v>
      </c>
      <c r="S307" s="85">
        <v>1.3958326388888888E-4</v>
      </c>
      <c r="T307" s="85">
        <f t="shared" si="7"/>
        <v>2.0073136042032111E-3</v>
      </c>
      <c r="U307" s="85">
        <f>R307/'סכום נכסי הקרן'!$C$42</f>
        <v>5.7536424481675105E-4</v>
      </c>
    </row>
    <row r="308" spans="2:21">
      <c r="B308" s="77" t="s">
        <v>774</v>
      </c>
      <c r="C308" s="74" t="s">
        <v>775</v>
      </c>
      <c r="D308" s="87" t="s">
        <v>27</v>
      </c>
      <c r="E308" s="87" t="s">
        <v>686</v>
      </c>
      <c r="F308" s="74"/>
      <c r="G308" s="87" t="s">
        <v>776</v>
      </c>
      <c r="H308" s="74" t="s">
        <v>777</v>
      </c>
      <c r="I308" s="74" t="s">
        <v>670</v>
      </c>
      <c r="J308" s="74"/>
      <c r="K308" s="84">
        <v>8.0300000000205607</v>
      </c>
      <c r="L308" s="87" t="s">
        <v>156</v>
      </c>
      <c r="M308" s="88">
        <v>2.8750000000000001E-2</v>
      </c>
      <c r="N308" s="88">
        <v>3.3900000000071068E-2</v>
      </c>
      <c r="O308" s="84">
        <v>41405.979399999997</v>
      </c>
      <c r="P308" s="86">
        <v>97.579400000000007</v>
      </c>
      <c r="Q308" s="74"/>
      <c r="R308" s="84">
        <v>157.58666199200002</v>
      </c>
      <c r="S308" s="85">
        <v>4.1405979399999999E-5</v>
      </c>
      <c r="T308" s="85">
        <f t="shared" si="7"/>
        <v>1.8895603576454031E-3</v>
      </c>
      <c r="U308" s="85">
        <f>R308/'סכום נכסי הקרן'!$C$42</f>
        <v>5.4161216560073486E-4</v>
      </c>
    </row>
    <row r="309" spans="2:21">
      <c r="B309" s="77" t="s">
        <v>778</v>
      </c>
      <c r="C309" s="74" t="s">
        <v>779</v>
      </c>
      <c r="D309" s="87" t="s">
        <v>27</v>
      </c>
      <c r="E309" s="87" t="s">
        <v>686</v>
      </c>
      <c r="F309" s="74"/>
      <c r="G309" s="87" t="s">
        <v>711</v>
      </c>
      <c r="H309" s="74" t="s">
        <v>689</v>
      </c>
      <c r="I309" s="74" t="s">
        <v>326</v>
      </c>
      <c r="J309" s="74"/>
      <c r="K309" s="84">
        <v>15.550000000031478</v>
      </c>
      <c r="L309" s="87" t="s">
        <v>154</v>
      </c>
      <c r="M309" s="88">
        <v>4.2000000000000003E-2</v>
      </c>
      <c r="N309" s="88">
        <v>4.7400000000098273E-2</v>
      </c>
      <c r="O309" s="84">
        <v>40199.980000000003</v>
      </c>
      <c r="P309" s="86">
        <v>90.885999999999996</v>
      </c>
      <c r="Q309" s="74"/>
      <c r="R309" s="84">
        <v>130.251388378</v>
      </c>
      <c r="S309" s="85">
        <v>2.2333322222222223E-5</v>
      </c>
      <c r="T309" s="85">
        <f t="shared" si="7"/>
        <v>1.5617937260441388E-3</v>
      </c>
      <c r="U309" s="85">
        <f>R309/'סכום נכסי הקרן'!$C$42</f>
        <v>4.4766311844013969E-4</v>
      </c>
    </row>
    <row r="310" spans="2:21">
      <c r="B310" s="77" t="s">
        <v>780</v>
      </c>
      <c r="C310" s="74" t="s">
        <v>781</v>
      </c>
      <c r="D310" s="87" t="s">
        <v>27</v>
      </c>
      <c r="E310" s="87" t="s">
        <v>686</v>
      </c>
      <c r="F310" s="74"/>
      <c r="G310" s="87" t="s">
        <v>766</v>
      </c>
      <c r="H310" s="74" t="s">
        <v>689</v>
      </c>
      <c r="I310" s="74" t="s">
        <v>326</v>
      </c>
      <c r="J310" s="74"/>
      <c r="K310" s="84">
        <v>7.3199999999875089</v>
      </c>
      <c r="L310" s="87" t="s">
        <v>154</v>
      </c>
      <c r="M310" s="88">
        <v>4.5999999999999999E-2</v>
      </c>
      <c r="N310" s="88">
        <v>4.0399999999899523E-2</v>
      </c>
      <c r="O310" s="84">
        <v>39072.370561000003</v>
      </c>
      <c r="P310" s="86">
        <v>105.7478</v>
      </c>
      <c r="Q310" s="74"/>
      <c r="R310" s="84">
        <v>147.29925318700001</v>
      </c>
      <c r="S310" s="85">
        <v>4.8840463201250007E-5</v>
      </c>
      <c r="T310" s="85">
        <f t="shared" si="7"/>
        <v>1.7662080407988979E-3</v>
      </c>
      <c r="U310" s="85">
        <f>R310/'סכום נכסי הקרן'!$C$42</f>
        <v>5.0625520270257418E-4</v>
      </c>
    </row>
    <row r="311" spans="2:21">
      <c r="B311" s="77" t="s">
        <v>782</v>
      </c>
      <c r="C311" s="74" t="s">
        <v>783</v>
      </c>
      <c r="D311" s="87" t="s">
        <v>27</v>
      </c>
      <c r="E311" s="87" t="s">
        <v>686</v>
      </c>
      <c r="F311" s="74"/>
      <c r="G311" s="87" t="s">
        <v>706</v>
      </c>
      <c r="H311" s="74" t="s">
        <v>689</v>
      </c>
      <c r="I311" s="74" t="s">
        <v>326</v>
      </c>
      <c r="J311" s="74"/>
      <c r="K311" s="84">
        <v>7.4700000000075573</v>
      </c>
      <c r="L311" s="87" t="s">
        <v>154</v>
      </c>
      <c r="M311" s="88">
        <v>4.2999999999999997E-2</v>
      </c>
      <c r="N311" s="88">
        <v>3.8200000000093576E-2</v>
      </c>
      <c r="O311" s="84">
        <v>29747.985199999999</v>
      </c>
      <c r="P311" s="86">
        <v>104.7993</v>
      </c>
      <c r="Q311" s="74"/>
      <c r="R311" s="84">
        <v>111.141335428</v>
      </c>
      <c r="S311" s="85">
        <v>2.9747985199999999E-5</v>
      </c>
      <c r="T311" s="85">
        <f t="shared" si="7"/>
        <v>1.3326525155484326E-3</v>
      </c>
      <c r="U311" s="85">
        <f>R311/'סכום נכסי הקרן'!$C$42</f>
        <v>3.8198346616398677E-4</v>
      </c>
    </row>
    <row r="312" spans="2:21">
      <c r="B312" s="77" t="s">
        <v>784</v>
      </c>
      <c r="C312" s="74" t="s">
        <v>785</v>
      </c>
      <c r="D312" s="87" t="s">
        <v>27</v>
      </c>
      <c r="E312" s="87" t="s">
        <v>686</v>
      </c>
      <c r="F312" s="74"/>
      <c r="G312" s="87" t="s">
        <v>771</v>
      </c>
      <c r="H312" s="74" t="s">
        <v>689</v>
      </c>
      <c r="I312" s="74" t="s">
        <v>326</v>
      </c>
      <c r="J312" s="74"/>
      <c r="K312" s="84">
        <v>4.7599999999979898</v>
      </c>
      <c r="L312" s="87" t="s">
        <v>154</v>
      </c>
      <c r="M312" s="88">
        <v>3.7499999999999999E-2</v>
      </c>
      <c r="N312" s="88">
        <v>8.0199999999959776E-2</v>
      </c>
      <c r="O312" s="84">
        <v>110549.94500000001</v>
      </c>
      <c r="P312" s="86">
        <v>80.758300000000006</v>
      </c>
      <c r="Q312" s="74"/>
      <c r="R312" s="84">
        <v>318.27711481399996</v>
      </c>
      <c r="S312" s="85">
        <v>2.2109989000000001E-4</v>
      </c>
      <c r="T312" s="85">
        <f t="shared" si="7"/>
        <v>3.8163370636584673E-3</v>
      </c>
      <c r="U312" s="85">
        <f>R312/'סכום נכסי הקרן'!$C$42</f>
        <v>1.0938918004641494E-3</v>
      </c>
    </row>
    <row r="313" spans="2:21">
      <c r="B313" s="77" t="s">
        <v>786</v>
      </c>
      <c r="C313" s="74" t="s">
        <v>787</v>
      </c>
      <c r="D313" s="87" t="s">
        <v>27</v>
      </c>
      <c r="E313" s="87" t="s">
        <v>686</v>
      </c>
      <c r="F313" s="74"/>
      <c r="G313" s="87" t="s">
        <v>788</v>
      </c>
      <c r="H313" s="74" t="s">
        <v>689</v>
      </c>
      <c r="I313" s="74" t="s">
        <v>690</v>
      </c>
      <c r="J313" s="74"/>
      <c r="K313" s="118">
        <v>7.76</v>
      </c>
      <c r="L313" s="87" t="s">
        <v>154</v>
      </c>
      <c r="M313" s="88">
        <v>5.9500000000000004E-2</v>
      </c>
      <c r="N313" s="116">
        <v>5.1360000000000003E-2</v>
      </c>
      <c r="O313" s="84">
        <v>20099.990000000002</v>
      </c>
      <c r="P313" s="86">
        <v>105.812</v>
      </c>
      <c r="Q313" s="74"/>
      <c r="R313" s="84">
        <v>75.821138058000003</v>
      </c>
      <c r="S313" s="117">
        <f>20099.99/1250000000</f>
        <v>1.6079992E-5</v>
      </c>
      <c r="T313" s="85">
        <f t="shared" si="7"/>
        <v>9.0914176958218132E-4</v>
      </c>
      <c r="U313" s="85">
        <f>R313/'סכום נכסי הקרן'!$C$42</f>
        <v>2.605909044763598E-4</v>
      </c>
    </row>
    <row r="314" spans="2:21">
      <c r="B314" s="77" t="s">
        <v>789</v>
      </c>
      <c r="C314" s="74" t="s">
        <v>790</v>
      </c>
      <c r="D314" s="87" t="s">
        <v>27</v>
      </c>
      <c r="E314" s="87" t="s">
        <v>686</v>
      </c>
      <c r="F314" s="74"/>
      <c r="G314" s="87" t="s">
        <v>791</v>
      </c>
      <c r="H314" s="74" t="s">
        <v>689</v>
      </c>
      <c r="I314" s="74" t="s">
        <v>690</v>
      </c>
      <c r="J314" s="74"/>
      <c r="K314" s="84">
        <v>5.6800000000128748</v>
      </c>
      <c r="L314" s="87" t="s">
        <v>154</v>
      </c>
      <c r="M314" s="88">
        <v>5.2999999999999999E-2</v>
      </c>
      <c r="N314" s="88">
        <v>0.1064000000001758</v>
      </c>
      <c r="O314" s="84">
        <v>62209.46905</v>
      </c>
      <c r="P314" s="86">
        <v>72.843800000000002</v>
      </c>
      <c r="Q314" s="74"/>
      <c r="R314" s="84">
        <v>161.55069136900002</v>
      </c>
      <c r="S314" s="85">
        <v>4.1472979366666668E-5</v>
      </c>
      <c r="T314" s="85">
        <f t="shared" si="7"/>
        <v>1.9370914917695669E-3</v>
      </c>
      <c r="U314" s="85">
        <f>R314/'סכום נכסי הקרן'!$C$42</f>
        <v>5.5523620273841402E-4</v>
      </c>
    </row>
    <row r="315" spans="2:21">
      <c r="B315" s="77" t="s">
        <v>792</v>
      </c>
      <c r="C315" s="74" t="s">
        <v>793</v>
      </c>
      <c r="D315" s="87" t="s">
        <v>27</v>
      </c>
      <c r="E315" s="87" t="s">
        <v>686</v>
      </c>
      <c r="F315" s="74"/>
      <c r="G315" s="87" t="s">
        <v>791</v>
      </c>
      <c r="H315" s="74" t="s">
        <v>689</v>
      </c>
      <c r="I315" s="74" t="s">
        <v>690</v>
      </c>
      <c r="J315" s="74"/>
      <c r="K315" s="84">
        <v>5.2299999999810032</v>
      </c>
      <c r="L315" s="87" t="s">
        <v>154</v>
      </c>
      <c r="M315" s="88">
        <v>5.8749999999999997E-2</v>
      </c>
      <c r="N315" s="88">
        <v>9.9899999999504094E-2</v>
      </c>
      <c r="O315" s="84">
        <v>14069.993</v>
      </c>
      <c r="P315" s="86">
        <v>80.807400000000001</v>
      </c>
      <c r="Q315" s="74"/>
      <c r="R315" s="84">
        <v>40.532595499000003</v>
      </c>
      <c r="S315" s="85">
        <v>1.1724994166666667E-5</v>
      </c>
      <c r="T315" s="85">
        <f t="shared" si="7"/>
        <v>4.8601058413988728E-4</v>
      </c>
      <c r="U315" s="85">
        <f>R315/'סכום נכסי הקרן'!$C$42</f>
        <v>1.393071377242983E-4</v>
      </c>
    </row>
    <row r="316" spans="2:21">
      <c r="B316" s="77" t="s">
        <v>794</v>
      </c>
      <c r="C316" s="74" t="s">
        <v>795</v>
      </c>
      <c r="D316" s="87" t="s">
        <v>27</v>
      </c>
      <c r="E316" s="87" t="s">
        <v>686</v>
      </c>
      <c r="F316" s="74"/>
      <c r="G316" s="87" t="s">
        <v>796</v>
      </c>
      <c r="H316" s="74" t="s">
        <v>689</v>
      </c>
      <c r="I316" s="74" t="s">
        <v>326</v>
      </c>
      <c r="J316" s="74"/>
      <c r="K316" s="84">
        <v>6.7300000000072284</v>
      </c>
      <c r="L316" s="87" t="s">
        <v>156</v>
      </c>
      <c r="M316" s="88">
        <v>4.6249999999999999E-2</v>
      </c>
      <c r="N316" s="88">
        <v>5.7800000000052344E-2</v>
      </c>
      <c r="O316" s="84">
        <v>60500.969899999996</v>
      </c>
      <c r="P316" s="86">
        <v>95.543000000000006</v>
      </c>
      <c r="Q316" s="74"/>
      <c r="R316" s="84">
        <v>225.45461226899999</v>
      </c>
      <c r="S316" s="85">
        <v>4.0333979933333332E-5</v>
      </c>
      <c r="T316" s="85">
        <f t="shared" si="7"/>
        <v>2.7033385465925026E-3</v>
      </c>
      <c r="U316" s="85">
        <f>R316/'סכום נכסי הקרן'!$C$42</f>
        <v>7.7486862943950189E-4</v>
      </c>
    </row>
    <row r="317" spans="2:21">
      <c r="B317" s="77" t="s">
        <v>797</v>
      </c>
      <c r="C317" s="74" t="s">
        <v>798</v>
      </c>
      <c r="D317" s="87" t="s">
        <v>27</v>
      </c>
      <c r="E317" s="87" t="s">
        <v>686</v>
      </c>
      <c r="F317" s="74"/>
      <c r="G317" s="87" t="s">
        <v>776</v>
      </c>
      <c r="H317" s="74" t="s">
        <v>799</v>
      </c>
      <c r="I317" s="74" t="s">
        <v>690</v>
      </c>
      <c r="J317" s="74"/>
      <c r="K317" s="84">
        <v>6.7700000000037512</v>
      </c>
      <c r="L317" s="87" t="s">
        <v>156</v>
      </c>
      <c r="M317" s="88">
        <v>3.125E-2</v>
      </c>
      <c r="N317" s="88">
        <v>4.3100000000021038E-2</v>
      </c>
      <c r="O317" s="84">
        <v>60299.97</v>
      </c>
      <c r="P317" s="86">
        <v>92.938400000000001</v>
      </c>
      <c r="Q317" s="74"/>
      <c r="R317" s="84">
        <v>218.579833734</v>
      </c>
      <c r="S317" s="85">
        <v>8.039996E-5</v>
      </c>
      <c r="T317" s="85">
        <f t="shared" si="7"/>
        <v>2.6209057516901843E-3</v>
      </c>
      <c r="U317" s="85">
        <f>R317/'סכום נכסי הקרן'!$C$42</f>
        <v>7.5124059110618269E-4</v>
      </c>
    </row>
    <row r="318" spans="2:21">
      <c r="B318" s="77" t="s">
        <v>800</v>
      </c>
      <c r="C318" s="74" t="s">
        <v>801</v>
      </c>
      <c r="D318" s="87" t="s">
        <v>27</v>
      </c>
      <c r="E318" s="87" t="s">
        <v>686</v>
      </c>
      <c r="F318" s="74"/>
      <c r="G318" s="87" t="s">
        <v>688</v>
      </c>
      <c r="H318" s="74" t="s">
        <v>802</v>
      </c>
      <c r="I318" s="74" t="s">
        <v>670</v>
      </c>
      <c r="J318" s="74"/>
      <c r="K318" s="84">
        <v>7.7699999999646572</v>
      </c>
      <c r="L318" s="87" t="s">
        <v>154</v>
      </c>
      <c r="M318" s="88">
        <v>3.7000000000000005E-2</v>
      </c>
      <c r="N318" s="88">
        <v>7.2799999999616144E-2</v>
      </c>
      <c r="O318" s="84">
        <v>31154.984499999999</v>
      </c>
      <c r="P318" s="86">
        <v>76.934100000000001</v>
      </c>
      <c r="Q318" s="74"/>
      <c r="R318" s="84">
        <v>85.448747326000003</v>
      </c>
      <c r="S318" s="85">
        <v>2.0769989666666666E-5</v>
      </c>
      <c r="T318" s="85">
        <f t="shared" si="7"/>
        <v>1.0245826868638468E-3</v>
      </c>
      <c r="U318" s="85">
        <f>R318/'סכום נכסי הקרן'!$C$42</f>
        <v>2.9368019159803192E-4</v>
      </c>
    </row>
    <row r="319" spans="2:21">
      <c r="B319" s="77" t="s">
        <v>803</v>
      </c>
      <c r="C319" s="74" t="s">
        <v>804</v>
      </c>
      <c r="D319" s="87" t="s">
        <v>27</v>
      </c>
      <c r="E319" s="87" t="s">
        <v>686</v>
      </c>
      <c r="F319" s="74"/>
      <c r="G319" s="87" t="s">
        <v>688</v>
      </c>
      <c r="H319" s="74" t="s">
        <v>802</v>
      </c>
      <c r="I319" s="74" t="s">
        <v>670</v>
      </c>
      <c r="J319" s="74"/>
      <c r="K319" s="84">
        <v>3.6300000000070813</v>
      </c>
      <c r="L319" s="87" t="s">
        <v>154</v>
      </c>
      <c r="M319" s="88">
        <v>7.0000000000000007E-2</v>
      </c>
      <c r="N319" s="88">
        <v>0.10830000000017119</v>
      </c>
      <c r="O319" s="84">
        <v>58064.851111999989</v>
      </c>
      <c r="P319" s="86">
        <v>86.64</v>
      </c>
      <c r="Q319" s="74"/>
      <c r="R319" s="84">
        <v>179.34583467099998</v>
      </c>
      <c r="S319" s="85">
        <v>4.6454482340611069E-5</v>
      </c>
      <c r="T319" s="85">
        <f t="shared" si="7"/>
        <v>2.1504661322184217E-3</v>
      </c>
      <c r="U319" s="85">
        <f>R319/'סכום נכסי הקרן'!$C$42</f>
        <v>6.1639662062619753E-4</v>
      </c>
    </row>
    <row r="320" spans="2:21">
      <c r="B320" s="77" t="s">
        <v>805</v>
      </c>
      <c r="C320" s="74" t="s">
        <v>806</v>
      </c>
      <c r="D320" s="87" t="s">
        <v>27</v>
      </c>
      <c r="E320" s="87" t="s">
        <v>686</v>
      </c>
      <c r="F320" s="74"/>
      <c r="G320" s="87" t="s">
        <v>688</v>
      </c>
      <c r="H320" s="74" t="s">
        <v>802</v>
      </c>
      <c r="I320" s="74" t="s">
        <v>670</v>
      </c>
      <c r="J320" s="74"/>
      <c r="K320" s="84">
        <v>5.9799999999856492</v>
      </c>
      <c r="L320" s="87" t="s">
        <v>154</v>
      </c>
      <c r="M320" s="88">
        <v>5.1249999999999997E-2</v>
      </c>
      <c r="N320" s="88">
        <v>7.0299999999868065E-2</v>
      </c>
      <c r="O320" s="84">
        <v>27134.986499999999</v>
      </c>
      <c r="P320" s="86">
        <v>89.321299999999994</v>
      </c>
      <c r="Q320" s="74"/>
      <c r="R320" s="84">
        <v>86.406007037999998</v>
      </c>
      <c r="S320" s="85">
        <v>1.8089991E-5</v>
      </c>
      <c r="T320" s="85">
        <f t="shared" si="7"/>
        <v>1.0360608156654968E-3</v>
      </c>
      <c r="U320" s="85">
        <f>R320/'סכום נכסי הקרן'!$C$42</f>
        <v>2.9697021309544122E-4</v>
      </c>
    </row>
    <row r="321" spans="2:21">
      <c r="B321" s="77" t="s">
        <v>807</v>
      </c>
      <c r="C321" s="74" t="s">
        <v>808</v>
      </c>
      <c r="D321" s="87" t="s">
        <v>27</v>
      </c>
      <c r="E321" s="87" t="s">
        <v>686</v>
      </c>
      <c r="F321" s="74"/>
      <c r="G321" s="87" t="s">
        <v>718</v>
      </c>
      <c r="H321" s="74" t="s">
        <v>799</v>
      </c>
      <c r="I321" s="74" t="s">
        <v>326</v>
      </c>
      <c r="J321" s="74"/>
      <c r="K321" s="84">
        <v>6.4699999999014599</v>
      </c>
      <c r="L321" s="87" t="s">
        <v>154</v>
      </c>
      <c r="M321" s="88">
        <v>4.6249999999999999E-2</v>
      </c>
      <c r="N321" s="88">
        <v>4.5899999999367912E-2</v>
      </c>
      <c r="O321" s="84">
        <v>10049.995000000001</v>
      </c>
      <c r="P321" s="86">
        <v>101.1186</v>
      </c>
      <c r="Q321" s="74"/>
      <c r="R321" s="84">
        <v>36.229000831</v>
      </c>
      <c r="S321" s="85">
        <v>2.8714271428571433E-6</v>
      </c>
      <c r="T321" s="85">
        <f t="shared" si="7"/>
        <v>4.3440785471320678E-4</v>
      </c>
      <c r="U321" s="85">
        <f>R321/'סכום נכסי הקרן'!$C$42</f>
        <v>1.2451604310664857E-4</v>
      </c>
    </row>
    <row r="322" spans="2:21">
      <c r="B322" s="77" t="s">
        <v>809</v>
      </c>
      <c r="C322" s="74" t="s">
        <v>810</v>
      </c>
      <c r="D322" s="87" t="s">
        <v>27</v>
      </c>
      <c r="E322" s="87" t="s">
        <v>686</v>
      </c>
      <c r="F322" s="74"/>
      <c r="G322" s="87" t="s">
        <v>703</v>
      </c>
      <c r="H322" s="74" t="s">
        <v>802</v>
      </c>
      <c r="I322" s="74" t="s">
        <v>670</v>
      </c>
      <c r="J322" s="74"/>
      <c r="K322" s="84">
        <v>6.3099999999885039</v>
      </c>
      <c r="L322" s="87" t="s">
        <v>154</v>
      </c>
      <c r="M322" s="88">
        <v>4.4999999999999998E-2</v>
      </c>
      <c r="N322" s="88">
        <v>4.0799999999944978E-2</v>
      </c>
      <c r="O322" s="84">
        <v>28139.986000000001</v>
      </c>
      <c r="P322" s="86">
        <v>101.45099999999999</v>
      </c>
      <c r="Q322" s="74"/>
      <c r="R322" s="84">
        <v>101.77467950699999</v>
      </c>
      <c r="S322" s="85">
        <v>3.7519981333333331E-5</v>
      </c>
      <c r="T322" s="85">
        <f t="shared" si="7"/>
        <v>1.2203405883313644E-3</v>
      </c>
      <c r="U322" s="85">
        <f>R322/'סכום נכסי הקרן'!$C$42</f>
        <v>3.4979105385140599E-4</v>
      </c>
    </row>
    <row r="323" spans="2:21">
      <c r="B323" s="77" t="s">
        <v>811</v>
      </c>
      <c r="C323" s="74" t="s">
        <v>812</v>
      </c>
      <c r="D323" s="87" t="s">
        <v>27</v>
      </c>
      <c r="E323" s="87" t="s">
        <v>686</v>
      </c>
      <c r="F323" s="74"/>
      <c r="G323" s="87" t="s">
        <v>791</v>
      </c>
      <c r="H323" s="74" t="s">
        <v>802</v>
      </c>
      <c r="I323" s="74" t="s">
        <v>670</v>
      </c>
      <c r="J323" s="74"/>
      <c r="K323" s="84">
        <v>5.3699999999931256</v>
      </c>
      <c r="L323" s="87" t="s">
        <v>154</v>
      </c>
      <c r="M323" s="88">
        <v>0.06</v>
      </c>
      <c r="N323" s="88">
        <v>0.11619999999985779</v>
      </c>
      <c r="O323" s="84">
        <v>63335.068489999998</v>
      </c>
      <c r="P323" s="86">
        <v>75.364699999999999</v>
      </c>
      <c r="Q323" s="74"/>
      <c r="R323" s="84">
        <v>170.16551844099999</v>
      </c>
      <c r="S323" s="85">
        <v>8.4446757986666662E-5</v>
      </c>
      <c r="T323" s="85">
        <f t="shared" si="7"/>
        <v>2.0403885317439776E-3</v>
      </c>
      <c r="U323" s="85">
        <f>R323/'סכום נכסי הקרן'!$C$42</f>
        <v>5.8484464223298625E-4</v>
      </c>
    </row>
    <row r="324" spans="2:21">
      <c r="B324" s="77" t="s">
        <v>813</v>
      </c>
      <c r="C324" s="74" t="s">
        <v>814</v>
      </c>
      <c r="D324" s="87" t="s">
        <v>27</v>
      </c>
      <c r="E324" s="87" t="s">
        <v>686</v>
      </c>
      <c r="F324" s="74"/>
      <c r="G324" s="87" t="s">
        <v>688</v>
      </c>
      <c r="H324" s="74" t="s">
        <v>846</v>
      </c>
      <c r="I324" s="74" t="s">
        <v>670</v>
      </c>
      <c r="J324" s="74"/>
      <c r="K324" s="84">
        <v>6.3400000000081524</v>
      </c>
      <c r="L324" s="87" t="s">
        <v>154</v>
      </c>
      <c r="M324" s="88">
        <v>5.1249999999999997E-2</v>
      </c>
      <c r="N324" s="88">
        <v>0.10540000000010515</v>
      </c>
      <c r="O324" s="84">
        <v>65660.637333000006</v>
      </c>
      <c r="P324" s="86">
        <v>72.316000000000003</v>
      </c>
      <c r="Q324" s="74"/>
      <c r="R324" s="84">
        <v>169.277352243</v>
      </c>
      <c r="S324" s="85">
        <v>1.1938297696909092E-4</v>
      </c>
      <c r="T324" s="85">
        <f t="shared" si="7"/>
        <v>2.0297388763890934E-3</v>
      </c>
      <c r="U324" s="85">
        <f>R324/'סכום נכסי הקרן'!$C$42</f>
        <v>5.8179208935933908E-4</v>
      </c>
    </row>
    <row r="325" spans="2:21">
      <c r="B325" s="77" t="s">
        <v>815</v>
      </c>
      <c r="C325" s="74" t="s">
        <v>816</v>
      </c>
      <c r="D325" s="87" t="s">
        <v>27</v>
      </c>
      <c r="E325" s="87" t="s">
        <v>686</v>
      </c>
      <c r="F325" s="74"/>
      <c r="G325" s="87" t="s">
        <v>817</v>
      </c>
      <c r="H325" s="74" t="s">
        <v>799</v>
      </c>
      <c r="I325" s="74" t="s">
        <v>690</v>
      </c>
      <c r="J325" s="74"/>
      <c r="K325" s="84">
        <v>3.9399999999947286</v>
      </c>
      <c r="L325" s="87" t="s">
        <v>156</v>
      </c>
      <c r="M325" s="88">
        <v>0.03</v>
      </c>
      <c r="N325" s="88">
        <v>6.7099999999862339E-2</v>
      </c>
      <c r="O325" s="84">
        <v>49646.975300000006</v>
      </c>
      <c r="P325" s="86">
        <v>88.165099999999995</v>
      </c>
      <c r="Q325" s="74"/>
      <c r="R325" s="84">
        <v>170.72125108500001</v>
      </c>
      <c r="S325" s="85">
        <v>9.9293950600000015E-5</v>
      </c>
      <c r="T325" s="85">
        <f t="shared" si="7"/>
        <v>2.047052105680236E-3</v>
      </c>
      <c r="U325" s="85">
        <f>R325/'סכום נכסי הקרן'!$C$42</f>
        <v>5.8675464880973043E-4</v>
      </c>
    </row>
    <row r="326" spans="2:21">
      <c r="B326" s="77" t="s">
        <v>820</v>
      </c>
      <c r="C326" s="74" t="s">
        <v>821</v>
      </c>
      <c r="D326" s="87" t="s">
        <v>27</v>
      </c>
      <c r="E326" s="87" t="s">
        <v>686</v>
      </c>
      <c r="F326" s="74"/>
      <c r="G326" s="87" t="s">
        <v>729</v>
      </c>
      <c r="H326" s="74" t="s">
        <v>799</v>
      </c>
      <c r="I326" s="74" t="s">
        <v>690</v>
      </c>
      <c r="J326" s="74"/>
      <c r="K326" s="84">
        <v>4.1699999999978168</v>
      </c>
      <c r="L326" s="87" t="s">
        <v>154</v>
      </c>
      <c r="M326" s="88">
        <v>3.7539999999999997E-2</v>
      </c>
      <c r="N326" s="88">
        <v>5.6599999999956345E-2</v>
      </c>
      <c r="O326" s="84">
        <v>68942.965700000001</v>
      </c>
      <c r="P326" s="86">
        <v>93.200699999999998</v>
      </c>
      <c r="Q326" s="74"/>
      <c r="R326" s="84">
        <v>229.07033504999998</v>
      </c>
      <c r="S326" s="85">
        <v>9.192395426666667E-5</v>
      </c>
      <c r="T326" s="85">
        <f t="shared" si="7"/>
        <v>2.7466932718265445E-3</v>
      </c>
      <c r="U326" s="85">
        <f>R326/'סכום נכסי הקרן'!$C$42</f>
        <v>7.8729556596366485E-4</v>
      </c>
    </row>
    <row r="327" spans="2:21">
      <c r="B327" s="77" t="s">
        <v>822</v>
      </c>
      <c r="C327" s="74" t="s">
        <v>823</v>
      </c>
      <c r="D327" s="87" t="s">
        <v>27</v>
      </c>
      <c r="E327" s="87" t="s">
        <v>686</v>
      </c>
      <c r="F327" s="74"/>
      <c r="G327" s="87" t="s">
        <v>766</v>
      </c>
      <c r="H327" s="74" t="s">
        <v>799</v>
      </c>
      <c r="I327" s="74" t="s">
        <v>690</v>
      </c>
      <c r="J327" s="74"/>
      <c r="K327" s="84">
        <v>6.029999999995959</v>
      </c>
      <c r="L327" s="87" t="s">
        <v>154</v>
      </c>
      <c r="M327" s="88">
        <v>4.8750000000000002E-2</v>
      </c>
      <c r="N327" s="88">
        <v>5.0199999999947155E-2</v>
      </c>
      <c r="O327" s="84">
        <v>36179.982000000004</v>
      </c>
      <c r="P327" s="86">
        <v>99.771000000000001</v>
      </c>
      <c r="Q327" s="74"/>
      <c r="R327" s="84">
        <v>128.68626788399999</v>
      </c>
      <c r="S327" s="85">
        <v>5.2402403733347241E-5</v>
      </c>
      <c r="T327" s="85">
        <f t="shared" si="7"/>
        <v>1.5430269750830014E-3</v>
      </c>
      <c r="U327" s="85">
        <f>R327/'סכום נכסי הקרן'!$C$42</f>
        <v>4.4228393031935526E-4</v>
      </c>
    </row>
    <row r="328" spans="2:21">
      <c r="B328" s="77" t="s">
        <v>824</v>
      </c>
      <c r="C328" s="74" t="s">
        <v>825</v>
      </c>
      <c r="D328" s="87" t="s">
        <v>27</v>
      </c>
      <c r="E328" s="87" t="s">
        <v>686</v>
      </c>
      <c r="F328" s="74"/>
      <c r="G328" s="87" t="s">
        <v>817</v>
      </c>
      <c r="H328" s="74" t="s">
        <v>799</v>
      </c>
      <c r="I328" s="74" t="s">
        <v>690</v>
      </c>
      <c r="J328" s="74"/>
      <c r="K328" s="84">
        <v>3.6799999999830195</v>
      </c>
      <c r="L328" s="87" t="s">
        <v>156</v>
      </c>
      <c r="M328" s="88">
        <v>4.2500000000000003E-2</v>
      </c>
      <c r="N328" s="88">
        <v>4.4099999999859786E-2</v>
      </c>
      <c r="O328" s="84">
        <v>20099.990000000002</v>
      </c>
      <c r="P328" s="86">
        <v>99.159400000000005</v>
      </c>
      <c r="Q328" s="74"/>
      <c r="R328" s="84">
        <v>77.736981448999998</v>
      </c>
      <c r="S328" s="85">
        <v>6.6999966666666676E-5</v>
      </c>
      <c r="T328" s="85">
        <f t="shared" si="7"/>
        <v>9.3211390235871231E-4</v>
      </c>
      <c r="U328" s="85">
        <f>R328/'סכום נכסי הקרן'!$C$42</f>
        <v>2.6717549783492745E-4</v>
      </c>
    </row>
    <row r="329" spans="2:21">
      <c r="B329" s="77" t="s">
        <v>826</v>
      </c>
      <c r="C329" s="74" t="s">
        <v>827</v>
      </c>
      <c r="D329" s="87" t="s">
        <v>27</v>
      </c>
      <c r="E329" s="87" t="s">
        <v>686</v>
      </c>
      <c r="F329" s="74"/>
      <c r="G329" s="87" t="s">
        <v>791</v>
      </c>
      <c r="H329" s="74" t="s">
        <v>799</v>
      </c>
      <c r="I329" s="74" t="s">
        <v>326</v>
      </c>
      <c r="J329" s="74"/>
      <c r="K329" s="84">
        <v>2.3399999999972221</v>
      </c>
      <c r="L329" s="87" t="s">
        <v>154</v>
      </c>
      <c r="M329" s="88">
        <v>4.7500000000000001E-2</v>
      </c>
      <c r="N329" s="88">
        <v>5.7999999999943021E-2</v>
      </c>
      <c r="O329" s="84">
        <v>80994.919704</v>
      </c>
      <c r="P329" s="86">
        <v>97.252700000000004</v>
      </c>
      <c r="Q329" s="74"/>
      <c r="R329" s="84">
        <v>280.814209667</v>
      </c>
      <c r="S329" s="85">
        <v>8.9994355226666664E-5</v>
      </c>
      <c r="T329" s="85">
        <f t="shared" si="7"/>
        <v>3.3671339423207323E-3</v>
      </c>
      <c r="U329" s="85">
        <f>R329/'סכום נכסי הקרן'!$C$42</f>
        <v>9.6513493151421503E-4</v>
      </c>
    </row>
    <row r="330" spans="2:21">
      <c r="B330" s="77" t="s">
        <v>828</v>
      </c>
      <c r="C330" s="74" t="s">
        <v>829</v>
      </c>
      <c r="D330" s="87" t="s">
        <v>27</v>
      </c>
      <c r="E330" s="87" t="s">
        <v>686</v>
      </c>
      <c r="F330" s="74"/>
      <c r="G330" s="87" t="s">
        <v>703</v>
      </c>
      <c r="H330" s="74" t="s">
        <v>802</v>
      </c>
      <c r="I330" s="74" t="s">
        <v>670</v>
      </c>
      <c r="J330" s="74"/>
      <c r="K330" s="84">
        <v>1.0499999999985901</v>
      </c>
      <c r="L330" s="87" t="s">
        <v>154</v>
      </c>
      <c r="M330" s="88">
        <v>4.6249999999999999E-2</v>
      </c>
      <c r="N330" s="88">
        <v>4.4600000000039469E-2</v>
      </c>
      <c r="O330" s="84">
        <v>59065.830613999999</v>
      </c>
      <c r="P330" s="86">
        <v>101.0461</v>
      </c>
      <c r="Q330" s="74"/>
      <c r="R330" s="84">
        <v>212.77242054600001</v>
      </c>
      <c r="S330" s="85">
        <v>7.875444081866667E-5</v>
      </c>
      <c r="T330" s="85">
        <f t="shared" si="7"/>
        <v>2.5512713194241528E-3</v>
      </c>
      <c r="U330" s="85">
        <f>R330/'סכום נכסי הקרן'!$C$42</f>
        <v>7.312809981207647E-4</v>
      </c>
    </row>
    <row r="331" spans="2:21">
      <c r="B331" s="77" t="s">
        <v>830</v>
      </c>
      <c r="C331" s="74" t="s">
        <v>831</v>
      </c>
      <c r="D331" s="87" t="s">
        <v>27</v>
      </c>
      <c r="E331" s="87" t="s">
        <v>686</v>
      </c>
      <c r="F331" s="74"/>
      <c r="G331" s="87" t="s">
        <v>740</v>
      </c>
      <c r="H331" s="74" t="s">
        <v>799</v>
      </c>
      <c r="I331" s="74" t="s">
        <v>326</v>
      </c>
      <c r="J331" s="74"/>
      <c r="K331" s="84">
        <v>3.750000000003149</v>
      </c>
      <c r="L331" s="87" t="s">
        <v>154</v>
      </c>
      <c r="M331" s="88">
        <v>6.2539999999999998E-2</v>
      </c>
      <c r="N331" s="88">
        <v>6.6700000000073464E-2</v>
      </c>
      <c r="O331" s="84">
        <v>66329.967000000004</v>
      </c>
      <c r="P331" s="86">
        <v>100.7499</v>
      </c>
      <c r="Q331" s="74"/>
      <c r="R331" s="84">
        <v>238.23955397499995</v>
      </c>
      <c r="S331" s="85">
        <v>5.1023051538461544E-5</v>
      </c>
      <c r="T331" s="85">
        <f t="shared" si="7"/>
        <v>2.8566378088339434E-3</v>
      </c>
      <c r="U331" s="85">
        <f>R331/'סכום נכסי הקרן'!$C$42</f>
        <v>8.1880940384855246E-4</v>
      </c>
    </row>
    <row r="332" spans="2:21">
      <c r="B332" s="77" t="s">
        <v>832</v>
      </c>
      <c r="C332" s="74" t="s">
        <v>833</v>
      </c>
      <c r="D332" s="87" t="s">
        <v>27</v>
      </c>
      <c r="E332" s="87" t="s">
        <v>686</v>
      </c>
      <c r="F332" s="74"/>
      <c r="G332" s="87" t="s">
        <v>688</v>
      </c>
      <c r="H332" s="74" t="s">
        <v>834</v>
      </c>
      <c r="I332" s="74" t="s">
        <v>326</v>
      </c>
      <c r="J332" s="74"/>
      <c r="K332" s="84">
        <v>7.5700000000089149</v>
      </c>
      <c r="L332" s="87" t="s">
        <v>154</v>
      </c>
      <c r="M332" s="88">
        <v>4.4999999999999998E-2</v>
      </c>
      <c r="N332" s="88">
        <v>7.6900000000102192E-2</v>
      </c>
      <c r="O332" s="84">
        <v>64520.967900000003</v>
      </c>
      <c r="P332" s="86">
        <v>79.974999999999994</v>
      </c>
      <c r="Q332" s="74"/>
      <c r="R332" s="84">
        <v>183.95629614800001</v>
      </c>
      <c r="S332" s="85">
        <v>4.3013978600000001E-5</v>
      </c>
      <c r="T332" s="85">
        <f t="shared" si="7"/>
        <v>2.2057483821707226E-3</v>
      </c>
      <c r="U332" s="85">
        <f>R332/'סכום נכסי הקרן'!$C$42</f>
        <v>6.3224239077839172E-4</v>
      </c>
    </row>
    <row r="333" spans="2:21">
      <c r="B333" s="77" t="s">
        <v>835</v>
      </c>
      <c r="C333" s="74" t="s">
        <v>836</v>
      </c>
      <c r="D333" s="87" t="s">
        <v>27</v>
      </c>
      <c r="E333" s="87" t="s">
        <v>686</v>
      </c>
      <c r="F333" s="74"/>
      <c r="G333" s="87" t="s">
        <v>791</v>
      </c>
      <c r="H333" s="74" t="s">
        <v>834</v>
      </c>
      <c r="I333" s="74" t="s">
        <v>690</v>
      </c>
      <c r="J333" s="74"/>
      <c r="K333" s="84">
        <v>6.6700000000031974</v>
      </c>
      <c r="L333" s="87" t="s">
        <v>156</v>
      </c>
      <c r="M333" s="88">
        <v>0.03</v>
      </c>
      <c r="N333" s="88">
        <v>4.0300000000021319E-2</v>
      </c>
      <c r="O333" s="84">
        <v>20501.989799999999</v>
      </c>
      <c r="P333" s="86">
        <v>93.871399999999994</v>
      </c>
      <c r="Q333" s="74"/>
      <c r="R333" s="84">
        <v>75.063250428000003</v>
      </c>
      <c r="S333" s="85">
        <v>4.1003979600000001E-5</v>
      </c>
      <c r="T333" s="85">
        <f t="shared" si="7"/>
        <v>9.0005423385361482E-4</v>
      </c>
      <c r="U333" s="85">
        <f>R333/'סכום נכסי הקרן'!$C$42</f>
        <v>2.5798610813523832E-4</v>
      </c>
    </row>
    <row r="334" spans="2:21">
      <c r="B334" s="77" t="s">
        <v>837</v>
      </c>
      <c r="C334" s="74" t="s">
        <v>838</v>
      </c>
      <c r="D334" s="87" t="s">
        <v>27</v>
      </c>
      <c r="E334" s="87" t="s">
        <v>686</v>
      </c>
      <c r="F334" s="74"/>
      <c r="G334" s="87" t="s">
        <v>791</v>
      </c>
      <c r="H334" s="74" t="s">
        <v>834</v>
      </c>
      <c r="I334" s="74" t="s">
        <v>690</v>
      </c>
      <c r="J334" s="74"/>
      <c r="K334" s="84">
        <v>4.9400000000059689</v>
      </c>
      <c r="L334" s="87" t="s">
        <v>157</v>
      </c>
      <c r="M334" s="88">
        <v>0.06</v>
      </c>
      <c r="N334" s="88">
        <v>6.5700000000068995E-2</v>
      </c>
      <c r="O334" s="84">
        <v>47636.976300000002</v>
      </c>
      <c r="P334" s="86">
        <v>97.538300000000007</v>
      </c>
      <c r="Q334" s="74"/>
      <c r="R334" s="84">
        <v>204.377925987</v>
      </c>
      <c r="S334" s="85">
        <v>3.8109581039999999E-5</v>
      </c>
      <c r="T334" s="85">
        <f t="shared" si="7"/>
        <v>2.4506162008966618E-3</v>
      </c>
      <c r="U334" s="85">
        <f>R334/'סכום נכסי הקרן'!$C$42</f>
        <v>7.0242982302921809E-4</v>
      </c>
    </row>
    <row r="335" spans="2:21">
      <c r="B335" s="77" t="s">
        <v>839</v>
      </c>
      <c r="C335" s="74" t="s">
        <v>840</v>
      </c>
      <c r="D335" s="87" t="s">
        <v>27</v>
      </c>
      <c r="E335" s="87" t="s">
        <v>686</v>
      </c>
      <c r="F335" s="74"/>
      <c r="G335" s="87" t="s">
        <v>791</v>
      </c>
      <c r="H335" s="74" t="s">
        <v>834</v>
      </c>
      <c r="I335" s="74" t="s">
        <v>690</v>
      </c>
      <c r="J335" s="74"/>
      <c r="K335" s="84">
        <v>5.1399999999663164</v>
      </c>
      <c r="L335" s="87" t="s">
        <v>156</v>
      </c>
      <c r="M335" s="88">
        <v>0.05</v>
      </c>
      <c r="N335" s="88">
        <v>4.6099999999744255E-2</v>
      </c>
      <c r="O335" s="84">
        <v>20099.990000000002</v>
      </c>
      <c r="P335" s="86">
        <v>102.2456</v>
      </c>
      <c r="Q335" s="74"/>
      <c r="R335" s="84">
        <v>80.156469404999996</v>
      </c>
      <c r="S335" s="85">
        <v>2.009999E-5</v>
      </c>
      <c r="T335" s="85">
        <f t="shared" si="7"/>
        <v>9.6112504118015766E-4</v>
      </c>
      <c r="U335" s="85">
        <f>R335/'סכום נכסי הקרן'!$C$42</f>
        <v>2.754910754030377E-4</v>
      </c>
    </row>
    <row r="336" spans="2:21">
      <c r="B336" s="77" t="s">
        <v>818</v>
      </c>
      <c r="C336" s="74" t="s">
        <v>819</v>
      </c>
      <c r="D336" s="87" t="s">
        <v>27</v>
      </c>
      <c r="E336" s="87" t="s">
        <v>686</v>
      </c>
      <c r="F336" s="74"/>
      <c r="G336" s="87" t="s">
        <v>688</v>
      </c>
      <c r="H336" s="74" t="s">
        <v>834</v>
      </c>
      <c r="I336" s="74" t="s">
        <v>326</v>
      </c>
      <c r="J336" s="74"/>
      <c r="K336" s="84">
        <v>5.2900000000094938</v>
      </c>
      <c r="L336" s="87" t="s">
        <v>154</v>
      </c>
      <c r="M336" s="88">
        <v>6.4899999999999999E-2</v>
      </c>
      <c r="N336" s="88">
        <v>0.12180000000024153</v>
      </c>
      <c r="O336" s="84">
        <v>58219.621034999989</v>
      </c>
      <c r="P336" s="86">
        <v>74.608900000000006</v>
      </c>
      <c r="Q336" s="74"/>
      <c r="R336" s="84">
        <v>154.852891457</v>
      </c>
      <c r="S336" s="85">
        <v>2.4664836930135607E-5</v>
      </c>
      <c r="T336" s="85">
        <f>R336/$R$11</f>
        <v>1.8567807786852412E-3</v>
      </c>
      <c r="U336" s="85">
        <f>R336/'סכום נכסי הקרן'!$C$42</f>
        <v>5.3221642511736824E-4</v>
      </c>
    </row>
    <row r="337" spans="2:21">
      <c r="B337" s="77" t="s">
        <v>841</v>
      </c>
      <c r="C337" s="74" t="s">
        <v>842</v>
      </c>
      <c r="D337" s="87" t="s">
        <v>27</v>
      </c>
      <c r="E337" s="87" t="s">
        <v>686</v>
      </c>
      <c r="F337" s="74"/>
      <c r="G337" s="87" t="s">
        <v>771</v>
      </c>
      <c r="H337" s="74" t="s">
        <v>843</v>
      </c>
      <c r="I337" s="74" t="s">
        <v>670</v>
      </c>
      <c r="J337" s="74"/>
      <c r="K337" s="84">
        <v>8.6799999999826749</v>
      </c>
      <c r="L337" s="87" t="s">
        <v>154</v>
      </c>
      <c r="M337" s="88">
        <v>3.6249999999999998E-2</v>
      </c>
      <c r="N337" s="88">
        <v>4.2799999999936091E-2</v>
      </c>
      <c r="O337" s="84">
        <v>70349.964999999997</v>
      </c>
      <c r="P337" s="86">
        <v>94.824799999999996</v>
      </c>
      <c r="Q337" s="74"/>
      <c r="R337" s="84">
        <v>237.818360434</v>
      </c>
      <c r="S337" s="85">
        <v>1.758749125E-4</v>
      </c>
      <c r="T337" s="85">
        <f t="shared" si="7"/>
        <v>2.8515874409417025E-3</v>
      </c>
      <c r="U337" s="85">
        <f>R337/'סכום נכסי הקרן'!$C$42</f>
        <v>8.1736179690647761E-4</v>
      </c>
    </row>
    <row r="338" spans="2:21">
      <c r="B338" s="77" t="s">
        <v>844</v>
      </c>
      <c r="C338" s="74" t="s">
        <v>845</v>
      </c>
      <c r="D338" s="87" t="s">
        <v>27</v>
      </c>
      <c r="E338" s="87" t="s">
        <v>686</v>
      </c>
      <c r="F338" s="74"/>
      <c r="G338" s="87" t="s">
        <v>796</v>
      </c>
      <c r="H338" s="74" t="s">
        <v>846</v>
      </c>
      <c r="I338" s="74" t="s">
        <v>670</v>
      </c>
      <c r="J338" s="74"/>
      <c r="K338" s="84">
        <v>4.0700000000087577</v>
      </c>
      <c r="L338" s="87" t="s">
        <v>154</v>
      </c>
      <c r="M338" s="88">
        <v>0.05</v>
      </c>
      <c r="N338" s="88">
        <v>5.8900000000125768E-2</v>
      </c>
      <c r="O338" s="84">
        <v>43013.978600000002</v>
      </c>
      <c r="P338" s="86">
        <v>99.0291</v>
      </c>
      <c r="Q338" s="74"/>
      <c r="R338" s="84">
        <v>151.856025781</v>
      </c>
      <c r="S338" s="85">
        <v>4.3013978600000001E-5</v>
      </c>
      <c r="T338" s="85">
        <f t="shared" si="7"/>
        <v>1.8208465282418549E-3</v>
      </c>
      <c r="U338" s="85">
        <f>R338/'סכום נכסי הקרן'!$C$42</f>
        <v>5.2191644865822308E-4</v>
      </c>
    </row>
    <row r="339" spans="2:21">
      <c r="B339" s="77" t="s">
        <v>847</v>
      </c>
      <c r="C339" s="74" t="s">
        <v>848</v>
      </c>
      <c r="D339" s="87" t="s">
        <v>27</v>
      </c>
      <c r="E339" s="87" t="s">
        <v>686</v>
      </c>
      <c r="F339" s="74"/>
      <c r="G339" s="87" t="s">
        <v>740</v>
      </c>
      <c r="H339" s="74" t="s">
        <v>846</v>
      </c>
      <c r="I339" s="74" t="s">
        <v>670</v>
      </c>
      <c r="J339" s="74"/>
      <c r="K339" s="84">
        <v>6.0199999999988973</v>
      </c>
      <c r="L339" s="87" t="s">
        <v>154</v>
      </c>
      <c r="M339" s="88">
        <v>0.04</v>
      </c>
      <c r="N339" s="88">
        <v>4.4699999999993564E-2</v>
      </c>
      <c r="O339" s="84">
        <v>62309.968999999997</v>
      </c>
      <c r="P339" s="86">
        <v>97.9833</v>
      </c>
      <c r="Q339" s="74"/>
      <c r="R339" s="84">
        <v>217.65531616199999</v>
      </c>
      <c r="S339" s="85">
        <v>4.9847975199999996E-5</v>
      </c>
      <c r="T339" s="85">
        <f t="shared" si="7"/>
        <v>2.6098202211515243E-3</v>
      </c>
      <c r="U339" s="85">
        <f>R339/'סכום נכסי הקרן'!$C$42</f>
        <v>7.4806310160309083E-4</v>
      </c>
    </row>
    <row r="340" spans="2:21">
      <c r="B340" s="77" t="s">
        <v>849</v>
      </c>
      <c r="C340" s="74" t="s">
        <v>850</v>
      </c>
      <c r="D340" s="87" t="s">
        <v>27</v>
      </c>
      <c r="E340" s="87" t="s">
        <v>686</v>
      </c>
      <c r="F340" s="74"/>
      <c r="G340" s="87" t="s">
        <v>718</v>
      </c>
      <c r="H340" s="74" t="s">
        <v>699</v>
      </c>
      <c r="I340" s="74" t="s">
        <v>690</v>
      </c>
      <c r="J340" s="74"/>
      <c r="K340" s="84">
        <v>6.6700000000021182</v>
      </c>
      <c r="L340" s="87" t="s">
        <v>154</v>
      </c>
      <c r="M340" s="88">
        <v>5.8749999999999997E-2</v>
      </c>
      <c r="N340" s="88">
        <v>5.3800000000020248E-2</v>
      </c>
      <c r="O340" s="84">
        <v>60299.97</v>
      </c>
      <c r="P340" s="86">
        <v>101.0699</v>
      </c>
      <c r="Q340" s="74"/>
      <c r="R340" s="84">
        <v>217.269237162</v>
      </c>
      <c r="S340" s="85">
        <v>6.029997E-5</v>
      </c>
      <c r="T340" s="85">
        <f t="shared" si="7"/>
        <v>2.6051908980597232E-3</v>
      </c>
      <c r="U340" s="85">
        <f>R340/'סכום נכסי הקרן'!$C$42</f>
        <v>7.4673618039897539E-4</v>
      </c>
    </row>
    <row r="341" spans="2:21">
      <c r="B341" s="77" t="s">
        <v>851</v>
      </c>
      <c r="C341" s="74" t="s">
        <v>852</v>
      </c>
      <c r="D341" s="87" t="s">
        <v>27</v>
      </c>
      <c r="E341" s="87" t="s">
        <v>686</v>
      </c>
      <c r="F341" s="74"/>
      <c r="G341" s="87" t="s">
        <v>771</v>
      </c>
      <c r="H341" s="74" t="s">
        <v>846</v>
      </c>
      <c r="I341" s="74" t="s">
        <v>670</v>
      </c>
      <c r="J341" s="74"/>
      <c r="K341" s="84">
        <v>5.6599999997924222</v>
      </c>
      <c r="L341" s="87" t="s">
        <v>154</v>
      </c>
      <c r="M341" s="88">
        <v>6.5000000000000002E-2</v>
      </c>
      <c r="N341" s="88">
        <v>9.9399999996631128E-2</v>
      </c>
      <c r="O341" s="84">
        <v>4019.998</v>
      </c>
      <c r="P341" s="86">
        <v>82.021199999999993</v>
      </c>
      <c r="Q341" s="74"/>
      <c r="R341" s="84">
        <v>11.754693584</v>
      </c>
      <c r="S341" s="85">
        <v>5.3599973333333336E-6</v>
      </c>
      <c r="T341" s="85">
        <f t="shared" si="7"/>
        <v>1.4094595781032998E-4</v>
      </c>
      <c r="U341" s="85">
        <f>R341/'סכום נכסי הקרן'!$C$42</f>
        <v>4.039989785637126E-5</v>
      </c>
    </row>
    <row r="342" spans="2:21">
      <c r="B342" s="77" t="s">
        <v>853</v>
      </c>
      <c r="C342" s="74" t="s">
        <v>854</v>
      </c>
      <c r="D342" s="87" t="s">
        <v>27</v>
      </c>
      <c r="E342" s="87" t="s">
        <v>686</v>
      </c>
      <c r="F342" s="74"/>
      <c r="G342" s="87" t="s">
        <v>771</v>
      </c>
      <c r="H342" s="74" t="s">
        <v>846</v>
      </c>
      <c r="I342" s="74" t="s">
        <v>670</v>
      </c>
      <c r="J342" s="74"/>
      <c r="K342" s="84">
        <v>6.3800000000031369</v>
      </c>
      <c r="L342" s="87" t="s">
        <v>154</v>
      </c>
      <c r="M342" s="88">
        <v>6.8750000000000006E-2</v>
      </c>
      <c r="N342" s="88">
        <v>9.9800000000061256E-2</v>
      </c>
      <c r="O342" s="84">
        <v>46229.976999999999</v>
      </c>
      <c r="P342" s="86">
        <v>81.238299999999995</v>
      </c>
      <c r="Q342" s="74"/>
      <c r="R342" s="84">
        <v>133.88872124099998</v>
      </c>
      <c r="S342" s="85">
        <v>6.1639969333333338E-5</v>
      </c>
      <c r="T342" s="85">
        <f t="shared" si="7"/>
        <v>1.6054075693644227E-3</v>
      </c>
      <c r="U342" s="85">
        <f>R342/'סכום נכסי הקרן'!$C$42</f>
        <v>4.6016432700714493E-4</v>
      </c>
    </row>
    <row r="343" spans="2:21">
      <c r="B343" s="77" t="s">
        <v>855</v>
      </c>
      <c r="C343" s="74" t="s">
        <v>856</v>
      </c>
      <c r="D343" s="87" t="s">
        <v>27</v>
      </c>
      <c r="E343" s="87" t="s">
        <v>686</v>
      </c>
      <c r="F343" s="74"/>
      <c r="G343" s="87" t="s">
        <v>857</v>
      </c>
      <c r="H343" s="74" t="s">
        <v>846</v>
      </c>
      <c r="I343" s="74" t="s">
        <v>670</v>
      </c>
      <c r="J343" s="74"/>
      <c r="K343" s="84">
        <v>3.0599999999933289</v>
      </c>
      <c r="L343" s="87" t="s">
        <v>154</v>
      </c>
      <c r="M343" s="88">
        <v>4.6249999999999999E-2</v>
      </c>
      <c r="N343" s="88">
        <v>4.1299999999953568E-2</v>
      </c>
      <c r="O343" s="84">
        <v>41858.229175</v>
      </c>
      <c r="P343" s="86">
        <v>102.45650000000001</v>
      </c>
      <c r="Q343" s="74"/>
      <c r="R343" s="84">
        <v>152.89035116699998</v>
      </c>
      <c r="S343" s="85">
        <v>2.7905486116666667E-5</v>
      </c>
      <c r="T343" s="85">
        <f t="shared" si="7"/>
        <v>1.8332487215594027E-3</v>
      </c>
      <c r="U343" s="85">
        <f>R343/'סכום נכסי הקרן'!$C$42</f>
        <v>5.2547133842596055E-4</v>
      </c>
    </row>
    <row r="344" spans="2:21">
      <c r="B344" s="77" t="s">
        <v>858</v>
      </c>
      <c r="C344" s="74" t="s">
        <v>859</v>
      </c>
      <c r="D344" s="87" t="s">
        <v>27</v>
      </c>
      <c r="E344" s="87" t="s">
        <v>686</v>
      </c>
      <c r="F344" s="74"/>
      <c r="G344" s="87" t="s">
        <v>857</v>
      </c>
      <c r="H344" s="74" t="s">
        <v>846</v>
      </c>
      <c r="I344" s="74" t="s">
        <v>670</v>
      </c>
      <c r="J344" s="74"/>
      <c r="K344" s="84">
        <v>1.0900000000073966</v>
      </c>
      <c r="L344" s="87" t="s">
        <v>154</v>
      </c>
      <c r="M344" s="88">
        <v>0</v>
      </c>
      <c r="N344" s="88">
        <v>4.5700000000468456E-2</v>
      </c>
      <c r="O344" s="84">
        <v>7913.3660629999995</v>
      </c>
      <c r="P344" s="86">
        <v>100.6378</v>
      </c>
      <c r="Q344" s="74"/>
      <c r="R344" s="84">
        <v>28.391078330999999</v>
      </c>
      <c r="S344" s="85">
        <v>1.5826732125999999E-5</v>
      </c>
      <c r="T344" s="85">
        <f t="shared" si="7"/>
        <v>3.4042637522067962E-4</v>
      </c>
      <c r="U344" s="85">
        <f>R344/'סכום נכסי הקרן'!$C$42</f>
        <v>9.7577759590933058E-5</v>
      </c>
    </row>
    <row r="345" spans="2:21">
      <c r="B345" s="77" t="s">
        <v>860</v>
      </c>
      <c r="C345" s="74" t="s">
        <v>861</v>
      </c>
      <c r="D345" s="87" t="s">
        <v>27</v>
      </c>
      <c r="E345" s="87" t="s">
        <v>686</v>
      </c>
      <c r="F345" s="74"/>
      <c r="G345" s="87" t="s">
        <v>862</v>
      </c>
      <c r="H345" s="74" t="s">
        <v>699</v>
      </c>
      <c r="I345" s="74" t="s">
        <v>690</v>
      </c>
      <c r="J345" s="74"/>
      <c r="K345" s="84">
        <v>8.3799999999766683</v>
      </c>
      <c r="L345" s="87" t="s">
        <v>154</v>
      </c>
      <c r="M345" s="88">
        <v>0.04</v>
      </c>
      <c r="N345" s="88">
        <v>5.2599999999876489E-2</v>
      </c>
      <c r="O345" s="84">
        <v>50249.974999999999</v>
      </c>
      <c r="P345" s="86">
        <v>89.474900000000005</v>
      </c>
      <c r="Q345" s="74"/>
      <c r="R345" s="84">
        <v>160.28635462299999</v>
      </c>
      <c r="S345" s="85">
        <v>6.6999966666666662E-5</v>
      </c>
      <c r="T345" s="85">
        <f t="shared" si="7"/>
        <v>1.9219313217161056E-3</v>
      </c>
      <c r="U345" s="85">
        <f>R345/'סכום נכסי הקרן'!$C$42</f>
        <v>5.5089078318073333E-4</v>
      </c>
    </row>
    <row r="346" spans="2:21">
      <c r="B346" s="77" t="s">
        <v>863</v>
      </c>
      <c r="C346" s="74" t="s">
        <v>864</v>
      </c>
      <c r="D346" s="87" t="s">
        <v>27</v>
      </c>
      <c r="E346" s="87" t="s">
        <v>686</v>
      </c>
      <c r="F346" s="74"/>
      <c r="G346" s="87" t="s">
        <v>715</v>
      </c>
      <c r="H346" s="74" t="s">
        <v>865</v>
      </c>
      <c r="I346" s="74" t="s">
        <v>670</v>
      </c>
      <c r="J346" s="74"/>
      <c r="K346" s="84">
        <v>8.3300000000006076</v>
      </c>
      <c r="L346" s="87" t="s">
        <v>154</v>
      </c>
      <c r="M346" s="88">
        <v>4.4999999999999998E-2</v>
      </c>
      <c r="N346" s="88">
        <v>4.7500000000050731E-2</v>
      </c>
      <c r="O346" s="84">
        <v>14069.993</v>
      </c>
      <c r="P346" s="86">
        <v>98.239000000000004</v>
      </c>
      <c r="Q346" s="74"/>
      <c r="R346" s="84">
        <v>49.276215809</v>
      </c>
      <c r="S346" s="85">
        <v>5.1163610909090907E-6</v>
      </c>
      <c r="T346" s="85">
        <f t="shared" ref="T346:T349" si="8">R346/$R$11</f>
        <v>5.9085193372642732E-4</v>
      </c>
      <c r="U346" s="85">
        <f>R346/'סכום נכסי הקרן'!$C$42</f>
        <v>1.6935822879652417E-4</v>
      </c>
    </row>
    <row r="347" spans="2:21">
      <c r="B347" s="77" t="s">
        <v>866</v>
      </c>
      <c r="C347" s="74" t="s">
        <v>867</v>
      </c>
      <c r="D347" s="87" t="s">
        <v>27</v>
      </c>
      <c r="E347" s="87" t="s">
        <v>686</v>
      </c>
      <c r="F347" s="74"/>
      <c r="G347" s="87" t="s">
        <v>715</v>
      </c>
      <c r="H347" s="74" t="s">
        <v>865</v>
      </c>
      <c r="I347" s="74" t="s">
        <v>670</v>
      </c>
      <c r="J347" s="74"/>
      <c r="K347" s="84">
        <v>6.3200000000116274</v>
      </c>
      <c r="L347" s="87" t="s">
        <v>154</v>
      </c>
      <c r="M347" s="88">
        <v>4.7500000000000001E-2</v>
      </c>
      <c r="N347" s="88">
        <v>4.4900000000076018E-2</v>
      </c>
      <c r="O347" s="84">
        <v>64319.968000000001</v>
      </c>
      <c r="P347" s="86">
        <v>97.522599999999997</v>
      </c>
      <c r="Q347" s="74"/>
      <c r="R347" s="84">
        <v>223.62007986999998</v>
      </c>
      <c r="S347" s="85">
        <v>2.1088514098360655E-5</v>
      </c>
      <c r="T347" s="85">
        <f t="shared" si="8"/>
        <v>2.6813413822884416E-3</v>
      </c>
      <c r="U347" s="85">
        <f>R347/'סכום נכסי הקרן'!$C$42</f>
        <v>7.6856349515385053E-4</v>
      </c>
    </row>
    <row r="348" spans="2:21">
      <c r="B348" s="77" t="s">
        <v>868</v>
      </c>
      <c r="C348" s="74" t="s">
        <v>869</v>
      </c>
      <c r="D348" s="87" t="s">
        <v>27</v>
      </c>
      <c r="E348" s="87" t="s">
        <v>686</v>
      </c>
      <c r="F348" s="74"/>
      <c r="G348" s="87" t="s">
        <v>688</v>
      </c>
      <c r="H348" s="74" t="s">
        <v>870</v>
      </c>
      <c r="I348" s="74" t="s">
        <v>690</v>
      </c>
      <c r="J348" s="74"/>
      <c r="K348" s="84">
        <v>2.3499999999951844</v>
      </c>
      <c r="L348" s="87" t="s">
        <v>154</v>
      </c>
      <c r="M348" s="88">
        <v>7.7499999999999999E-2</v>
      </c>
      <c r="N348" s="88">
        <v>0.13919999999973032</v>
      </c>
      <c r="O348" s="84">
        <v>32424.298868999998</v>
      </c>
      <c r="P348" s="86">
        <v>89.823599999999999</v>
      </c>
      <c r="Q348" s="74"/>
      <c r="R348" s="84">
        <v>103.82947039</v>
      </c>
      <c r="S348" s="85">
        <v>7.7200711592857141E-5</v>
      </c>
      <c r="T348" s="85">
        <f t="shared" si="8"/>
        <v>1.2449787864294061E-3</v>
      </c>
      <c r="U348" s="85">
        <f>R348/'סכום נכסי הקרן'!$C$42</f>
        <v>3.5685319810860701E-4</v>
      </c>
    </row>
    <row r="349" spans="2:21" s="119" customFormat="1">
      <c r="B349" s="77" t="s">
        <v>875</v>
      </c>
      <c r="C349" s="74" t="s">
        <v>876</v>
      </c>
      <c r="D349" s="87" t="s">
        <v>27</v>
      </c>
      <c r="E349" s="87" t="s">
        <v>686</v>
      </c>
      <c r="F349" s="74"/>
      <c r="G349" s="87" t="s">
        <v>771</v>
      </c>
      <c r="H349" s="74" t="s">
        <v>550</v>
      </c>
      <c r="I349" s="74"/>
      <c r="J349" s="74"/>
      <c r="K349" s="120">
        <v>4.3</v>
      </c>
      <c r="L349" s="87" t="s">
        <v>154</v>
      </c>
      <c r="M349" s="88">
        <v>4.2500000000000003E-2</v>
      </c>
      <c r="N349" s="88">
        <v>9.5459999999999989E-2</v>
      </c>
      <c r="O349" s="84">
        <v>74369.963000000003</v>
      </c>
      <c r="P349" s="86">
        <v>80.293099999999995</v>
      </c>
      <c r="Q349" s="74"/>
      <c r="R349" s="84">
        <v>212.88010953899996</v>
      </c>
      <c r="S349" s="85">
        <v>1.5656834315789476E-4</v>
      </c>
      <c r="T349" s="85">
        <f t="shared" si="8"/>
        <v>2.552562576244719E-3</v>
      </c>
      <c r="U349" s="85">
        <f>R349/'סכום נכסי הקרן'!$C$42</f>
        <v>7.3165111617500098E-4</v>
      </c>
    </row>
    <row r="354" spans="2:11">
      <c r="C354" s="1"/>
      <c r="D354" s="1"/>
      <c r="E354" s="1"/>
      <c r="F354" s="1"/>
    </row>
    <row r="355" spans="2:11">
      <c r="C355" s="1"/>
      <c r="D355" s="1"/>
      <c r="E355" s="1"/>
      <c r="F355" s="1"/>
    </row>
    <row r="356" spans="2:11">
      <c r="C356" s="1"/>
      <c r="D356" s="1"/>
      <c r="E356" s="1"/>
      <c r="F356" s="1"/>
    </row>
    <row r="357" spans="2:11">
      <c r="B357" s="89" t="s">
        <v>240</v>
      </c>
      <c r="C357" s="90"/>
      <c r="D357" s="90"/>
      <c r="E357" s="90"/>
      <c r="F357" s="90"/>
      <c r="G357" s="90"/>
      <c r="H357" s="90"/>
      <c r="I357" s="90"/>
      <c r="J357" s="90"/>
      <c r="K357" s="90"/>
    </row>
    <row r="358" spans="2:11">
      <c r="B358" s="89" t="s">
        <v>103</v>
      </c>
      <c r="C358" s="90"/>
      <c r="D358" s="90"/>
      <c r="E358" s="90"/>
      <c r="F358" s="90"/>
      <c r="G358" s="90"/>
      <c r="H358" s="90"/>
      <c r="I358" s="90"/>
      <c r="J358" s="90"/>
      <c r="K358" s="90"/>
    </row>
    <row r="359" spans="2:11">
      <c r="B359" s="89" t="s">
        <v>222</v>
      </c>
      <c r="C359" s="90"/>
      <c r="D359" s="90"/>
      <c r="E359" s="90"/>
      <c r="F359" s="90"/>
      <c r="G359" s="90"/>
      <c r="H359" s="90"/>
      <c r="I359" s="90"/>
      <c r="J359" s="90"/>
      <c r="K359" s="90"/>
    </row>
    <row r="360" spans="2:11">
      <c r="B360" s="89" t="s">
        <v>230</v>
      </c>
      <c r="C360" s="90"/>
      <c r="D360" s="90"/>
      <c r="E360" s="90"/>
      <c r="F360" s="90"/>
      <c r="G360" s="90"/>
      <c r="H360" s="90"/>
      <c r="I360" s="90"/>
      <c r="J360" s="90"/>
      <c r="K360" s="90"/>
    </row>
    <row r="361" spans="2:11">
      <c r="B361" s="143" t="s">
        <v>236</v>
      </c>
      <c r="C361" s="143"/>
      <c r="D361" s="143"/>
      <c r="E361" s="143"/>
      <c r="F361" s="143"/>
      <c r="G361" s="143"/>
      <c r="H361" s="143"/>
      <c r="I361" s="143"/>
      <c r="J361" s="143"/>
      <c r="K361" s="143"/>
    </row>
    <row r="362" spans="2:11">
      <c r="C362" s="1"/>
      <c r="D362" s="1"/>
      <c r="E362" s="1"/>
      <c r="F362" s="1"/>
    </row>
    <row r="363" spans="2:11">
      <c r="C363" s="1"/>
      <c r="D363" s="1"/>
      <c r="E363" s="1"/>
      <c r="F363" s="1"/>
    </row>
    <row r="364" spans="2:11">
      <c r="C364" s="1"/>
      <c r="D364" s="1"/>
      <c r="E364" s="1"/>
      <c r="F364" s="1"/>
    </row>
    <row r="365" spans="2:11">
      <c r="C365" s="1"/>
      <c r="D365" s="1"/>
      <c r="E365" s="1"/>
      <c r="F365" s="1"/>
    </row>
    <row r="366" spans="2:11">
      <c r="C366" s="1"/>
      <c r="D366" s="1"/>
      <c r="E366" s="1"/>
      <c r="F366" s="1"/>
    </row>
    <row r="367" spans="2:11">
      <c r="C367" s="1"/>
      <c r="D367" s="1"/>
      <c r="E367" s="1"/>
      <c r="F367" s="1"/>
    </row>
    <row r="368" spans="2:11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B799" s="42"/>
      <c r="C799" s="1"/>
      <c r="D799" s="1"/>
      <c r="E799" s="1"/>
      <c r="F799" s="1"/>
    </row>
    <row r="800" spans="2:6">
      <c r="B800" s="42"/>
      <c r="C800" s="1"/>
      <c r="D800" s="1"/>
      <c r="E800" s="1"/>
      <c r="F800" s="1"/>
    </row>
    <row r="801" spans="2:6">
      <c r="B801" s="3"/>
      <c r="C801" s="1"/>
      <c r="D801" s="1"/>
      <c r="E801" s="1"/>
      <c r="F801" s="1"/>
    </row>
    <row r="802" spans="2:6">
      <c r="C802" s="1"/>
      <c r="D802" s="1"/>
      <c r="E802" s="1"/>
      <c r="F802" s="1"/>
    </row>
    <row r="803" spans="2:6">
      <c r="C803" s="1"/>
      <c r="D803" s="1"/>
      <c r="E803" s="1"/>
      <c r="F803" s="1"/>
    </row>
    <row r="804" spans="2:6">
      <c r="C804" s="1"/>
      <c r="D804" s="1"/>
      <c r="E804" s="1"/>
      <c r="F804" s="1"/>
    </row>
    <row r="805" spans="2:6">
      <c r="C805" s="1"/>
      <c r="D805" s="1"/>
      <c r="E805" s="1"/>
      <c r="F805" s="1"/>
    </row>
    <row r="806" spans="2:6">
      <c r="C806" s="1"/>
      <c r="D806" s="1"/>
      <c r="E806" s="1"/>
      <c r="F806" s="1"/>
    </row>
    <row r="807" spans="2:6">
      <c r="C807" s="1"/>
      <c r="D807" s="1"/>
      <c r="E807" s="1"/>
      <c r="F807" s="1"/>
    </row>
    <row r="808" spans="2:6">
      <c r="C808" s="1"/>
      <c r="D808" s="1"/>
      <c r="E808" s="1"/>
      <c r="F808" s="1"/>
    </row>
    <row r="809" spans="2:6">
      <c r="C809" s="1"/>
      <c r="D809" s="1"/>
      <c r="E809" s="1"/>
      <c r="F809" s="1"/>
    </row>
    <row r="810" spans="2:6">
      <c r="C810" s="1"/>
      <c r="D810" s="1"/>
      <c r="E810" s="1"/>
      <c r="F810" s="1"/>
    </row>
    <row r="811" spans="2:6">
      <c r="C811" s="1"/>
      <c r="D811" s="1"/>
      <c r="E811" s="1"/>
      <c r="F811" s="1"/>
    </row>
    <row r="812" spans="2:6">
      <c r="C812" s="1"/>
      <c r="D812" s="1"/>
      <c r="E812" s="1"/>
      <c r="F812" s="1"/>
    </row>
    <row r="813" spans="2:6">
      <c r="C813" s="1"/>
      <c r="D813" s="1"/>
      <c r="E813" s="1"/>
      <c r="F813" s="1"/>
    </row>
    <row r="814" spans="2:6">
      <c r="C814" s="1"/>
      <c r="D814" s="1"/>
      <c r="E814" s="1"/>
      <c r="F814" s="1"/>
    </row>
    <row r="815" spans="2:6">
      <c r="C815" s="1"/>
      <c r="D815" s="1"/>
      <c r="E815" s="1"/>
      <c r="F815" s="1"/>
    </row>
    <row r="816" spans="2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  <row r="831" spans="3:6">
      <c r="C831" s="1"/>
      <c r="D831" s="1"/>
      <c r="E831" s="1"/>
      <c r="F831" s="1"/>
    </row>
    <row r="832" spans="3:6">
      <c r="C832" s="1"/>
      <c r="D832" s="1"/>
      <c r="E832" s="1"/>
      <c r="F832" s="1"/>
    </row>
    <row r="833" spans="3:6">
      <c r="C833" s="1"/>
      <c r="D833" s="1"/>
      <c r="E833" s="1"/>
      <c r="F833" s="1"/>
    </row>
  </sheetData>
  <sheetProtection sheet="1" objects="1" scenarios="1"/>
  <mergeCells count="3">
    <mergeCell ref="B6:U6"/>
    <mergeCell ref="B7:U7"/>
    <mergeCell ref="B361:K361"/>
  </mergeCells>
  <phoneticPr fontId="3" type="noConversion"/>
  <conditionalFormatting sqref="B12:B349">
    <cfRule type="cellIs" dxfId="9" priority="2" operator="equal">
      <formula>"NR3"</formula>
    </cfRule>
  </conditionalFormatting>
  <conditionalFormatting sqref="B12:B349">
    <cfRule type="containsText" dxfId="8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9:G831">
      <formula1>$AU$7:$AU$24</formula1>
    </dataValidation>
    <dataValidation allowBlank="1" showInputMessage="1" showErrorMessage="1" sqref="H2 B33 Q9 B35 B359 B361"/>
    <dataValidation type="list" allowBlank="1" showInputMessage="1" showErrorMessage="1" sqref="I362:I831 I354:I360 I12:I34 I36:I279 I281:I325 I326:I349">
      <formula1>$AW$7:$AW$10</formula1>
    </dataValidation>
    <dataValidation type="list" allowBlank="1" showInputMessage="1" showErrorMessage="1" sqref="E362:E825 E354:E360 E12:E34 E36:E325 E326:E349">
      <formula1>$AS$7:$AS$24</formula1>
    </dataValidation>
    <dataValidation type="list" allowBlank="1" showInputMessage="1" showErrorMessage="1" sqref="G362:G558 G354:G360 G12:G34 G36:G325 G326:G349">
      <formula1>$AU$7:$AU$29</formula1>
    </dataValidation>
    <dataValidation type="list" allowBlank="1" showInputMessage="1" showErrorMessage="1" sqref="L354:L831 L12:L325 L326:L349">
      <formula1>$AX$7:$AX$20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H19" sqref="H19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170</v>
      </c>
      <c r="C1" s="68" t="s" vm="1">
        <v>247</v>
      </c>
    </row>
    <row r="2" spans="2:62">
      <c r="B2" s="47" t="s">
        <v>169</v>
      </c>
      <c r="C2" s="68" t="s">
        <v>248</v>
      </c>
    </row>
    <row r="3" spans="2:62">
      <c r="B3" s="47" t="s">
        <v>171</v>
      </c>
      <c r="C3" s="68" t="s">
        <v>249</v>
      </c>
    </row>
    <row r="4" spans="2:62">
      <c r="B4" s="47" t="s">
        <v>172</v>
      </c>
      <c r="C4" s="68">
        <v>2144</v>
      </c>
    </row>
    <row r="6" spans="2:62" ht="26.25" customHeight="1">
      <c r="B6" s="134" t="s">
        <v>200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  <c r="BJ6" s="3"/>
    </row>
    <row r="7" spans="2:62" ht="26.25" customHeight="1">
      <c r="B7" s="134" t="s">
        <v>83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  <c r="BF7" s="3"/>
      <c r="BJ7" s="3"/>
    </row>
    <row r="8" spans="2:62" s="3" customFormat="1" ht="78.75">
      <c r="B8" s="22" t="s">
        <v>106</v>
      </c>
      <c r="C8" s="30" t="s">
        <v>41</v>
      </c>
      <c r="D8" s="30" t="s">
        <v>110</v>
      </c>
      <c r="E8" s="30" t="s">
        <v>216</v>
      </c>
      <c r="F8" s="30" t="s">
        <v>108</v>
      </c>
      <c r="G8" s="30" t="s">
        <v>60</v>
      </c>
      <c r="H8" s="30" t="s">
        <v>94</v>
      </c>
      <c r="I8" s="13" t="s">
        <v>224</v>
      </c>
      <c r="J8" s="13" t="s">
        <v>223</v>
      </c>
      <c r="K8" s="30" t="s">
        <v>239</v>
      </c>
      <c r="L8" s="13" t="s">
        <v>56</v>
      </c>
      <c r="M8" s="13" t="s">
        <v>53</v>
      </c>
      <c r="N8" s="13" t="s">
        <v>173</v>
      </c>
      <c r="O8" s="14" t="s">
        <v>175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231</v>
      </c>
      <c r="J9" s="16"/>
      <c r="K9" s="16" t="s">
        <v>227</v>
      </c>
      <c r="L9" s="16" t="s">
        <v>227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BF11" s="1"/>
      <c r="BG11" s="3"/>
      <c r="BH11" s="1"/>
      <c r="BJ11" s="1"/>
    </row>
    <row r="12" spans="2:62" ht="20.25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BG12" s="4"/>
    </row>
    <row r="13" spans="2:62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</row>
    <row r="14" spans="2:62">
      <c r="B14" s="89" t="s">
        <v>222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</row>
    <row r="15" spans="2:62">
      <c r="B15" s="89" t="s">
        <v>230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</row>
    <row r="16" spans="2:62" ht="20.25">
      <c r="B16" s="89" t="s">
        <v>237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BF16" s="4"/>
    </row>
    <row r="17" spans="2: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</row>
    <row r="18" spans="2:1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</row>
    <row r="19" spans="2:1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</row>
    <row r="20" spans="2:1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2:1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</row>
    <row r="22" spans="2:1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</row>
    <row r="23" spans="2:1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</row>
    <row r="24" spans="2:1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</row>
    <row r="25" spans="2:1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</row>
    <row r="26" spans="2:15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2:15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2:15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2:15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  <row r="30" spans="2:15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</row>
    <row r="31" spans="2:15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</row>
    <row r="32" spans="2:15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</row>
    <row r="33" spans="2:15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</row>
    <row r="34" spans="2:15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15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15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15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</row>
    <row r="38" spans="2:15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2:15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15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1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15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15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15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15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15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15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15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42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42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42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10" workbookViewId="0">
      <selection activeCell="N31" activeCellId="1" sqref="N12:N29 N31:N36"/>
    </sheetView>
  </sheetViews>
  <sheetFormatPr defaultColWidth="9.140625" defaultRowHeight="18"/>
  <cols>
    <col min="1" max="1" width="6.28515625" style="1" customWidth="1"/>
    <col min="2" max="2" width="44.42578125" style="2" bestFit="1" customWidth="1"/>
    <col min="3" max="3" width="49.28515625" style="2" bestFit="1" customWidth="1"/>
    <col min="4" max="4" width="6.4257812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8.4257812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170</v>
      </c>
      <c r="C1" s="68" t="s" vm="1">
        <v>247</v>
      </c>
    </row>
    <row r="2" spans="2:63">
      <c r="B2" s="47" t="s">
        <v>169</v>
      </c>
      <c r="C2" s="68" t="s">
        <v>248</v>
      </c>
    </row>
    <row r="3" spans="2:63">
      <c r="B3" s="47" t="s">
        <v>171</v>
      </c>
      <c r="C3" s="68" t="s">
        <v>249</v>
      </c>
    </row>
    <row r="4" spans="2:63">
      <c r="B4" s="47" t="s">
        <v>172</v>
      </c>
      <c r="C4" s="68">
        <v>2144</v>
      </c>
    </row>
    <row r="6" spans="2:63" ht="26.25" customHeight="1">
      <c r="B6" s="134" t="s">
        <v>200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6"/>
      <c r="BK6" s="3"/>
    </row>
    <row r="7" spans="2:63" ht="26.25" customHeight="1">
      <c r="B7" s="134" t="s">
        <v>245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6"/>
      <c r="BH7" s="3"/>
      <c r="BK7" s="3"/>
    </row>
    <row r="8" spans="2:63" s="3" customFormat="1" ht="74.25" customHeight="1">
      <c r="B8" s="22" t="s">
        <v>106</v>
      </c>
      <c r="C8" s="30" t="s">
        <v>41</v>
      </c>
      <c r="D8" s="30" t="s">
        <v>110</v>
      </c>
      <c r="E8" s="30" t="s">
        <v>108</v>
      </c>
      <c r="F8" s="30" t="s">
        <v>60</v>
      </c>
      <c r="G8" s="30" t="s">
        <v>94</v>
      </c>
      <c r="H8" s="30" t="s">
        <v>224</v>
      </c>
      <c r="I8" s="30" t="s">
        <v>223</v>
      </c>
      <c r="J8" s="30" t="s">
        <v>239</v>
      </c>
      <c r="K8" s="30" t="s">
        <v>56</v>
      </c>
      <c r="L8" s="30" t="s">
        <v>53</v>
      </c>
      <c r="M8" s="30" t="s">
        <v>173</v>
      </c>
      <c r="N8" s="14" t="s">
        <v>175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231</v>
      </c>
      <c r="I9" s="32"/>
      <c r="J9" s="16" t="s">
        <v>227</v>
      </c>
      <c r="K9" s="16" t="s">
        <v>227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122" t="s">
        <v>242</v>
      </c>
      <c r="C11" s="72"/>
      <c r="D11" s="72"/>
      <c r="E11" s="72"/>
      <c r="F11" s="72"/>
      <c r="G11" s="72"/>
      <c r="H11" s="81"/>
      <c r="I11" s="83"/>
      <c r="J11" s="72"/>
      <c r="K11" s="81">
        <v>6340.8959662220022</v>
      </c>
      <c r="L11" s="72"/>
      <c r="M11" s="82">
        <v>1</v>
      </c>
      <c r="N11" s="82">
        <f>K11/'סכום נכסי הקרן'!$C$42</f>
        <v>2.1793128636031438E-2</v>
      </c>
      <c r="O11" s="5"/>
      <c r="BH11" s="90"/>
      <c r="BI11" s="3"/>
      <c r="BK11" s="90"/>
    </row>
    <row r="12" spans="2:63" s="90" customFormat="1" ht="20.25">
      <c r="B12" s="71" t="s">
        <v>221</v>
      </c>
      <c r="C12" s="72"/>
      <c r="D12" s="72"/>
      <c r="E12" s="72"/>
      <c r="F12" s="72"/>
      <c r="G12" s="72"/>
      <c r="H12" s="81"/>
      <c r="I12" s="83"/>
      <c r="J12" s="72"/>
      <c r="K12" s="81">
        <v>3830.3725287919992</v>
      </c>
      <c r="L12" s="72"/>
      <c r="M12" s="82">
        <v>0.60407433731706384</v>
      </c>
      <c r="N12" s="82">
        <f>K12/'סכום נכסי הקרן'!$C$42</f>
        <v>1.3164669738876219E-2</v>
      </c>
      <c r="BI12" s="4"/>
    </row>
    <row r="13" spans="2:63">
      <c r="B13" s="92" t="s">
        <v>243</v>
      </c>
      <c r="C13" s="72"/>
      <c r="D13" s="72"/>
      <c r="E13" s="72"/>
      <c r="F13" s="72"/>
      <c r="G13" s="72"/>
      <c r="H13" s="81"/>
      <c r="I13" s="83"/>
      <c r="J13" s="72"/>
      <c r="K13" s="81">
        <v>3830.3725287919992</v>
      </c>
      <c r="L13" s="72"/>
      <c r="M13" s="82">
        <v>0.60407433731706384</v>
      </c>
      <c r="N13" s="82">
        <f>K13/'סכום נכסי הקרן'!$C$42</f>
        <v>1.3164669738876219E-2</v>
      </c>
    </row>
    <row r="14" spans="2:63">
      <c r="B14" s="77" t="s">
        <v>887</v>
      </c>
      <c r="C14" s="74" t="s">
        <v>888</v>
      </c>
      <c r="D14" s="87" t="s">
        <v>111</v>
      </c>
      <c r="E14" s="74" t="s">
        <v>889</v>
      </c>
      <c r="F14" s="87" t="s">
        <v>890</v>
      </c>
      <c r="G14" s="87" t="s">
        <v>155</v>
      </c>
      <c r="H14" s="84">
        <v>13771.238237999998</v>
      </c>
      <c r="I14" s="86">
        <v>334.15</v>
      </c>
      <c r="J14" s="74"/>
      <c r="K14" s="84">
        <v>46.016592571000004</v>
      </c>
      <c r="L14" s="85">
        <v>9.4247653102256569E-5</v>
      </c>
      <c r="M14" s="85">
        <v>7.2571120573702392E-3</v>
      </c>
      <c r="N14" s="85">
        <f>K14/'סכום נכסי הקרן'!$C$42</f>
        <v>1.5815517659236439E-4</v>
      </c>
    </row>
    <row r="15" spans="2:63">
      <c r="B15" s="77" t="s">
        <v>891</v>
      </c>
      <c r="C15" s="74" t="s">
        <v>892</v>
      </c>
      <c r="D15" s="87" t="s">
        <v>111</v>
      </c>
      <c r="E15" s="74" t="s">
        <v>889</v>
      </c>
      <c r="F15" s="87" t="s">
        <v>890</v>
      </c>
      <c r="G15" s="87" t="s">
        <v>155</v>
      </c>
      <c r="H15" s="84">
        <v>18696.434343000001</v>
      </c>
      <c r="I15" s="86">
        <v>309.06</v>
      </c>
      <c r="J15" s="74"/>
      <c r="K15" s="84">
        <v>57.783199989000003</v>
      </c>
      <c r="L15" s="85">
        <v>6.9330338271237604E-4</v>
      </c>
      <c r="M15" s="85">
        <v>9.1127815843078837E-3</v>
      </c>
      <c r="N15" s="85">
        <f>K15/'סכום נכסי הקרן'!$C$42</f>
        <v>1.9859602129888008E-4</v>
      </c>
    </row>
    <row r="16" spans="2:63" ht="20.25">
      <c r="B16" s="77" t="s">
        <v>893</v>
      </c>
      <c r="C16" s="74" t="s">
        <v>894</v>
      </c>
      <c r="D16" s="87" t="s">
        <v>111</v>
      </c>
      <c r="E16" s="74" t="s">
        <v>889</v>
      </c>
      <c r="F16" s="87" t="s">
        <v>890</v>
      </c>
      <c r="G16" s="87" t="s">
        <v>155</v>
      </c>
      <c r="H16" s="84">
        <v>241302.40933400003</v>
      </c>
      <c r="I16" s="86">
        <v>322.18</v>
      </c>
      <c r="J16" s="74"/>
      <c r="K16" s="84">
        <v>777.42810239899995</v>
      </c>
      <c r="L16" s="85">
        <v>1.0372952509409247E-3</v>
      </c>
      <c r="M16" s="85">
        <v>0.12260540253938323</v>
      </c>
      <c r="N16" s="85">
        <f>K16/'סכום נכסי הקרן'!$C$42</f>
        <v>2.6719553090131945E-3</v>
      </c>
      <c r="BH16" s="4"/>
    </row>
    <row r="17" spans="2:14">
      <c r="B17" s="77" t="s">
        <v>895</v>
      </c>
      <c r="C17" s="74" t="s">
        <v>896</v>
      </c>
      <c r="D17" s="87" t="s">
        <v>111</v>
      </c>
      <c r="E17" s="74" t="s">
        <v>889</v>
      </c>
      <c r="F17" s="87" t="s">
        <v>890</v>
      </c>
      <c r="G17" s="87" t="s">
        <v>155</v>
      </c>
      <c r="H17" s="84">
        <v>10946.857744999998</v>
      </c>
      <c r="I17" s="86">
        <v>350</v>
      </c>
      <c r="J17" s="74"/>
      <c r="K17" s="84">
        <v>38.314002109</v>
      </c>
      <c r="L17" s="85">
        <v>7.7368683011778397E-5</v>
      </c>
      <c r="M17" s="85">
        <v>6.0423640938282166E-3</v>
      </c>
      <c r="N17" s="85">
        <f>K17/'סכום נכסי הקרן'!$C$42</f>
        <v>1.3168201796253585E-4</v>
      </c>
    </row>
    <row r="18" spans="2:14">
      <c r="B18" s="77" t="s">
        <v>897</v>
      </c>
      <c r="C18" s="74" t="s">
        <v>898</v>
      </c>
      <c r="D18" s="87" t="s">
        <v>111</v>
      </c>
      <c r="E18" s="74" t="s">
        <v>899</v>
      </c>
      <c r="F18" s="87" t="s">
        <v>890</v>
      </c>
      <c r="G18" s="87" t="s">
        <v>155</v>
      </c>
      <c r="H18" s="84">
        <v>170948.89452800003</v>
      </c>
      <c r="I18" s="86">
        <v>322.83</v>
      </c>
      <c r="J18" s="74"/>
      <c r="K18" s="84">
        <v>551.87431613699994</v>
      </c>
      <c r="L18" s="85">
        <v>4.5138385316401776E-4</v>
      </c>
      <c r="M18" s="85">
        <v>8.7034122476829512E-2</v>
      </c>
      <c r="N18" s="85">
        <f>K18/'סכום נכסי הקרן'!$C$42</f>
        <v>1.8967458268616608E-3</v>
      </c>
    </row>
    <row r="19" spans="2:14">
      <c r="B19" s="77" t="s">
        <v>900</v>
      </c>
      <c r="C19" s="74" t="s">
        <v>901</v>
      </c>
      <c r="D19" s="87" t="s">
        <v>111</v>
      </c>
      <c r="E19" s="74" t="s">
        <v>899</v>
      </c>
      <c r="F19" s="87" t="s">
        <v>890</v>
      </c>
      <c r="G19" s="87" t="s">
        <v>155</v>
      </c>
      <c r="H19" s="84">
        <v>28934.232318999999</v>
      </c>
      <c r="I19" s="86">
        <v>331.08</v>
      </c>
      <c r="J19" s="74"/>
      <c r="K19" s="84">
        <v>95.795456365000007</v>
      </c>
      <c r="L19" s="85">
        <v>1.1669500695258138E-4</v>
      </c>
      <c r="M19" s="85">
        <v>1.5107558438949807E-2</v>
      </c>
      <c r="N19" s="85">
        <f>K19/'סכום נכסי הקרן'!$C$42</f>
        <v>3.292409644363955E-4</v>
      </c>
    </row>
    <row r="20" spans="2:14">
      <c r="B20" s="77" t="s">
        <v>902</v>
      </c>
      <c r="C20" s="74" t="s">
        <v>903</v>
      </c>
      <c r="D20" s="87" t="s">
        <v>111</v>
      </c>
      <c r="E20" s="74" t="s">
        <v>899</v>
      </c>
      <c r="F20" s="87" t="s">
        <v>890</v>
      </c>
      <c r="G20" s="87" t="s">
        <v>155</v>
      </c>
      <c r="H20" s="84">
        <v>9566.4874450000007</v>
      </c>
      <c r="I20" s="86">
        <v>310.85000000000002</v>
      </c>
      <c r="J20" s="74"/>
      <c r="K20" s="84">
        <v>29.737426258999999</v>
      </c>
      <c r="L20" s="85">
        <v>1.9660568203805955E-4</v>
      </c>
      <c r="M20" s="85">
        <v>4.6897830239466913E-3</v>
      </c>
      <c r="N20" s="85">
        <f>K20/'סכום נכסי הקרן'!$C$42</f>
        <v>1.0220504471594675E-4</v>
      </c>
    </row>
    <row r="21" spans="2:14">
      <c r="B21" s="77" t="s">
        <v>904</v>
      </c>
      <c r="C21" s="74" t="s">
        <v>905</v>
      </c>
      <c r="D21" s="87" t="s">
        <v>111</v>
      </c>
      <c r="E21" s="74" t="s">
        <v>899</v>
      </c>
      <c r="F21" s="87" t="s">
        <v>890</v>
      </c>
      <c r="G21" s="87" t="s">
        <v>155</v>
      </c>
      <c r="H21" s="84">
        <v>44811.974605000003</v>
      </c>
      <c r="I21" s="86">
        <v>347.66</v>
      </c>
      <c r="J21" s="74"/>
      <c r="K21" s="84">
        <v>155.79331090000002</v>
      </c>
      <c r="L21" s="85">
        <v>1.9885202519245187E-4</v>
      </c>
      <c r="M21" s="85">
        <v>2.4569605262397001E-2</v>
      </c>
      <c r="N21" s="85">
        <f>K21/'סכום נכסי הקרן'!$C$42</f>
        <v>5.3544856801993285E-4</v>
      </c>
    </row>
    <row r="22" spans="2:14">
      <c r="B22" s="77" t="s">
        <v>906</v>
      </c>
      <c r="C22" s="74" t="s">
        <v>907</v>
      </c>
      <c r="D22" s="87" t="s">
        <v>111</v>
      </c>
      <c r="E22" s="74" t="s">
        <v>908</v>
      </c>
      <c r="F22" s="87" t="s">
        <v>890</v>
      </c>
      <c r="G22" s="87" t="s">
        <v>155</v>
      </c>
      <c r="H22" s="84">
        <v>94.112777999999992</v>
      </c>
      <c r="I22" s="86">
        <v>3314.37</v>
      </c>
      <c r="J22" s="74"/>
      <c r="K22" s="84">
        <v>3.1192456829999995</v>
      </c>
      <c r="L22" s="85">
        <v>4.3583044783440425E-6</v>
      </c>
      <c r="M22" s="85">
        <v>4.9192506857331255E-4</v>
      </c>
      <c r="N22" s="85">
        <f>K22/'סכום נכסי הקרן'!$C$42</f>
        <v>1.0720586298706788E-5</v>
      </c>
    </row>
    <row r="23" spans="2:14">
      <c r="B23" s="77" t="s">
        <v>909</v>
      </c>
      <c r="C23" s="74" t="s">
        <v>910</v>
      </c>
      <c r="D23" s="87" t="s">
        <v>111</v>
      </c>
      <c r="E23" s="74" t="s">
        <v>908</v>
      </c>
      <c r="F23" s="87" t="s">
        <v>890</v>
      </c>
      <c r="G23" s="87" t="s">
        <v>155</v>
      </c>
      <c r="H23" s="84">
        <v>416.98976999999996</v>
      </c>
      <c r="I23" s="86">
        <v>3083.05</v>
      </c>
      <c r="J23" s="74"/>
      <c r="K23" s="84">
        <v>12.856003103999997</v>
      </c>
      <c r="L23" s="85">
        <v>7.4989743956793329E-5</v>
      </c>
      <c r="M23" s="85">
        <v>2.0274742201234681E-3</v>
      </c>
      <c r="N23" s="85">
        <f>K23/'סכום נכסי הקרן'!$C$42</f>
        <v>4.4185006485388254E-5</v>
      </c>
    </row>
    <row r="24" spans="2:14">
      <c r="B24" s="77" t="s">
        <v>911</v>
      </c>
      <c r="C24" s="74" t="s">
        <v>912</v>
      </c>
      <c r="D24" s="87" t="s">
        <v>111</v>
      </c>
      <c r="E24" s="74" t="s">
        <v>908</v>
      </c>
      <c r="F24" s="87" t="s">
        <v>890</v>
      </c>
      <c r="G24" s="87" t="s">
        <v>155</v>
      </c>
      <c r="H24" s="84">
        <v>12980.894561999999</v>
      </c>
      <c r="I24" s="86">
        <v>3205</v>
      </c>
      <c r="J24" s="74"/>
      <c r="K24" s="84">
        <v>416.03767070499998</v>
      </c>
      <c r="L24" s="85">
        <v>3.6102374165475202E-4</v>
      </c>
      <c r="M24" s="85">
        <v>6.5611811472895257E-2</v>
      </c>
      <c r="N24" s="85">
        <f>K24/'סכום נכסי הקרן'!$C$42</f>
        <v>1.4298866474718496E-3</v>
      </c>
    </row>
    <row r="25" spans="2:14">
      <c r="B25" s="77" t="s">
        <v>913</v>
      </c>
      <c r="C25" s="74" t="s">
        <v>914</v>
      </c>
      <c r="D25" s="87" t="s">
        <v>111</v>
      </c>
      <c r="E25" s="74" t="s">
        <v>908</v>
      </c>
      <c r="F25" s="87" t="s">
        <v>890</v>
      </c>
      <c r="G25" s="87" t="s">
        <v>155</v>
      </c>
      <c r="H25" s="84">
        <v>5165.4366030000001</v>
      </c>
      <c r="I25" s="86">
        <v>3489.83</v>
      </c>
      <c r="J25" s="74"/>
      <c r="K25" s="84">
        <v>180.26495619900001</v>
      </c>
      <c r="L25" s="85">
        <v>3.6901845765037054E-4</v>
      </c>
      <c r="M25" s="85">
        <v>2.8428940824652024E-2</v>
      </c>
      <c r="N25" s="85">
        <f>K25/'סכום נכסי הקרן'!$C$42</f>
        <v>6.1955556437776722E-4</v>
      </c>
    </row>
    <row r="26" spans="2:14">
      <c r="B26" s="77" t="s">
        <v>915</v>
      </c>
      <c r="C26" s="74" t="s">
        <v>916</v>
      </c>
      <c r="D26" s="87" t="s">
        <v>111</v>
      </c>
      <c r="E26" s="74" t="s">
        <v>917</v>
      </c>
      <c r="F26" s="87" t="s">
        <v>890</v>
      </c>
      <c r="G26" s="87" t="s">
        <v>155</v>
      </c>
      <c r="H26" s="84">
        <v>13156.774713000001</v>
      </c>
      <c r="I26" s="86">
        <v>331.5</v>
      </c>
      <c r="J26" s="74"/>
      <c r="K26" s="84">
        <v>43.614708198000002</v>
      </c>
      <c r="L26" s="85">
        <v>4.0724638946075226E-5</v>
      </c>
      <c r="M26" s="85">
        <v>6.8783194725691547E-3</v>
      </c>
      <c r="N26" s="85">
        <f>K26/'סכום נכסי הקרן'!$C$42</f>
        <v>1.499001010654195E-4</v>
      </c>
    </row>
    <row r="27" spans="2:14">
      <c r="B27" s="77" t="s">
        <v>918</v>
      </c>
      <c r="C27" s="74" t="s">
        <v>919</v>
      </c>
      <c r="D27" s="87" t="s">
        <v>111</v>
      </c>
      <c r="E27" s="74" t="s">
        <v>917</v>
      </c>
      <c r="F27" s="87" t="s">
        <v>890</v>
      </c>
      <c r="G27" s="87" t="s">
        <v>155</v>
      </c>
      <c r="H27" s="84">
        <v>8448.1129949999995</v>
      </c>
      <c r="I27" s="86">
        <v>310.3</v>
      </c>
      <c r="J27" s="74"/>
      <c r="K27" s="84">
        <v>26.214494592999994</v>
      </c>
      <c r="L27" s="85">
        <v>2.1785892706532425E-4</v>
      </c>
      <c r="M27" s="85">
        <v>4.1341940843446718E-3</v>
      </c>
      <c r="N27" s="85">
        <f>K27/'סכום נכסי הקרן'!$C$42</f>
        <v>9.009702348644364E-5</v>
      </c>
    </row>
    <row r="28" spans="2:14">
      <c r="B28" s="77" t="s">
        <v>920</v>
      </c>
      <c r="C28" s="74" t="s">
        <v>921</v>
      </c>
      <c r="D28" s="87" t="s">
        <v>111</v>
      </c>
      <c r="E28" s="74" t="s">
        <v>917</v>
      </c>
      <c r="F28" s="87" t="s">
        <v>890</v>
      </c>
      <c r="G28" s="87" t="s">
        <v>155</v>
      </c>
      <c r="H28" s="84">
        <v>325684.63740000001</v>
      </c>
      <c r="I28" s="86">
        <v>321.8</v>
      </c>
      <c r="J28" s="74"/>
      <c r="K28" s="84">
        <v>1048.053163152</v>
      </c>
      <c r="L28" s="85">
        <v>8.5165769418087047E-4</v>
      </c>
      <c r="M28" s="85">
        <v>0.16528471192951069</v>
      </c>
      <c r="N28" s="85">
        <f>K28/'סכום נכסי הקרן'!$C$42</f>
        <v>3.6020709886492269E-3</v>
      </c>
    </row>
    <row r="29" spans="2:14">
      <c r="B29" s="77" t="s">
        <v>922</v>
      </c>
      <c r="C29" s="74" t="s">
        <v>923</v>
      </c>
      <c r="D29" s="87" t="s">
        <v>111</v>
      </c>
      <c r="E29" s="74" t="s">
        <v>917</v>
      </c>
      <c r="F29" s="87" t="s">
        <v>890</v>
      </c>
      <c r="G29" s="87" t="s">
        <v>155</v>
      </c>
      <c r="H29" s="84">
        <v>98974.529412999997</v>
      </c>
      <c r="I29" s="86">
        <v>351.07</v>
      </c>
      <c r="J29" s="74"/>
      <c r="K29" s="84">
        <v>347.469880429</v>
      </c>
      <c r="L29" s="85">
        <v>4.2625578161491391E-4</v>
      </c>
      <c r="M29" s="85">
        <v>5.47982307673828E-2</v>
      </c>
      <c r="N29" s="85">
        <f>K29/'סכום נכסי הקרן'!$C$42</f>
        <v>1.1942248921405091E-3</v>
      </c>
    </row>
    <row r="30" spans="2:14">
      <c r="B30" s="73"/>
      <c r="C30" s="74"/>
      <c r="D30" s="74"/>
      <c r="E30" s="74"/>
      <c r="F30" s="74"/>
      <c r="G30" s="74"/>
      <c r="H30" s="84"/>
      <c r="I30" s="86"/>
      <c r="J30" s="74"/>
      <c r="K30" s="74"/>
      <c r="L30" s="74"/>
      <c r="M30" s="85"/>
      <c r="N30" s="74"/>
    </row>
    <row r="31" spans="2:14" s="90" customFormat="1">
      <c r="B31" s="121" t="s">
        <v>220</v>
      </c>
      <c r="C31" s="111"/>
      <c r="D31" s="111"/>
      <c r="E31" s="111"/>
      <c r="F31" s="111"/>
      <c r="G31" s="111"/>
      <c r="H31" s="112"/>
      <c r="I31" s="114"/>
      <c r="J31" s="111"/>
      <c r="K31" s="112">
        <v>2510.5234374300003</v>
      </c>
      <c r="L31" s="111"/>
      <c r="M31" s="113">
        <v>0.39592566268293572</v>
      </c>
      <c r="N31" s="113">
        <f>K31/'סכום נכסי הקרן'!$C$42</f>
        <v>8.6284588971552098E-3</v>
      </c>
    </row>
    <row r="32" spans="2:14">
      <c r="B32" s="92" t="s">
        <v>244</v>
      </c>
      <c r="C32" s="72"/>
      <c r="D32" s="72"/>
      <c r="E32" s="72"/>
      <c r="F32" s="72"/>
      <c r="G32" s="72"/>
      <c r="H32" s="81"/>
      <c r="I32" s="83"/>
      <c r="J32" s="72"/>
      <c r="K32" s="81">
        <v>2510.5234374300003</v>
      </c>
      <c r="L32" s="72"/>
      <c r="M32" s="82">
        <v>0.39592566268293572</v>
      </c>
      <c r="N32" s="82">
        <f>K32/'סכום נכסי הקרן'!$C$42</f>
        <v>8.6284588971552098E-3</v>
      </c>
    </row>
    <row r="33" spans="2:14">
      <c r="B33" s="77" t="s">
        <v>924</v>
      </c>
      <c r="C33" s="74" t="s">
        <v>925</v>
      </c>
      <c r="D33" s="87" t="s">
        <v>114</v>
      </c>
      <c r="E33" s="74"/>
      <c r="F33" s="87" t="s">
        <v>890</v>
      </c>
      <c r="G33" s="87" t="s">
        <v>154</v>
      </c>
      <c r="H33" s="84">
        <v>241.88127</v>
      </c>
      <c r="I33" s="86">
        <v>9061</v>
      </c>
      <c r="J33" s="74"/>
      <c r="K33" s="84">
        <v>78.133612460999998</v>
      </c>
      <c r="L33" s="85">
        <v>3.2205220525647474E-5</v>
      </c>
      <c r="M33" s="85">
        <v>1.2322172273006577E-2</v>
      </c>
      <c r="N33" s="85">
        <f>K33/'סכום נכסי הקרן'!$C$42</f>
        <v>2.6853868542097223E-4</v>
      </c>
    </row>
    <row r="34" spans="2:14">
      <c r="B34" s="77" t="s">
        <v>926</v>
      </c>
      <c r="C34" s="74" t="s">
        <v>927</v>
      </c>
      <c r="D34" s="87" t="s">
        <v>114</v>
      </c>
      <c r="E34" s="74"/>
      <c r="F34" s="87" t="s">
        <v>890</v>
      </c>
      <c r="G34" s="87" t="s">
        <v>154</v>
      </c>
      <c r="H34" s="84">
        <v>5946.7126909999988</v>
      </c>
      <c r="I34" s="86">
        <v>9195</v>
      </c>
      <c r="J34" s="74"/>
      <c r="K34" s="84">
        <v>1949.3428270020004</v>
      </c>
      <c r="L34" s="85">
        <v>2.0795793455026946E-4</v>
      </c>
      <c r="M34" s="85">
        <v>0.30742387785356573</v>
      </c>
      <c r="N34" s="85">
        <f>K34/'סכום נכסי הקרן'!$C$42</f>
        <v>6.6997281158503738E-3</v>
      </c>
    </row>
    <row r="35" spans="2:14">
      <c r="B35" s="77" t="s">
        <v>928</v>
      </c>
      <c r="C35" s="74" t="s">
        <v>929</v>
      </c>
      <c r="D35" s="87" t="s">
        <v>114</v>
      </c>
      <c r="E35" s="74"/>
      <c r="F35" s="87" t="s">
        <v>890</v>
      </c>
      <c r="G35" s="87" t="s">
        <v>157</v>
      </c>
      <c r="H35" s="84">
        <v>36583.527489</v>
      </c>
      <c r="I35" s="86">
        <v>116</v>
      </c>
      <c r="J35" s="74"/>
      <c r="K35" s="84">
        <v>186.662912662</v>
      </c>
      <c r="L35" s="85">
        <v>1.5952179040685201E-4</v>
      </c>
      <c r="M35" s="85">
        <v>2.9437939631300473E-2</v>
      </c>
      <c r="N35" s="85">
        <f>K35/'סכום נכסי הקרן'!$C$42</f>
        <v>6.415448051646592E-4</v>
      </c>
    </row>
    <row r="36" spans="2:14">
      <c r="B36" s="77" t="s">
        <v>930</v>
      </c>
      <c r="C36" s="74" t="s">
        <v>931</v>
      </c>
      <c r="D36" s="87" t="s">
        <v>114</v>
      </c>
      <c r="E36" s="74"/>
      <c r="F36" s="87" t="s">
        <v>890</v>
      </c>
      <c r="G36" s="87" t="s">
        <v>154</v>
      </c>
      <c r="H36" s="84">
        <v>1318.6960219999999</v>
      </c>
      <c r="I36" s="86">
        <v>6304.5</v>
      </c>
      <c r="J36" s="74"/>
      <c r="K36" s="84">
        <v>296.38408530500004</v>
      </c>
      <c r="L36" s="85">
        <v>2.7583513213090714E-5</v>
      </c>
      <c r="M36" s="85">
        <v>4.6741672925062983E-2</v>
      </c>
      <c r="N36" s="85">
        <f>K36/'סכום נכסי הקרן'!$C$42</f>
        <v>1.0186472907192056E-3</v>
      </c>
    </row>
    <row r="37" spans="2:14">
      <c r="B37" s="73"/>
      <c r="C37" s="74"/>
      <c r="D37" s="74"/>
      <c r="E37" s="74"/>
      <c r="F37" s="74"/>
      <c r="G37" s="74"/>
      <c r="H37" s="84"/>
      <c r="I37" s="86"/>
      <c r="J37" s="74"/>
      <c r="K37" s="74"/>
      <c r="L37" s="74"/>
      <c r="M37" s="85"/>
      <c r="N37" s="74"/>
    </row>
    <row r="38" spans="2:14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</row>
    <row r="39" spans="2:14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</row>
    <row r="40" spans="2:14">
      <c r="B40" s="89" t="s">
        <v>240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</row>
    <row r="41" spans="2:14">
      <c r="B41" s="89" t="s">
        <v>103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</row>
    <row r="42" spans="2:14">
      <c r="B42" s="89" t="s">
        <v>222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</row>
    <row r="43" spans="2:14">
      <c r="B43" s="89" t="s">
        <v>230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</row>
    <row r="44" spans="2:14">
      <c r="B44" s="89" t="s">
        <v>238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</row>
    <row r="45" spans="2:14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</row>
    <row r="46" spans="2:14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</row>
    <row r="47" spans="2:14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</row>
    <row r="48" spans="2:14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</row>
    <row r="49" spans="2:14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</row>
    <row r="50" spans="2:14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</row>
    <row r="51" spans="2:14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2:14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</row>
    <row r="53" spans="2:14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</row>
    <row r="54" spans="2:14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</row>
    <row r="55" spans="2:14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</row>
    <row r="56" spans="2:14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</row>
    <row r="57" spans="2:14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</row>
    <row r="58" spans="2:14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</row>
    <row r="59" spans="2:14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</row>
    <row r="60" spans="2:14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</row>
    <row r="61" spans="2:14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</row>
    <row r="62" spans="2:14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</row>
    <row r="63" spans="2:14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</row>
    <row r="64" spans="2:14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</row>
    <row r="65" spans="2:14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</row>
    <row r="66" spans="2:14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</row>
    <row r="67" spans="2:14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</row>
    <row r="68" spans="2:14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</row>
    <row r="69" spans="2:14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</row>
    <row r="70" spans="2:14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</row>
    <row r="71" spans="2:14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</row>
    <row r="72" spans="2:14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</row>
    <row r="73" spans="2:14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</row>
    <row r="74" spans="2:14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</row>
    <row r="75" spans="2:14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</row>
    <row r="76" spans="2:14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</row>
    <row r="77" spans="2:14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</row>
    <row r="78" spans="2:14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</row>
    <row r="79" spans="2:14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</row>
    <row r="80" spans="2:14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</row>
    <row r="81" spans="2:14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</row>
    <row r="82" spans="2:14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</row>
    <row r="83" spans="2:14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</row>
    <row r="84" spans="2:14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</row>
    <row r="85" spans="2:14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</row>
    <row r="86" spans="2:14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</row>
    <row r="87" spans="2:14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2:14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</row>
    <row r="89" spans="2:14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</row>
    <row r="90" spans="2:14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</row>
    <row r="91" spans="2:14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</row>
    <row r="92" spans="2:14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</row>
    <row r="93" spans="2:14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</row>
    <row r="94" spans="2:14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</row>
    <row r="95" spans="2:14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</row>
    <row r="96" spans="2:14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</row>
    <row r="97" spans="2:14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</row>
    <row r="98" spans="2:14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</row>
    <row r="99" spans="2:14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</row>
    <row r="100" spans="2:14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</row>
    <row r="101" spans="2:14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</row>
    <row r="102" spans="2:14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</row>
    <row r="103" spans="2:14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</row>
    <row r="104" spans="2:14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</row>
    <row r="105" spans="2:14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</row>
    <row r="106" spans="2:14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</row>
    <row r="107" spans="2:14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</row>
    <row r="108" spans="2:14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</row>
    <row r="109" spans="2:14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</row>
    <row r="110" spans="2:14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</row>
    <row r="111" spans="2:14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</row>
    <row r="112" spans="2:14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</row>
    <row r="113" spans="2:14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</row>
    <row r="114" spans="2:14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</row>
    <row r="115" spans="2:14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</row>
    <row r="116" spans="2:14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</row>
    <row r="117" spans="2:14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</row>
    <row r="118" spans="2:14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</row>
    <row r="119" spans="2:14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</row>
    <row r="120" spans="2:14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</row>
    <row r="121" spans="2:14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</row>
    <row r="122" spans="2:14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</row>
    <row r="123" spans="2:14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</row>
    <row r="124" spans="2:14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</row>
    <row r="125" spans="2:14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</row>
    <row r="126" spans="2:14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</row>
    <row r="127" spans="2:14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</row>
    <row r="128" spans="2:14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</row>
    <row r="129" spans="2:14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</row>
    <row r="130" spans="2:14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</row>
    <row r="131" spans="2:14"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</row>
    <row r="132" spans="2:14"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</row>
    <row r="133" spans="2:14"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</row>
    <row r="134" spans="2:14"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</row>
    <row r="135" spans="2:14">
      <c r="B135" s="91"/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</row>
    <row r="136" spans="2:14">
      <c r="B136" s="91"/>
      <c r="C136" s="91"/>
      <c r="D136" s="91"/>
      <c r="E136" s="91"/>
      <c r="F136" s="91"/>
      <c r="G136" s="91"/>
      <c r="H136" s="91"/>
      <c r="I136" s="91"/>
      <c r="J136" s="91"/>
      <c r="K136" s="91"/>
      <c r="L136" s="91"/>
      <c r="M136" s="91"/>
      <c r="N136" s="91"/>
    </row>
    <row r="137" spans="2:14">
      <c r="D137" s="1"/>
      <c r="E137" s="1"/>
      <c r="F137" s="1"/>
      <c r="G137" s="1"/>
    </row>
    <row r="138" spans="2:14">
      <c r="D138" s="1"/>
      <c r="E138" s="1"/>
      <c r="F138" s="1"/>
      <c r="G138" s="1"/>
    </row>
    <row r="139" spans="2:14">
      <c r="D139" s="1"/>
      <c r="E139" s="1"/>
      <c r="F139" s="1"/>
      <c r="G139" s="1"/>
    </row>
    <row r="140" spans="2:14">
      <c r="D140" s="1"/>
      <c r="E140" s="1"/>
      <c r="F140" s="1"/>
      <c r="G140" s="1"/>
    </row>
    <row r="141" spans="2:14">
      <c r="D141" s="1"/>
      <c r="E141" s="1"/>
      <c r="F141" s="1"/>
      <c r="G141" s="1"/>
    </row>
    <row r="142" spans="2:14">
      <c r="D142" s="1"/>
      <c r="E142" s="1"/>
      <c r="F142" s="1"/>
      <c r="G142" s="1"/>
    </row>
    <row r="143" spans="2:14">
      <c r="D143" s="1"/>
      <c r="E143" s="1"/>
      <c r="F143" s="1"/>
      <c r="G143" s="1"/>
    </row>
    <row r="144" spans="2:14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D1:I1048576 K1:AF1048576 AH1:XFD1048576 AG1:AG43 B1:B39 B41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topLeftCell="A10" workbookViewId="0">
      <selection activeCell="C28" sqref="C28"/>
    </sheetView>
  </sheetViews>
  <sheetFormatPr defaultColWidth="9.140625" defaultRowHeight="18"/>
  <cols>
    <col min="1" max="1" width="6.28515625" style="1" customWidth="1"/>
    <col min="2" max="2" width="44" style="2" bestFit="1" customWidth="1"/>
    <col min="3" max="3" width="49.28515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" style="1" bestFit="1" customWidth="1"/>
    <col min="8" max="8" width="7.85546875" style="1" bestFit="1" customWidth="1"/>
    <col min="9" max="9" width="12.28515625" style="1" bestFit="1" customWidth="1"/>
    <col min="10" max="10" width="10.140625" style="1" bestFit="1" customWidth="1"/>
    <col min="11" max="11" width="11.85546875" style="1" bestFit="1" customWidth="1"/>
    <col min="12" max="12" width="10.140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170</v>
      </c>
      <c r="C1" s="68" t="s" vm="1">
        <v>247</v>
      </c>
    </row>
    <row r="2" spans="2:65">
      <c r="B2" s="47" t="s">
        <v>169</v>
      </c>
      <c r="C2" s="68" t="s">
        <v>248</v>
      </c>
    </row>
    <row r="3" spans="2:65">
      <c r="B3" s="47" t="s">
        <v>171</v>
      </c>
      <c r="C3" s="68" t="s">
        <v>249</v>
      </c>
    </row>
    <row r="4" spans="2:65">
      <c r="B4" s="47" t="s">
        <v>172</v>
      </c>
      <c r="C4" s="68">
        <v>2144</v>
      </c>
    </row>
    <row r="6" spans="2:65" ht="26.25" customHeight="1">
      <c r="B6" s="134" t="s">
        <v>200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6"/>
    </row>
    <row r="7" spans="2:65" ht="26.25" customHeight="1">
      <c r="B7" s="134" t="s">
        <v>84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6"/>
      <c r="BM7" s="3"/>
    </row>
    <row r="8" spans="2:65" s="3" customFormat="1" ht="78.75">
      <c r="B8" s="22" t="s">
        <v>106</v>
      </c>
      <c r="C8" s="30" t="s">
        <v>41</v>
      </c>
      <c r="D8" s="30" t="s">
        <v>110</v>
      </c>
      <c r="E8" s="30" t="s">
        <v>108</v>
      </c>
      <c r="F8" s="30" t="s">
        <v>60</v>
      </c>
      <c r="G8" s="30" t="s">
        <v>14</v>
      </c>
      <c r="H8" s="30" t="s">
        <v>61</v>
      </c>
      <c r="I8" s="30" t="s">
        <v>94</v>
      </c>
      <c r="J8" s="30" t="s">
        <v>224</v>
      </c>
      <c r="K8" s="30" t="s">
        <v>223</v>
      </c>
      <c r="L8" s="30" t="s">
        <v>56</v>
      </c>
      <c r="M8" s="30" t="s">
        <v>53</v>
      </c>
      <c r="N8" s="30" t="s">
        <v>173</v>
      </c>
      <c r="O8" s="20" t="s">
        <v>175</v>
      </c>
      <c r="P8" s="1"/>
      <c r="Q8" s="1"/>
      <c r="BH8" s="1"/>
      <c r="BI8" s="1"/>
    </row>
    <row r="9" spans="2:65" s="3" customFormat="1" ht="20.25">
      <c r="B9" s="15"/>
      <c r="C9" s="16"/>
      <c r="D9" s="16"/>
      <c r="E9" s="16"/>
      <c r="F9" s="16"/>
      <c r="G9" s="16"/>
      <c r="H9" s="16"/>
      <c r="I9" s="16"/>
      <c r="J9" s="32" t="s">
        <v>231</v>
      </c>
      <c r="K9" s="32"/>
      <c r="L9" s="32" t="s">
        <v>227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122" t="s">
        <v>28</v>
      </c>
      <c r="C11" s="72"/>
      <c r="D11" s="72"/>
      <c r="E11" s="72"/>
      <c r="F11" s="72"/>
      <c r="G11" s="72"/>
      <c r="H11" s="72"/>
      <c r="I11" s="72"/>
      <c r="J11" s="81"/>
      <c r="K11" s="83"/>
      <c r="L11" s="81">
        <v>12702.616407948999</v>
      </c>
      <c r="M11" s="72"/>
      <c r="N11" s="82">
        <v>1</v>
      </c>
      <c r="O11" s="82">
        <f>L11/'סכום נכסי הקרן'!$C$42</f>
        <v>4.3657829251145294E-2</v>
      </c>
      <c r="P11" s="5"/>
      <c r="BG11" s="90"/>
      <c r="BH11" s="3"/>
      <c r="BI11" s="90"/>
      <c r="BM11" s="90"/>
    </row>
    <row r="12" spans="2:65" s="4" customFormat="1" ht="18" customHeight="1">
      <c r="B12" s="71" t="s">
        <v>220</v>
      </c>
      <c r="C12" s="72"/>
      <c r="D12" s="72"/>
      <c r="E12" s="72"/>
      <c r="F12" s="72"/>
      <c r="G12" s="72"/>
      <c r="H12" s="72"/>
      <c r="I12" s="72"/>
      <c r="J12" s="81"/>
      <c r="K12" s="83"/>
      <c r="L12" s="81">
        <v>12702.616407948999</v>
      </c>
      <c r="M12" s="72"/>
      <c r="N12" s="82">
        <v>1</v>
      </c>
      <c r="O12" s="82">
        <f>L12/'סכום נכסי הקרן'!$C$42</f>
        <v>4.3657829251145294E-2</v>
      </c>
      <c r="P12" s="5"/>
      <c r="BG12" s="90"/>
      <c r="BH12" s="3"/>
      <c r="BI12" s="90"/>
      <c r="BM12" s="90"/>
    </row>
    <row r="13" spans="2:65">
      <c r="B13" s="92" t="s">
        <v>46</v>
      </c>
      <c r="C13" s="72"/>
      <c r="D13" s="72"/>
      <c r="E13" s="72"/>
      <c r="F13" s="72"/>
      <c r="G13" s="72"/>
      <c r="H13" s="72"/>
      <c r="I13" s="72"/>
      <c r="J13" s="81"/>
      <c r="K13" s="83"/>
      <c r="L13" s="81">
        <v>12446.110295070002</v>
      </c>
      <c r="M13" s="72"/>
      <c r="N13" s="82">
        <v>0.97980682840123545</v>
      </c>
      <c r="O13" s="82">
        <f>L13/'סכום נכסי הקרן'!$C$42</f>
        <v>4.2776239213447358E-2</v>
      </c>
      <c r="BH13" s="3"/>
    </row>
    <row r="14" spans="2:65" ht="20.25">
      <c r="B14" s="77" t="s">
        <v>932</v>
      </c>
      <c r="C14" s="74" t="s">
        <v>933</v>
      </c>
      <c r="D14" s="87" t="s">
        <v>27</v>
      </c>
      <c r="E14" s="74"/>
      <c r="F14" s="87" t="s">
        <v>890</v>
      </c>
      <c r="G14" s="74" t="s">
        <v>1201</v>
      </c>
      <c r="H14" s="74" t="s">
        <v>690</v>
      </c>
      <c r="I14" s="87" t="s">
        <v>157</v>
      </c>
      <c r="J14" s="84">
        <v>187.55037400000001</v>
      </c>
      <c r="K14" s="86">
        <v>115680</v>
      </c>
      <c r="L14" s="84">
        <v>954.31265595799994</v>
      </c>
      <c r="M14" s="85">
        <v>3.5010387376746273E-4</v>
      </c>
      <c r="N14" s="85">
        <v>7.512725137167911E-2</v>
      </c>
      <c r="O14" s="85">
        <f>L14/'סכום נכסי הקרן'!$C$42</f>
        <v>3.2798927124926378E-3</v>
      </c>
      <c r="BH14" s="4"/>
    </row>
    <row r="15" spans="2:65">
      <c r="B15" s="77" t="s">
        <v>935</v>
      </c>
      <c r="C15" s="74" t="s">
        <v>936</v>
      </c>
      <c r="D15" s="87" t="s">
        <v>27</v>
      </c>
      <c r="E15" s="74"/>
      <c r="F15" s="87" t="s">
        <v>890</v>
      </c>
      <c r="G15" s="74" t="s">
        <v>689</v>
      </c>
      <c r="H15" s="74" t="s">
        <v>690</v>
      </c>
      <c r="I15" s="87" t="s">
        <v>154</v>
      </c>
      <c r="J15" s="84">
        <v>233.76163800000003</v>
      </c>
      <c r="K15" s="86">
        <v>83365</v>
      </c>
      <c r="L15" s="84">
        <v>694.730738234</v>
      </c>
      <c r="M15" s="85">
        <v>2.919324812149834E-4</v>
      </c>
      <c r="N15" s="85">
        <v>5.4691940299736501E-2</v>
      </c>
      <c r="O15" s="85">
        <f>L15/'סכום נכסי הקרן'!$C$42</f>
        <v>2.3877313910197285E-3</v>
      </c>
    </row>
    <row r="16" spans="2:65">
      <c r="B16" s="77" t="s">
        <v>937</v>
      </c>
      <c r="C16" s="74" t="s">
        <v>938</v>
      </c>
      <c r="D16" s="87" t="s">
        <v>27</v>
      </c>
      <c r="E16" s="74"/>
      <c r="F16" s="87" t="s">
        <v>890</v>
      </c>
      <c r="G16" s="74" t="s">
        <v>799</v>
      </c>
      <c r="H16" s="74" t="s">
        <v>690</v>
      </c>
      <c r="I16" s="87" t="s">
        <v>154</v>
      </c>
      <c r="J16" s="84">
        <v>10.332801999999999</v>
      </c>
      <c r="K16" s="86">
        <v>1073293</v>
      </c>
      <c r="L16" s="84">
        <v>395.36272499199993</v>
      </c>
      <c r="M16" s="85">
        <v>7.4114419097521744E-5</v>
      </c>
      <c r="N16" s="85">
        <v>3.1124511068805573E-2</v>
      </c>
      <c r="O16" s="85">
        <f>L16/'סכום נכסי הקרן'!$C$42</f>
        <v>1.3588285897672956E-3</v>
      </c>
    </row>
    <row r="17" spans="2:15">
      <c r="B17" s="77" t="s">
        <v>939</v>
      </c>
      <c r="C17" s="74" t="s">
        <v>940</v>
      </c>
      <c r="D17" s="87" t="s">
        <v>27</v>
      </c>
      <c r="E17" s="74"/>
      <c r="F17" s="87" t="s">
        <v>890</v>
      </c>
      <c r="G17" s="74" t="s">
        <v>834</v>
      </c>
      <c r="H17" s="74" t="s">
        <v>690</v>
      </c>
      <c r="I17" s="87" t="s">
        <v>156</v>
      </c>
      <c r="J17" s="84">
        <v>135.954363</v>
      </c>
      <c r="K17" s="86">
        <v>99408</v>
      </c>
      <c r="L17" s="84">
        <v>527.12364450799998</v>
      </c>
      <c r="M17" s="85">
        <v>4.7844998035062391E-4</v>
      </c>
      <c r="N17" s="85">
        <v>4.1497249667252677E-2</v>
      </c>
      <c r="O17" s="85">
        <f>L17/'סכום נכסי הקרן'!$C$42</f>
        <v>1.8116798403650632E-3</v>
      </c>
    </row>
    <row r="18" spans="2:15">
      <c r="B18" s="77" t="s">
        <v>958</v>
      </c>
      <c r="C18" s="74" t="s">
        <v>959</v>
      </c>
      <c r="D18" s="87" t="s">
        <v>27</v>
      </c>
      <c r="E18" s="74"/>
      <c r="F18" s="87" t="s">
        <v>890</v>
      </c>
      <c r="G18" s="74" t="s">
        <v>834</v>
      </c>
      <c r="H18" s="74" t="s">
        <v>690</v>
      </c>
      <c r="I18" s="87" t="s">
        <v>156</v>
      </c>
      <c r="J18" s="84">
        <v>154.46781999999999</v>
      </c>
      <c r="K18" s="86">
        <v>199088</v>
      </c>
      <c r="L18" s="84">
        <v>1199.4471438539999</v>
      </c>
      <c r="M18" s="85">
        <v>5.1699919986592207E-4</v>
      </c>
      <c r="N18" s="85">
        <v>9.4425203858270815E-2</v>
      </c>
      <c r="O18" s="85">
        <f>L18/'סכום נכסי הקרן'!$C$42</f>
        <v>4.1223994270489731E-3</v>
      </c>
    </row>
    <row r="19" spans="2:15">
      <c r="B19" s="77" t="s">
        <v>948</v>
      </c>
      <c r="C19" s="74" t="s">
        <v>949</v>
      </c>
      <c r="D19" s="87" t="s">
        <v>27</v>
      </c>
      <c r="E19" s="74"/>
      <c r="F19" s="87" t="s">
        <v>890</v>
      </c>
      <c r="G19" s="74" t="s">
        <v>699</v>
      </c>
      <c r="H19" s="74" t="s">
        <v>690</v>
      </c>
      <c r="I19" s="87" t="s">
        <v>154</v>
      </c>
      <c r="J19" s="84">
        <v>15655.480211</v>
      </c>
      <c r="K19" s="86">
        <v>1249</v>
      </c>
      <c r="L19" s="84">
        <v>697.08921904199997</v>
      </c>
      <c r="M19" s="85">
        <v>5.3421804938211302E-5</v>
      </c>
      <c r="N19" s="85">
        <v>5.487760919913931E-2</v>
      </c>
      <c r="O19" s="85">
        <f>L19/'סכום נכסי הקרן'!$C$42</f>
        <v>2.3958372921271047E-3</v>
      </c>
    </row>
    <row r="20" spans="2:15">
      <c r="B20" s="77" t="s">
        <v>941</v>
      </c>
      <c r="C20" s="74" t="s">
        <v>942</v>
      </c>
      <c r="D20" s="87" t="s">
        <v>27</v>
      </c>
      <c r="E20" s="74"/>
      <c r="F20" s="87" t="s">
        <v>890</v>
      </c>
      <c r="G20" s="74" t="s">
        <v>699</v>
      </c>
      <c r="H20" s="74" t="s">
        <v>690</v>
      </c>
      <c r="I20" s="87" t="s">
        <v>154</v>
      </c>
      <c r="J20" s="84">
        <v>75.384208000000001</v>
      </c>
      <c r="K20" s="86">
        <v>161611</v>
      </c>
      <c r="L20" s="84">
        <v>434.32100246200002</v>
      </c>
      <c r="M20" s="85">
        <v>3.1621961774393182E-4</v>
      </c>
      <c r="N20" s="85">
        <v>3.4191460130230507E-2</v>
      </c>
      <c r="O20" s="85">
        <f>L20/'סכום נכסי הקרן'!$C$42</f>
        <v>1.4927249282129455E-3</v>
      </c>
    </row>
    <row r="21" spans="2:15">
      <c r="B21" s="77" t="s">
        <v>943</v>
      </c>
      <c r="C21" s="74" t="s">
        <v>944</v>
      </c>
      <c r="D21" s="87" t="s">
        <v>27</v>
      </c>
      <c r="E21" s="74"/>
      <c r="F21" s="87" t="s">
        <v>890</v>
      </c>
      <c r="G21" s="74" t="s">
        <v>945</v>
      </c>
      <c r="H21" s="74" t="s">
        <v>690</v>
      </c>
      <c r="I21" s="87" t="s">
        <v>154</v>
      </c>
      <c r="J21" s="84">
        <v>9033.1657109999996</v>
      </c>
      <c r="K21" s="86">
        <v>1467</v>
      </c>
      <c r="L21" s="84">
        <v>472.42146892000005</v>
      </c>
      <c r="M21" s="85">
        <v>7.9008407853399342E-5</v>
      </c>
      <c r="N21" s="85">
        <v>3.7190878929821876E-2</v>
      </c>
      <c r="O21" s="85">
        <f>L21/'סכום נכסי הקרן'!$C$42</f>
        <v>1.6236730420181808E-3</v>
      </c>
    </row>
    <row r="22" spans="2:15">
      <c r="B22" s="77" t="s">
        <v>950</v>
      </c>
      <c r="C22" s="74" t="s">
        <v>951</v>
      </c>
      <c r="D22" s="87" t="s">
        <v>27</v>
      </c>
      <c r="E22" s="74"/>
      <c r="F22" s="87" t="s">
        <v>890</v>
      </c>
      <c r="G22" s="74" t="s">
        <v>945</v>
      </c>
      <c r="H22" s="74" t="s">
        <v>690</v>
      </c>
      <c r="I22" s="87" t="s">
        <v>154</v>
      </c>
      <c r="J22" s="84">
        <v>11.988338000000001</v>
      </c>
      <c r="K22" s="86">
        <v>1032681</v>
      </c>
      <c r="L22" s="84">
        <v>441.35157724599998</v>
      </c>
      <c r="M22" s="85">
        <v>5.9194794067555839E-5</v>
      </c>
      <c r="N22" s="85">
        <v>3.474493467108182E-2</v>
      </c>
      <c r="O22" s="85">
        <f>L22/'סכום נכסי הקרן'!$C$42</f>
        <v>1.5168884252122882E-3</v>
      </c>
    </row>
    <row r="23" spans="2:15">
      <c r="B23" s="77" t="s">
        <v>954</v>
      </c>
      <c r="C23" s="74" t="s">
        <v>955</v>
      </c>
      <c r="D23" s="87" t="s">
        <v>27</v>
      </c>
      <c r="E23" s="74"/>
      <c r="F23" s="87" t="s">
        <v>890</v>
      </c>
      <c r="G23" s="74" t="s">
        <v>870</v>
      </c>
      <c r="H23" s="74" t="s">
        <v>690</v>
      </c>
      <c r="I23" s="87" t="s">
        <v>156</v>
      </c>
      <c r="J23" s="84">
        <v>793.24749199999997</v>
      </c>
      <c r="K23" s="86">
        <v>12823</v>
      </c>
      <c r="L23" s="84">
        <v>396.731207606</v>
      </c>
      <c r="M23" s="85">
        <v>2.723909986049725E-5</v>
      </c>
      <c r="N23" s="85">
        <v>3.1232243410714577E-2</v>
      </c>
      <c r="O23" s="85">
        <f>L23/'סכום נכסי הקרן'!$C$42</f>
        <v>1.3635319499551849E-3</v>
      </c>
    </row>
    <row r="24" spans="2:15">
      <c r="B24" s="77" t="s">
        <v>946</v>
      </c>
      <c r="C24" s="74" t="s">
        <v>947</v>
      </c>
      <c r="D24" s="87" t="s">
        <v>27</v>
      </c>
      <c r="E24" s="74"/>
      <c r="F24" s="87" t="s">
        <v>890</v>
      </c>
      <c r="G24" s="74" t="s">
        <v>870</v>
      </c>
      <c r="H24" s="74" t="s">
        <v>690</v>
      </c>
      <c r="I24" s="87" t="s">
        <v>154</v>
      </c>
      <c r="J24" s="84">
        <v>306.431242</v>
      </c>
      <c r="K24" s="86">
        <v>115651</v>
      </c>
      <c r="L24" s="84">
        <v>1263.403144572</v>
      </c>
      <c r="M24" s="85">
        <v>6.9663668251405126E-5</v>
      </c>
      <c r="N24" s="85">
        <v>9.9460072161306229E-2</v>
      </c>
      <c r="O24" s="85">
        <f>L24/'סכום נכסי הקרן'!$C$42</f>
        <v>4.3422108477248972E-3</v>
      </c>
    </row>
    <row r="25" spans="2:15">
      <c r="B25" s="77" t="s">
        <v>956</v>
      </c>
      <c r="C25" s="74" t="s">
        <v>957</v>
      </c>
      <c r="D25" s="87" t="s">
        <v>27</v>
      </c>
      <c r="E25" s="74"/>
      <c r="F25" s="87" t="s">
        <v>890</v>
      </c>
      <c r="G25" s="74" t="s">
        <v>870</v>
      </c>
      <c r="H25" s="74" t="s">
        <v>690</v>
      </c>
      <c r="I25" s="87" t="s">
        <v>154</v>
      </c>
      <c r="J25" s="84">
        <v>1553.423104</v>
      </c>
      <c r="K25" s="86">
        <v>13070.96</v>
      </c>
      <c r="L25" s="84">
        <v>723.86367214200004</v>
      </c>
      <c r="M25" s="85">
        <v>2.1528789410114486E-4</v>
      </c>
      <c r="N25" s="85">
        <v>5.6985399613344472E-2</v>
      </c>
      <c r="O25" s="85">
        <f>L25/'סכום נכסי הקרן'!$C$42</f>
        <v>2.4878588461276743E-3</v>
      </c>
    </row>
    <row r="26" spans="2:15">
      <c r="B26" s="77" t="s">
        <v>952</v>
      </c>
      <c r="C26" s="74" t="s">
        <v>953</v>
      </c>
      <c r="D26" s="87" t="s">
        <v>27</v>
      </c>
      <c r="E26" s="74"/>
      <c r="F26" s="87" t="s">
        <v>890</v>
      </c>
      <c r="G26" s="74" t="s">
        <v>870</v>
      </c>
      <c r="H26" s="74" t="s">
        <v>690</v>
      </c>
      <c r="I26" s="87" t="s">
        <v>154</v>
      </c>
      <c r="J26" s="84">
        <v>654.92199400000004</v>
      </c>
      <c r="K26" s="86">
        <v>26861.81</v>
      </c>
      <c r="L26" s="84">
        <v>627.16870964500004</v>
      </c>
      <c r="M26" s="85">
        <v>6.3841742517106896E-5</v>
      </c>
      <c r="N26" s="85">
        <v>4.9373191278336372E-2</v>
      </c>
      <c r="O26" s="85">
        <f>L26/'סכום נכסי הקרן'!$C$42</f>
        <v>2.1555263544137454E-3</v>
      </c>
    </row>
    <row r="27" spans="2:15">
      <c r="B27" s="77" t="s">
        <v>960</v>
      </c>
      <c r="C27" s="74" t="s">
        <v>961</v>
      </c>
      <c r="D27" s="87" t="s">
        <v>27</v>
      </c>
      <c r="E27" s="74"/>
      <c r="F27" s="87" t="s">
        <v>890</v>
      </c>
      <c r="G27" s="74" t="s">
        <v>870</v>
      </c>
      <c r="H27" s="74" t="s">
        <v>690</v>
      </c>
      <c r="I27" s="87" t="s">
        <v>156</v>
      </c>
      <c r="J27" s="84">
        <v>1229.2804349999999</v>
      </c>
      <c r="K27" s="86">
        <v>8490</v>
      </c>
      <c r="L27" s="84">
        <v>407.05835712700002</v>
      </c>
      <c r="M27" s="85">
        <v>3.6190311413929492E-5</v>
      </c>
      <c r="N27" s="85">
        <v>3.2045237300267718E-2</v>
      </c>
      <c r="O27" s="85">
        <f>L27/'סכום נכסי הקרן'!$C$42</f>
        <v>1.3990254983675204E-3</v>
      </c>
    </row>
    <row r="28" spans="2:15">
      <c r="B28" s="77" t="s">
        <v>962</v>
      </c>
      <c r="C28" s="74" t="s">
        <v>963</v>
      </c>
      <c r="D28" s="87" t="s">
        <v>27</v>
      </c>
      <c r="E28" s="74"/>
      <c r="F28" s="87" t="s">
        <v>890</v>
      </c>
      <c r="G28" s="74" t="s">
        <v>550</v>
      </c>
      <c r="H28" s="74"/>
      <c r="I28" s="87" t="s">
        <v>157</v>
      </c>
      <c r="J28" s="84">
        <v>2704.4430219999999</v>
      </c>
      <c r="K28" s="86">
        <v>16783.84</v>
      </c>
      <c r="L28" s="84">
        <v>1996.5658403300001</v>
      </c>
      <c r="M28" s="85">
        <v>1.3035736340633423E-3</v>
      </c>
      <c r="N28" s="85">
        <v>0.15717752754311279</v>
      </c>
      <c r="O28" s="85">
        <f>L28/'סכום נכסי הקרן'!$C$42</f>
        <v>6.8620296595944047E-3</v>
      </c>
    </row>
    <row r="29" spans="2:15">
      <c r="B29" s="77" t="s">
        <v>964</v>
      </c>
      <c r="C29" s="74" t="s">
        <v>965</v>
      </c>
      <c r="D29" s="87" t="s">
        <v>27</v>
      </c>
      <c r="E29" s="74"/>
      <c r="F29" s="87" t="s">
        <v>890</v>
      </c>
      <c r="G29" s="74" t="s">
        <v>550</v>
      </c>
      <c r="H29" s="74"/>
      <c r="I29" s="87" t="s">
        <v>154</v>
      </c>
      <c r="J29" s="84">
        <v>2758.198073</v>
      </c>
      <c r="K29" s="86">
        <v>12358</v>
      </c>
      <c r="L29" s="84">
        <v>1215.1591884320001</v>
      </c>
      <c r="M29" s="85">
        <v>9.5706578332566347E-5</v>
      </c>
      <c r="N29" s="85">
        <v>9.5662117898134905E-2</v>
      </c>
      <c r="O29" s="85">
        <f>L29/'סכום נכסי הקרן'!$C$42</f>
        <v>4.1764004089997041E-3</v>
      </c>
    </row>
    <row r="30" spans="2:15">
      <c r="B30" s="73"/>
      <c r="C30" s="74"/>
      <c r="D30" s="74"/>
      <c r="E30" s="74"/>
      <c r="F30" s="74"/>
      <c r="G30" s="74"/>
      <c r="H30" s="74"/>
      <c r="I30" s="74"/>
      <c r="J30" s="84"/>
      <c r="K30" s="86"/>
      <c r="L30" s="74"/>
      <c r="M30" s="74"/>
      <c r="N30" s="85"/>
      <c r="O30" s="74"/>
    </row>
    <row r="31" spans="2:15">
      <c r="B31" s="92" t="s">
        <v>235</v>
      </c>
      <c r="C31" s="72"/>
      <c r="D31" s="72"/>
      <c r="E31" s="72"/>
      <c r="F31" s="72"/>
      <c r="G31" s="72"/>
      <c r="H31" s="72"/>
      <c r="I31" s="72"/>
      <c r="J31" s="81"/>
      <c r="K31" s="83"/>
      <c r="L31" s="81">
        <v>256.506112879</v>
      </c>
      <c r="M31" s="72"/>
      <c r="N31" s="82">
        <v>2.0193171598764843E-2</v>
      </c>
      <c r="O31" s="82">
        <f>L31/'סכום נכסי הקרן'!$C$42</f>
        <v>8.8159003769795209E-4</v>
      </c>
    </row>
    <row r="32" spans="2:15">
      <c r="B32" s="77" t="s">
        <v>966</v>
      </c>
      <c r="C32" s="74" t="s">
        <v>967</v>
      </c>
      <c r="D32" s="87" t="s">
        <v>27</v>
      </c>
      <c r="E32" s="74"/>
      <c r="F32" s="87" t="s">
        <v>890</v>
      </c>
      <c r="G32" s="74" t="s">
        <v>737</v>
      </c>
      <c r="H32" s="74" t="s">
        <v>326</v>
      </c>
      <c r="I32" s="87" t="s">
        <v>154</v>
      </c>
      <c r="J32" s="84">
        <v>8637.6019090000009</v>
      </c>
      <c r="K32" s="86">
        <v>833</v>
      </c>
      <c r="L32" s="84">
        <v>256.506112879</v>
      </c>
      <c r="M32" s="85">
        <v>2.7759238251994874E-5</v>
      </c>
      <c r="N32" s="85">
        <v>2.0193171598764843E-2</v>
      </c>
      <c r="O32" s="85">
        <f>L32/'סכום נכסי הקרן'!$C$42</f>
        <v>8.8159003769795209E-4</v>
      </c>
    </row>
    <row r="33" spans="2:59">
      <c r="B33" s="73"/>
      <c r="C33" s="74"/>
      <c r="D33" s="74"/>
      <c r="E33" s="74"/>
      <c r="F33" s="74"/>
      <c r="G33" s="74"/>
      <c r="H33" s="74"/>
      <c r="I33" s="74"/>
      <c r="J33" s="84"/>
      <c r="K33" s="86"/>
      <c r="L33" s="74"/>
      <c r="M33" s="74"/>
      <c r="N33" s="85"/>
      <c r="O33" s="74"/>
    </row>
    <row r="34" spans="2:59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</row>
    <row r="35" spans="2:59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</row>
    <row r="36" spans="2:59">
      <c r="B36" s="89" t="s">
        <v>240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</row>
    <row r="37" spans="2:59" ht="20.25">
      <c r="B37" s="89" t="s">
        <v>103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BG37" s="4"/>
    </row>
    <row r="38" spans="2:59">
      <c r="B38" s="89" t="s">
        <v>222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BG38" s="3"/>
    </row>
    <row r="39" spans="2:59">
      <c r="B39" s="89" t="s">
        <v>230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2:59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2:59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</row>
    <row r="42" spans="2:59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</row>
    <row r="43" spans="2:59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</row>
    <row r="44" spans="2:59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</row>
    <row r="45" spans="2:59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</row>
    <row r="46" spans="2:59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</row>
    <row r="47" spans="2:59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</row>
    <row r="48" spans="2:59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</row>
    <row r="49" spans="2:15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</row>
    <row r="50" spans="2:15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</row>
    <row r="51" spans="2:15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</row>
    <row r="52" spans="2:15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</row>
    <row r="53" spans="2:15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</row>
    <row r="54" spans="2:15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</row>
    <row r="55" spans="2:15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</row>
    <row r="56" spans="2:15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</row>
    <row r="57" spans="2:15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</row>
    <row r="58" spans="2:15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</row>
    <row r="59" spans="2:15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</row>
    <row r="60" spans="2:15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</row>
    <row r="61" spans="2:15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</row>
    <row r="62" spans="2:15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</row>
    <row r="63" spans="2:15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</row>
    <row r="64" spans="2:15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</row>
    <row r="65" spans="2:15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</row>
    <row r="66" spans="2:15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</row>
    <row r="67" spans="2:15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2:15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2:15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</row>
    <row r="70" spans="2:15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</row>
    <row r="71" spans="2:15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</row>
    <row r="72" spans="2:15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</row>
    <row r="73" spans="2:15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</row>
    <row r="74" spans="2:15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</row>
    <row r="75" spans="2:15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</row>
    <row r="76" spans="2:15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</row>
    <row r="77" spans="2:15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</row>
    <row r="78" spans="2:15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</row>
    <row r="79" spans="2:15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</row>
    <row r="80" spans="2:15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</row>
    <row r="81" spans="2:15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</row>
    <row r="82" spans="2:15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</row>
    <row r="83" spans="2:15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</row>
    <row r="84" spans="2:15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</row>
    <row r="85" spans="2:15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</row>
    <row r="86" spans="2:15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</row>
    <row r="87" spans="2:15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2:15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2:15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</row>
    <row r="90" spans="2:15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</row>
    <row r="91" spans="2:15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</row>
    <row r="92" spans="2:15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</row>
    <row r="93" spans="2:15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</row>
    <row r="94" spans="2:15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</row>
    <row r="95" spans="2:15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</row>
    <row r="96" spans="2:15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</row>
    <row r="97" spans="2:15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</row>
    <row r="98" spans="2:15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</row>
    <row r="99" spans="2:15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</row>
    <row r="100" spans="2:15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</row>
    <row r="101" spans="2:15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</row>
    <row r="102" spans="2:15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</row>
    <row r="103" spans="2:15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</row>
    <row r="104" spans="2:15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</row>
    <row r="105" spans="2:15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</row>
    <row r="106" spans="2:15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</row>
    <row r="107" spans="2:15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2:15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</row>
    <row r="109" spans="2:15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</row>
    <row r="110" spans="2:15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91"/>
    </row>
    <row r="111" spans="2:15">
      <c r="B111" s="91"/>
      <c r="C111" s="91"/>
      <c r="D111" s="91"/>
      <c r="E111" s="91"/>
      <c r="F111" s="91"/>
      <c r="G111" s="91"/>
      <c r="H111" s="91"/>
      <c r="I111" s="91"/>
      <c r="J111" s="91"/>
      <c r="K111" s="91"/>
      <c r="L111" s="91"/>
      <c r="M111" s="91"/>
      <c r="N111" s="91"/>
      <c r="O111" s="91"/>
    </row>
    <row r="112" spans="2:15">
      <c r="B112" s="91"/>
      <c r="C112" s="91"/>
      <c r="D112" s="91"/>
      <c r="E112" s="91"/>
      <c r="F112" s="91"/>
      <c r="G112" s="91"/>
      <c r="H112" s="91"/>
      <c r="I112" s="91"/>
      <c r="J112" s="91"/>
      <c r="K112" s="91"/>
      <c r="L112" s="91"/>
      <c r="M112" s="91"/>
      <c r="N112" s="91"/>
      <c r="O112" s="91"/>
    </row>
    <row r="113" spans="2:15"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</row>
    <row r="114" spans="2:15"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</row>
    <row r="115" spans="2:15"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</row>
    <row r="116" spans="2:15">
      <c r="B116" s="91"/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1"/>
      <c r="N116" s="91"/>
      <c r="O116" s="91"/>
    </row>
    <row r="117" spans="2:15">
      <c r="B117" s="91"/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1"/>
      <c r="N117" s="91"/>
      <c r="O117" s="91"/>
    </row>
    <row r="118" spans="2:15">
      <c r="B118" s="91"/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</row>
    <row r="119" spans="2:15">
      <c r="B119" s="91"/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1"/>
      <c r="N119" s="91"/>
      <c r="O119" s="91"/>
    </row>
    <row r="120" spans="2:15">
      <c r="B120" s="91"/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1"/>
      <c r="N120" s="91"/>
      <c r="O120" s="91"/>
    </row>
    <row r="121" spans="2:15"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</row>
    <row r="122" spans="2:15">
      <c r="B122" s="91"/>
      <c r="C122" s="9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</row>
    <row r="123" spans="2:15">
      <c r="B123" s="91"/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1"/>
      <c r="N123" s="91"/>
      <c r="O123" s="91"/>
    </row>
    <row r="124" spans="2:15">
      <c r="B124" s="91"/>
      <c r="C124" s="9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</row>
    <row r="125" spans="2:15">
      <c r="B125" s="91"/>
      <c r="C125" s="91"/>
      <c r="D125" s="91"/>
      <c r="E125" s="91"/>
      <c r="F125" s="91"/>
      <c r="G125" s="91"/>
      <c r="H125" s="91"/>
      <c r="I125" s="91"/>
      <c r="J125" s="91"/>
      <c r="K125" s="91"/>
      <c r="L125" s="91"/>
      <c r="M125" s="91"/>
      <c r="N125" s="91"/>
      <c r="O125" s="91"/>
    </row>
    <row r="126" spans="2:15">
      <c r="B126" s="91"/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</row>
    <row r="127" spans="2:15">
      <c r="B127" s="91"/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</row>
    <row r="128" spans="2:15"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</row>
    <row r="129" spans="2:15">
      <c r="B129" s="91"/>
      <c r="C129" s="91"/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</row>
    <row r="130" spans="2:15">
      <c r="B130" s="91"/>
      <c r="C130" s="91"/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</row>
    <row r="131" spans="2:15"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</row>
    <row r="132" spans="2:15">
      <c r="B132" s="91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</row>
    <row r="133" spans="2:15">
      <c r="C133" s="1"/>
      <c r="D133" s="1"/>
      <c r="E133" s="1"/>
    </row>
    <row r="134" spans="2:15">
      <c r="C134" s="1"/>
      <c r="D134" s="1"/>
      <c r="E134" s="1"/>
    </row>
    <row r="135" spans="2:15">
      <c r="C135" s="1"/>
      <c r="D135" s="1"/>
      <c r="E135" s="1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G42:AG1048576 B37:B1048576 A27:A1048576 AG27:AG37 AH27:XFD1048576 B27:B35 C27:AF1048576 D1:XFD21 C5:C21 A1:B21 A22:XFD22 A23:XFD2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9.2851562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170</v>
      </c>
      <c r="C1" s="68" t="s" vm="1">
        <v>247</v>
      </c>
    </row>
    <row r="2" spans="2:60">
      <c r="B2" s="47" t="s">
        <v>169</v>
      </c>
      <c r="C2" s="68" t="s">
        <v>248</v>
      </c>
    </row>
    <row r="3" spans="2:60">
      <c r="B3" s="47" t="s">
        <v>171</v>
      </c>
      <c r="C3" s="68" t="s">
        <v>249</v>
      </c>
    </row>
    <row r="4" spans="2:60">
      <c r="B4" s="47" t="s">
        <v>172</v>
      </c>
      <c r="C4" s="68">
        <v>2144</v>
      </c>
    </row>
    <row r="6" spans="2:60" ht="26.25" customHeight="1">
      <c r="B6" s="134" t="s">
        <v>200</v>
      </c>
      <c r="C6" s="135"/>
      <c r="D6" s="135"/>
      <c r="E6" s="135"/>
      <c r="F6" s="135"/>
      <c r="G6" s="135"/>
      <c r="H6" s="135"/>
      <c r="I6" s="135"/>
      <c r="J6" s="135"/>
      <c r="K6" s="135"/>
      <c r="L6" s="136"/>
    </row>
    <row r="7" spans="2:60" ht="26.25" customHeight="1">
      <c r="B7" s="134" t="s">
        <v>85</v>
      </c>
      <c r="C7" s="135"/>
      <c r="D7" s="135"/>
      <c r="E7" s="135"/>
      <c r="F7" s="135"/>
      <c r="G7" s="135"/>
      <c r="H7" s="135"/>
      <c r="I7" s="135"/>
      <c r="J7" s="135"/>
      <c r="K7" s="135"/>
      <c r="L7" s="136"/>
      <c r="BH7" s="3"/>
    </row>
    <row r="8" spans="2:60" s="3" customFormat="1" ht="78.75">
      <c r="B8" s="22" t="s">
        <v>107</v>
      </c>
      <c r="C8" s="30" t="s">
        <v>41</v>
      </c>
      <c r="D8" s="30" t="s">
        <v>110</v>
      </c>
      <c r="E8" s="30" t="s">
        <v>60</v>
      </c>
      <c r="F8" s="30" t="s">
        <v>94</v>
      </c>
      <c r="G8" s="30" t="s">
        <v>224</v>
      </c>
      <c r="H8" s="30" t="s">
        <v>223</v>
      </c>
      <c r="I8" s="30" t="s">
        <v>56</v>
      </c>
      <c r="J8" s="30" t="s">
        <v>53</v>
      </c>
      <c r="K8" s="30" t="s">
        <v>173</v>
      </c>
      <c r="L8" s="66" t="s">
        <v>175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231</v>
      </c>
      <c r="H9" s="16"/>
      <c r="I9" s="16" t="s">
        <v>227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BC11" s="1"/>
      <c r="BD11" s="3"/>
      <c r="BE11" s="1"/>
      <c r="BG11" s="1"/>
    </row>
    <row r="12" spans="2:60" s="4" customFormat="1" ht="18" customHeight="1">
      <c r="B12" s="89" t="s">
        <v>240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BC12" s="1"/>
      <c r="BD12" s="3"/>
      <c r="BE12" s="1"/>
      <c r="BG12" s="1"/>
    </row>
    <row r="13" spans="2:60">
      <c r="B13" s="89" t="s">
        <v>103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BD13" s="3"/>
    </row>
    <row r="14" spans="2:60" ht="20.25">
      <c r="B14" s="89" t="s">
        <v>222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BD14" s="4"/>
    </row>
    <row r="15" spans="2:60">
      <c r="B15" s="89" t="s">
        <v>230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2:60"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</row>
    <row r="17" spans="2:56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56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</row>
    <row r="19" spans="2:56" ht="20.2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BC19" s="4"/>
    </row>
    <row r="20" spans="2:56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BD20" s="3"/>
    </row>
    <row r="21" spans="2:56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</row>
    <row r="22" spans="2:56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</row>
    <row r="23" spans="2:56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</row>
    <row r="24" spans="2:56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</row>
    <row r="25" spans="2:56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</row>
    <row r="26" spans="2:56"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</row>
    <row r="27" spans="2:56"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2:56"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1"/>
    </row>
    <row r="29" spans="2:56"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</row>
    <row r="30" spans="2:56"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</row>
    <row r="31" spans="2:56"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</row>
    <row r="32" spans="2:56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</row>
    <row r="33" spans="2:12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</row>
    <row r="34" spans="2:12"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2:12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</row>
    <row r="36" spans="2:12"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</row>
    <row r="37" spans="2:12"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</row>
    <row r="38" spans="2:12"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</row>
    <row r="39" spans="2:12"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</row>
    <row r="40" spans="2:12"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</row>
    <row r="41" spans="2:12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2"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</row>
    <row r="43" spans="2:12"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</row>
    <row r="44" spans="2:12"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</row>
    <row r="45" spans="2:12"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</row>
    <row r="46" spans="2:12"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</row>
    <row r="47" spans="2:12"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</row>
    <row r="48" spans="2:12"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</row>
    <row r="49" spans="2:12"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</row>
    <row r="50" spans="2:12"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</row>
    <row r="51" spans="2:12"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</row>
    <row r="52" spans="2:12"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2:12"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2:12"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2:12"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</row>
    <row r="56" spans="2:12"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</row>
    <row r="57" spans="2:12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</row>
    <row r="58" spans="2:12"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</row>
    <row r="59" spans="2:12"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</row>
    <row r="60" spans="2:12"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</row>
    <row r="61" spans="2:12"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</row>
    <row r="62" spans="2:12"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</row>
    <row r="63" spans="2:12"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</row>
    <row r="64" spans="2:12"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</row>
    <row r="65" spans="2:12"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</row>
    <row r="66" spans="2:12"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</row>
    <row r="67" spans="2:12"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</row>
    <row r="68" spans="2:12"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</row>
    <row r="69" spans="2:12"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</row>
    <row r="70" spans="2:12"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1"/>
    </row>
    <row r="71" spans="2:12"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</row>
    <row r="72" spans="2:12"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2:12"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</row>
    <row r="74" spans="2:12"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</row>
    <row r="75" spans="2:12"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</row>
    <row r="76" spans="2:12"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</row>
    <row r="77" spans="2:12"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</row>
    <row r="78" spans="2:12"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2:12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</row>
    <row r="80" spans="2:12"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</row>
    <row r="81" spans="2:12"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</row>
    <row r="82" spans="2:12"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</row>
    <row r="83" spans="2:12"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</row>
    <row r="84" spans="2:12"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</row>
    <row r="85" spans="2:12"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</row>
    <row r="86" spans="2:12"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</row>
    <row r="87" spans="2:12"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</row>
    <row r="88" spans="2:12"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</row>
    <row r="89" spans="2:12"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</row>
    <row r="90" spans="2:12"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</row>
    <row r="91" spans="2:12"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2:12"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</row>
    <row r="93" spans="2:12"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</row>
    <row r="94" spans="2:12"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2:12"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</row>
    <row r="96" spans="2:12"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2:12"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</row>
    <row r="98" spans="2:12"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</row>
    <row r="99" spans="2:12"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</row>
    <row r="100" spans="2:12"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</row>
    <row r="101" spans="2:1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</row>
    <row r="102" spans="2:12"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</row>
    <row r="103" spans="2:12">
      <c r="B103" s="91"/>
      <c r="C103" s="91"/>
      <c r="D103" s="91"/>
      <c r="E103" s="91"/>
      <c r="F103" s="91"/>
      <c r="G103" s="91"/>
      <c r="H103" s="91"/>
      <c r="I103" s="91"/>
      <c r="J103" s="91"/>
      <c r="K103" s="91"/>
      <c r="L103" s="91"/>
    </row>
    <row r="104" spans="2:12">
      <c r="B104" s="91"/>
      <c r="C104" s="91"/>
      <c r="D104" s="91"/>
      <c r="E104" s="91"/>
      <c r="F104" s="91"/>
      <c r="G104" s="91"/>
      <c r="H104" s="91"/>
      <c r="I104" s="91"/>
      <c r="J104" s="91"/>
      <c r="K104" s="91"/>
      <c r="L104" s="91"/>
    </row>
    <row r="105" spans="2:12"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2:12">
      <c r="B106" s="91"/>
      <c r="C106" s="91"/>
      <c r="D106" s="91"/>
      <c r="E106" s="91"/>
      <c r="F106" s="91"/>
      <c r="G106" s="91"/>
      <c r="H106" s="91"/>
      <c r="I106" s="91"/>
      <c r="J106" s="91"/>
      <c r="K106" s="91"/>
      <c r="L106" s="91"/>
    </row>
    <row r="107" spans="2:12">
      <c r="B107" s="91"/>
      <c r="C107" s="91"/>
      <c r="D107" s="91"/>
      <c r="E107" s="91"/>
      <c r="F107" s="91"/>
      <c r="G107" s="91"/>
      <c r="H107" s="91"/>
      <c r="I107" s="91"/>
      <c r="J107" s="91"/>
      <c r="K107" s="91"/>
      <c r="L107" s="91"/>
    </row>
    <row r="108" spans="2:12">
      <c r="B108" s="91"/>
      <c r="C108" s="91"/>
      <c r="D108" s="91"/>
      <c r="E108" s="91"/>
      <c r="F108" s="91"/>
      <c r="G108" s="91"/>
      <c r="H108" s="91"/>
      <c r="I108" s="91"/>
      <c r="J108" s="91"/>
      <c r="K108" s="91"/>
      <c r="L108" s="91"/>
    </row>
    <row r="109" spans="2:12">
      <c r="B109" s="91"/>
      <c r="C109" s="91"/>
      <c r="D109" s="91"/>
      <c r="E109" s="91"/>
      <c r="F109" s="91"/>
      <c r="G109" s="91"/>
      <c r="H109" s="91"/>
      <c r="I109" s="91"/>
      <c r="J109" s="91"/>
      <c r="K109" s="91"/>
      <c r="L109" s="91"/>
    </row>
    <row r="110" spans="2:12"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C070A1-B1B4-443C-95AE-F1F3DD5ABB3F}">
  <ds:schemaRefs>
    <ds:schemaRef ds:uri="a46656d4-8850-49b3-aebd-68bd05f7f43d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2020-06-04T07:04:20Z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